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735" yWindow="450" windowWidth="9315" windowHeight="8235" tabRatio="693"/>
  </bookViews>
  <sheets>
    <sheet name="Combined Gradation" sheetId="1" r:id="rId1"/>
    <sheet name="Power 45 Chart" sheetId="39" r:id="rId2"/>
    <sheet name="Gradation Chart" sheetId="25" r:id="rId3"/>
    <sheet name="Mix Design" sheetId="34" r:id="rId4"/>
    <sheet name="Std Spec GRADATIONS" sheetId="6" state="hidden" r:id="rId5"/>
  </sheets>
  <externalReferences>
    <externalReference r:id="rId6"/>
  </externalReferences>
  <definedNames>
    <definedName name="_xlnm._FilterDatabase" localSheetId="4" hidden="1">'Std Spec GRADATIONS'!$J$17:$L$70</definedName>
    <definedName name="ACSource">'Combined Gradation'!#REF!</definedName>
    <definedName name="AggrWt">#REF!</definedName>
    <definedName name="areaengineer">'Combined Gradation'!#REF!</definedName>
    <definedName name="AuthorizedDate">'Combined Gradation'!#REF!</definedName>
    <definedName name="Authorizeperson">'Combined Gradation'!#REF!</definedName>
    <definedName name="Bin1Aggr">'Combined Gradation'!$D$16</definedName>
    <definedName name="Bin1Frac">'Combined Gradation'!$D$19</definedName>
    <definedName name="Bin1RAP">'Combined Gradation'!#REF!</definedName>
    <definedName name="BIN1rapac">'Combined Gradation'!#REF!</definedName>
    <definedName name="Bin1samp">'Combined Gradation'!$D$17</definedName>
    <definedName name="Bin1Source">'Combined Gradation'!$D$13</definedName>
    <definedName name="Bin2Aggr">'Combined Gradation'!$F$16</definedName>
    <definedName name="Bin2Frac">'Combined Gradation'!$F$19</definedName>
    <definedName name="Bin2RAP">'Combined Gradation'!#REF!</definedName>
    <definedName name="BIN2Rapac">'Combined Gradation'!#REF!</definedName>
    <definedName name="Bin2Samp">'Combined Gradation'!$F$17</definedName>
    <definedName name="Bin2Source">'Combined Gradation'!$F$13</definedName>
    <definedName name="Bin3Aggr">'Combined Gradation'!$H$16</definedName>
    <definedName name="Bin3Frac">'Combined Gradation'!$H$19</definedName>
    <definedName name="Bin3RAP">'Combined Gradation'!#REF!</definedName>
    <definedName name="Bin3Rapac">'Combined Gradation'!#REF!</definedName>
    <definedName name="Bin3Samp">'Combined Gradation'!$H$17</definedName>
    <definedName name="Bin3Source">'Combined Gradation'!$H$13</definedName>
    <definedName name="Bin4Aggr">'Combined Gradation'!$J$16</definedName>
    <definedName name="Bin4Frac">'Combined Gradation'!$J$19</definedName>
    <definedName name="Bin4RAP">'Combined Gradation'!#REF!</definedName>
    <definedName name="Bin4Rapac">'Combined Gradation'!#REF!</definedName>
    <definedName name="Bin4Samp">'Combined Gradation'!$J$17</definedName>
    <definedName name="Bin4Source">'Combined Gradation'!$J$13</definedName>
    <definedName name="Bin5Aggr">'Combined Gradation'!$L$16</definedName>
    <definedName name="Bin5Frac">'Combined Gradation'!$L$19</definedName>
    <definedName name="Bin5RAP">'Combined Gradation'!#REF!</definedName>
    <definedName name="Bin5Rapac">'Combined Gradation'!#REF!</definedName>
    <definedName name="Bin5Samp">'Combined Gradation'!$L$17</definedName>
    <definedName name="Bin5Source">'Combined Gradation'!$L$13</definedName>
    <definedName name="Bin6Aggr">'Combined Gradation'!$N$16</definedName>
    <definedName name="Bin6Frac">'Combined Gradation'!$N$19</definedName>
    <definedName name="Bin6RAP">'Combined Gradation'!#REF!</definedName>
    <definedName name="Bin6Rapac">'Combined Gradation'!#REF!</definedName>
    <definedName name="Bin6Samp">'Combined Gradation'!$N$17</definedName>
    <definedName name="Bin6Source">'Combined Gradation'!$N$13</definedName>
    <definedName name="Bin7Aggr">'Combined Gradation'!$P$16</definedName>
    <definedName name="Bin7Frac">'Combined Gradation'!$P$19</definedName>
    <definedName name="Bin7RAP">'Combined Gradation'!#REF!</definedName>
    <definedName name="Bin7Rapac">'Combined Gradation'!#REF!</definedName>
    <definedName name="Bin7Samp">'Combined Gradation'!$P$17</definedName>
    <definedName name="Bin7Source">'Combined Gradation'!$P$13</definedName>
    <definedName name="Binder">'Combined Gradation'!#REF!</definedName>
    <definedName name="ccsj">'Combined Gradation'!$J$5</definedName>
    <definedName name="CombGrad">'Combined Gradation'!$R$22:$S$32</definedName>
    <definedName name="county">'Combined Gradation'!$D$6</definedName>
    <definedName name="courselift">'Combined Gradation'!$D$9</definedName>
    <definedName name="datesters1">#REF!</definedName>
    <definedName name="DD_creep">'Combined Gradation'!#REF!</definedName>
    <definedName name="distfromcl">'Combined Gradation'!$L$9</definedName>
    <definedName name="DLT">'Combined Gradation'!#REF!</definedName>
    <definedName name="don">[1]Sheet1!$C$9:$F$9</definedName>
    <definedName name="EffSG">#REF!</definedName>
    <definedName name="_xlnm.Extract" localSheetId="4">'Std Spec GRADATIONS'!#REF!</definedName>
    <definedName name="field1">'Combined Gradation'!$A$45</definedName>
    <definedName name="Field10">'Combined Gradation'!$J$13</definedName>
    <definedName name="Field100">'Combined Gradation'!$H$32</definedName>
    <definedName name="Field101">'Combined Gradation'!$J$32</definedName>
    <definedName name="Field102">'Combined Gradation'!$L$32</definedName>
    <definedName name="Field103">'Combined Gradation'!$N$32</definedName>
    <definedName name="Field104">'Combined Gradation'!$P$32</definedName>
    <definedName name="Field105">'Combined Gradation'!#REF!</definedName>
    <definedName name="Field106">'Combined Gradation'!#REF!</definedName>
    <definedName name="Field107">'Combined Gradation'!#REF!</definedName>
    <definedName name="Field108">'Combined Gradation'!#REF!</definedName>
    <definedName name="Field109">'Combined Gradation'!#REF!</definedName>
    <definedName name="Field11">'Combined Gradation'!$L$13</definedName>
    <definedName name="Field110">'Combined Gradation'!#REF!</definedName>
    <definedName name="Field111">'Combined Gradation'!#REF!</definedName>
    <definedName name="Field112">'Combined Gradation'!#REF!</definedName>
    <definedName name="Field113">'Combined Gradation'!#REF!</definedName>
    <definedName name="Field114">'Combined Gradation'!#REF!</definedName>
    <definedName name="Field115">'Combined Gradation'!$C$50</definedName>
    <definedName name="Field116">'Combined Gradation'!$I$50</definedName>
    <definedName name="Field117">'Combined Gradation'!$A$55</definedName>
    <definedName name="Field118">#REF!</definedName>
    <definedName name="Field119">#REF!</definedName>
    <definedName name="Field12">'Combined Gradation'!$N$13</definedName>
    <definedName name="Field120">#REF!</definedName>
    <definedName name="Field121">#REF!</definedName>
    <definedName name="Field122">#REF!</definedName>
    <definedName name="Field123">#REF!</definedName>
    <definedName name="Field124">#REF!</definedName>
    <definedName name="Field125">#REF!</definedName>
    <definedName name="Field126">#REF!</definedName>
    <definedName name="Field127">#REF!</definedName>
    <definedName name="Field128">#REF!</definedName>
    <definedName name="Field129">#REF!</definedName>
    <definedName name="Field13">'Combined Gradation'!$P$13</definedName>
    <definedName name="Field130">#REF!</definedName>
    <definedName name="Field131">#REF!</definedName>
    <definedName name="Field132">#REF!</definedName>
    <definedName name="Field133">#REF!</definedName>
    <definedName name="Field134">#REF!</definedName>
    <definedName name="Field135">#REF!</definedName>
    <definedName name="Field136">#REF!</definedName>
    <definedName name="Field137">#REF!</definedName>
    <definedName name="Field138">#REF!</definedName>
    <definedName name="Field139">#REF!</definedName>
    <definedName name="Field14">'Combined Gradation'!$D$16</definedName>
    <definedName name="Field140">#REF!</definedName>
    <definedName name="Field141">#REF!</definedName>
    <definedName name="Field142">#REF!</definedName>
    <definedName name="Field143">#REF!</definedName>
    <definedName name="Field144">#REF!</definedName>
    <definedName name="Field145">#REF!</definedName>
    <definedName name="Field146">#REF!</definedName>
    <definedName name="Field147">#REF!</definedName>
    <definedName name="Field148">#REF!</definedName>
    <definedName name="Field149">#REF!</definedName>
    <definedName name="Field15">'Combined Gradation'!$F$16</definedName>
    <definedName name="Field150">#REF!</definedName>
    <definedName name="Field151">#REF!</definedName>
    <definedName name="Field152">#REF!</definedName>
    <definedName name="Field153">#REF!</definedName>
    <definedName name="Field154">#REF!</definedName>
    <definedName name="Field155">#REF!</definedName>
    <definedName name="Field156">#REF!</definedName>
    <definedName name="Field157">#REF!</definedName>
    <definedName name="Field158">#REF!</definedName>
    <definedName name="Field159">#REF!</definedName>
    <definedName name="Field16">'Combined Gradation'!$H$16</definedName>
    <definedName name="Field160">#REF!</definedName>
    <definedName name="Field161">#REF!</definedName>
    <definedName name="Field162">#REF!</definedName>
    <definedName name="Field163">#REF!</definedName>
    <definedName name="Field164">#REF!</definedName>
    <definedName name="Field165">#REF!</definedName>
    <definedName name="Field166">#REF!</definedName>
    <definedName name="Field167">#REF!</definedName>
    <definedName name="Field168">#REF!</definedName>
    <definedName name="Field169">#REF!</definedName>
    <definedName name="Field17">'Combined Gradation'!$J$16</definedName>
    <definedName name="Field170">#REF!</definedName>
    <definedName name="Field171">#REF!</definedName>
    <definedName name="Field172">#REF!</definedName>
    <definedName name="Field173">#REF!</definedName>
    <definedName name="Field174">#REF!</definedName>
    <definedName name="Field175">#REF!</definedName>
    <definedName name="Field176">#REF!</definedName>
    <definedName name="Field177">#REF!</definedName>
    <definedName name="Field178">#REF!</definedName>
    <definedName name="Field179">#REF!</definedName>
    <definedName name="Field18">'Combined Gradation'!$L$16</definedName>
    <definedName name="Field180">#REF!</definedName>
    <definedName name="Field181">#REF!</definedName>
    <definedName name="Field182">#REF!</definedName>
    <definedName name="Field183">#REF!</definedName>
    <definedName name="Field184">#REF!</definedName>
    <definedName name="Field185">#REF!</definedName>
    <definedName name="Field186">#REF!</definedName>
    <definedName name="Field187">#REF!</definedName>
    <definedName name="Field188">#REF!</definedName>
    <definedName name="Field189">#REF!</definedName>
    <definedName name="Field19">'Combined Gradation'!$N$16</definedName>
    <definedName name="Field190">#REF!</definedName>
    <definedName name="Field191">#REF!</definedName>
    <definedName name="Field192">#REF!</definedName>
    <definedName name="Field193">#REF!</definedName>
    <definedName name="Field194">#REF!</definedName>
    <definedName name="Field195">#REF!</definedName>
    <definedName name="Field196">#REF!</definedName>
    <definedName name="Field197">#REF!</definedName>
    <definedName name="Field198">#REF!</definedName>
    <definedName name="Field199">#REF!</definedName>
    <definedName name="Field2">'Combined Gradation'!#REF!</definedName>
    <definedName name="Field20">'Combined Gradation'!$P$16</definedName>
    <definedName name="Field200">#REF!</definedName>
    <definedName name="Field201">#REF!</definedName>
    <definedName name="Field202">#REF!</definedName>
    <definedName name="Field203">#REF!</definedName>
    <definedName name="Field204">#REF!</definedName>
    <definedName name="Field205">#REF!</definedName>
    <definedName name="Field206">#REF!</definedName>
    <definedName name="Field207">#REF!</definedName>
    <definedName name="Field208">#REF!</definedName>
    <definedName name="Field209">#REF!</definedName>
    <definedName name="Field21">'Combined Gradation'!$D$17</definedName>
    <definedName name="Field210">#REF!</definedName>
    <definedName name="Field211">#REF!</definedName>
    <definedName name="Field212">#REF!</definedName>
    <definedName name="Field213">#REF!</definedName>
    <definedName name="Field214">#REF!</definedName>
    <definedName name="Field215">#REF!</definedName>
    <definedName name="Field216">#REF!</definedName>
    <definedName name="Field217">#REF!</definedName>
    <definedName name="Field218">#REF!</definedName>
    <definedName name="Field219">#REF!</definedName>
    <definedName name="Field22">'Combined Gradation'!$F$17</definedName>
    <definedName name="Field220">#REF!</definedName>
    <definedName name="Field221">#REF!</definedName>
    <definedName name="Field222">#REF!</definedName>
    <definedName name="Field223">#REF!</definedName>
    <definedName name="Field224">#REF!</definedName>
    <definedName name="Field225">#REF!</definedName>
    <definedName name="Field226">#REF!</definedName>
    <definedName name="Field227">#REF!</definedName>
    <definedName name="Field228">#REF!</definedName>
    <definedName name="Field229">#REF!</definedName>
    <definedName name="Field23">'Combined Gradation'!$H$17</definedName>
    <definedName name="Field230">#REF!</definedName>
    <definedName name="Field231">#REF!</definedName>
    <definedName name="Field232">#REF!</definedName>
    <definedName name="Field233">#REF!</definedName>
    <definedName name="Field234">#REF!</definedName>
    <definedName name="Field235">#REF!</definedName>
    <definedName name="Field236">#REF!</definedName>
    <definedName name="Field237">#REF!</definedName>
    <definedName name="Field238">#REF!</definedName>
    <definedName name="Field239">#REF!</definedName>
    <definedName name="Field24">'Combined Gradation'!$J$17</definedName>
    <definedName name="Field240">#REF!</definedName>
    <definedName name="Field241">#REF!</definedName>
    <definedName name="Field242">#REF!</definedName>
    <definedName name="Field243">#REF!</definedName>
    <definedName name="Field244">#REF!</definedName>
    <definedName name="Field245">#REF!</definedName>
    <definedName name="Field246">#REF!</definedName>
    <definedName name="Field247">#REF!</definedName>
    <definedName name="Field248">#REF!</definedName>
    <definedName name="Field249">#REF!</definedName>
    <definedName name="Field25">'Combined Gradation'!$L$17</definedName>
    <definedName name="Field250">#REF!</definedName>
    <definedName name="Field251">#REF!</definedName>
    <definedName name="Field252">#REF!</definedName>
    <definedName name="Field253">#REF!</definedName>
    <definedName name="Field254">#REF!</definedName>
    <definedName name="Field255">#REF!</definedName>
    <definedName name="Field256">#REF!</definedName>
    <definedName name="Field257">#REF!</definedName>
    <definedName name="Field258">#REF!</definedName>
    <definedName name="Field259">#REF!</definedName>
    <definedName name="Field26">'Combined Gradation'!$N$17</definedName>
    <definedName name="Field260">#REF!</definedName>
    <definedName name="Field261">#REF!</definedName>
    <definedName name="Field262">#REF!</definedName>
    <definedName name="Field263">#REF!</definedName>
    <definedName name="Field264">#REF!</definedName>
    <definedName name="Field265">#REF!</definedName>
    <definedName name="Field266">#REF!</definedName>
    <definedName name="Field267">#REF!</definedName>
    <definedName name="Field268">#REF!</definedName>
    <definedName name="Field269">#REF!</definedName>
    <definedName name="Field27">'Combined Gradation'!$P$17</definedName>
    <definedName name="Field270">#REF!</definedName>
    <definedName name="Field271">#REF!</definedName>
    <definedName name="Field272">#REF!</definedName>
    <definedName name="Field273">#REF!</definedName>
    <definedName name="Field274">#REF!</definedName>
    <definedName name="Field275">#REF!</definedName>
    <definedName name="Field276">#REF!</definedName>
    <definedName name="Field277">#REF!</definedName>
    <definedName name="Field278">#REF!</definedName>
    <definedName name="Field279">#REF!</definedName>
    <definedName name="Field28">'Combined Gradation'!#REF!</definedName>
    <definedName name="Field280">#REF!</definedName>
    <definedName name="Field281">#REF!</definedName>
    <definedName name="Field282">#REF!</definedName>
    <definedName name="Field283">#REF!</definedName>
    <definedName name="Field284">#REF!</definedName>
    <definedName name="Field285">#REF!</definedName>
    <definedName name="Field286">#REF!</definedName>
    <definedName name="Field287">#REF!</definedName>
    <definedName name="Field288">#REF!</definedName>
    <definedName name="Field289">#REF!</definedName>
    <definedName name="Field29">'Combined Gradation'!#REF!</definedName>
    <definedName name="Field290">#REF!</definedName>
    <definedName name="Field291">#REF!</definedName>
    <definedName name="Field292">#REF!</definedName>
    <definedName name="Field293">#REF!</definedName>
    <definedName name="Field294">#REF!</definedName>
    <definedName name="Field295">#REF!</definedName>
    <definedName name="Field296">#REF!</definedName>
    <definedName name="Field297">#REF!</definedName>
    <definedName name="Field298">#REF!</definedName>
    <definedName name="Field299">#REF!</definedName>
    <definedName name="Field3">'Combined Gradation'!$J$7</definedName>
    <definedName name="Field30">'Combined Gradation'!#REF!</definedName>
    <definedName name="Field300">#REF!</definedName>
    <definedName name="Field301">#REF!</definedName>
    <definedName name="Field302">#REF!</definedName>
    <definedName name="Field303">#REF!</definedName>
    <definedName name="Field304">#REF!</definedName>
    <definedName name="Field305">#REF!</definedName>
    <definedName name="Field306">#REF!</definedName>
    <definedName name="Field307">#REF!</definedName>
    <definedName name="Field308">#REF!</definedName>
    <definedName name="Field309">#REF!</definedName>
    <definedName name="Field31">'Combined Gradation'!#REF!</definedName>
    <definedName name="Field310">#REF!</definedName>
    <definedName name="Field311">#REF!</definedName>
    <definedName name="Field312">#REF!</definedName>
    <definedName name="Field313">#REF!</definedName>
    <definedName name="Field314">#REF!</definedName>
    <definedName name="Field315">#REF!</definedName>
    <definedName name="Field316">#REF!</definedName>
    <definedName name="Field317">#REF!</definedName>
    <definedName name="Field318">#REF!</definedName>
    <definedName name="Field319">#REF!</definedName>
    <definedName name="Field32">'Combined Gradation'!#REF!</definedName>
    <definedName name="Field320">#REF!</definedName>
    <definedName name="Field321">#REF!</definedName>
    <definedName name="Field322">#REF!</definedName>
    <definedName name="Field323">#REF!</definedName>
    <definedName name="Field324">#REF!</definedName>
    <definedName name="Field325">#REF!</definedName>
    <definedName name="Field326">#REF!</definedName>
    <definedName name="Field327">#REF!</definedName>
    <definedName name="Field328">#REF!</definedName>
    <definedName name="Field329">#REF!</definedName>
    <definedName name="Field33">'Combined Gradation'!#REF!</definedName>
    <definedName name="Field330">#REF!</definedName>
    <definedName name="Field331">#REF!</definedName>
    <definedName name="Field332">#REF!</definedName>
    <definedName name="Field333">#REF!</definedName>
    <definedName name="Field334">#REF!</definedName>
    <definedName name="Field335">#REF!</definedName>
    <definedName name="Field336">#REF!</definedName>
    <definedName name="Field337">#REF!</definedName>
    <definedName name="Field338">#REF!</definedName>
    <definedName name="Field339">#REF!</definedName>
    <definedName name="Field34">'Combined Gradation'!#REF!</definedName>
    <definedName name="Field340">#REF!</definedName>
    <definedName name="Field341">#REF!</definedName>
    <definedName name="Field342">#REF!</definedName>
    <definedName name="Field343">#REF!</definedName>
    <definedName name="Field344">#REF!</definedName>
    <definedName name="Field345">#REF!</definedName>
    <definedName name="Field346">#REF!</definedName>
    <definedName name="Field347">#REF!</definedName>
    <definedName name="Field348">#REF!</definedName>
    <definedName name="Field349">#REF!</definedName>
    <definedName name="Field35">'Combined Gradation'!#REF!</definedName>
    <definedName name="Field350">#REF!</definedName>
    <definedName name="Field351">#REF!</definedName>
    <definedName name="Field352">#REF!</definedName>
    <definedName name="Field353">#REF!</definedName>
    <definedName name="Field354">#REF!</definedName>
    <definedName name="Field355">#REF!</definedName>
    <definedName name="Field356">#REF!</definedName>
    <definedName name="Field357">#REF!</definedName>
    <definedName name="Field358">#REF!</definedName>
    <definedName name="Field359">#REF!</definedName>
    <definedName name="Field36">'Combined Gradation'!#REF!</definedName>
    <definedName name="Field360">#REF!</definedName>
    <definedName name="Field361">#REF!</definedName>
    <definedName name="Field362">#REF!</definedName>
    <definedName name="Field363">#REF!</definedName>
    <definedName name="Field364">#REF!</definedName>
    <definedName name="Field365">#REF!</definedName>
    <definedName name="Field366">#REF!</definedName>
    <definedName name="Field367">#REF!</definedName>
    <definedName name="Field368">#REF!</definedName>
    <definedName name="Field369">#REF!</definedName>
    <definedName name="Field37">'Combined Gradation'!#REF!</definedName>
    <definedName name="Field370">#REF!</definedName>
    <definedName name="Field371">#REF!</definedName>
    <definedName name="Field372">#REF!</definedName>
    <definedName name="Field373">#REF!</definedName>
    <definedName name="Field374">#REF!</definedName>
    <definedName name="Field375">#REF!</definedName>
    <definedName name="Field376">#REF!</definedName>
    <definedName name="Field377">#REF!</definedName>
    <definedName name="Field378">#REF!</definedName>
    <definedName name="Field379">#REF!</definedName>
    <definedName name="Field38">'Combined Gradation'!#REF!</definedName>
    <definedName name="Field380">#REF!</definedName>
    <definedName name="Field381">#REF!</definedName>
    <definedName name="Field382">#REF!</definedName>
    <definedName name="Field383">#REF!</definedName>
    <definedName name="Field384">#REF!</definedName>
    <definedName name="Field385">#REF!</definedName>
    <definedName name="Field386">#REF!</definedName>
    <definedName name="Field387">#REF!</definedName>
    <definedName name="Field388">#REF!</definedName>
    <definedName name="Field389">#REF!</definedName>
    <definedName name="Field39">'Combined Gradation'!#REF!</definedName>
    <definedName name="Field390">#REF!</definedName>
    <definedName name="Field391">#REF!</definedName>
    <definedName name="Field392">#REF!</definedName>
    <definedName name="Field393">#REF!</definedName>
    <definedName name="Field394">#REF!</definedName>
    <definedName name="Field395">#REF!</definedName>
    <definedName name="Field396">#REF!</definedName>
    <definedName name="Field397">#REF!</definedName>
    <definedName name="Field398">#REF!</definedName>
    <definedName name="Field399">#REF!</definedName>
    <definedName name="Field4">'Combined Gradation'!$J$8</definedName>
    <definedName name="Field40">'Combined Gradation'!#REF!</definedName>
    <definedName name="Field400">#REF!</definedName>
    <definedName name="Field401">#REF!</definedName>
    <definedName name="Field402">#REF!</definedName>
    <definedName name="Field403">#REF!</definedName>
    <definedName name="Field404">#REF!</definedName>
    <definedName name="Field405">#REF!</definedName>
    <definedName name="Field406">#REF!</definedName>
    <definedName name="Field407">#REF!</definedName>
    <definedName name="Field408">#REF!</definedName>
    <definedName name="Field409">#REF!</definedName>
    <definedName name="Field41">'Combined Gradation'!#REF!</definedName>
    <definedName name="Field410">#REF!</definedName>
    <definedName name="Field411">#REF!</definedName>
    <definedName name="Field412">#REF!</definedName>
    <definedName name="Field413">#REF!</definedName>
    <definedName name="Field414">#REF!</definedName>
    <definedName name="Field415">#REF!</definedName>
    <definedName name="Field416">#REF!</definedName>
    <definedName name="Field417">#REF!</definedName>
    <definedName name="Field418">#REF!</definedName>
    <definedName name="Field419">#REF!</definedName>
    <definedName name="Field42">'Combined Gradation'!$D$19</definedName>
    <definedName name="Field420">#REF!</definedName>
    <definedName name="Field421">#REF!</definedName>
    <definedName name="Field422">#REF!</definedName>
    <definedName name="Field423">#REF!</definedName>
    <definedName name="Field424">#REF!</definedName>
    <definedName name="Field425">'Std Spec GRADATIONS'!$C$58</definedName>
    <definedName name="Field426">'Std Spec GRADATIONS'!$D$58</definedName>
    <definedName name="Field427">'Std Spec GRADATIONS'!$F$58</definedName>
    <definedName name="Field428">'Std Spec GRADATIONS'!$G$58</definedName>
    <definedName name="Field429">'Std Spec GRADATIONS'!$H$58</definedName>
    <definedName name="Field43">'Combined Gradation'!$F$19</definedName>
    <definedName name="Field430">'Std Spec GRADATIONS'!$C$59</definedName>
    <definedName name="Field431">'Std Spec GRADATIONS'!$D$59</definedName>
    <definedName name="Field432">'Std Spec GRADATIONS'!$F$59</definedName>
    <definedName name="Field433">'Std Spec GRADATIONS'!$G$59</definedName>
    <definedName name="Field434">'Std Spec GRADATIONS'!$C$60</definedName>
    <definedName name="Field435">'Std Spec GRADATIONS'!$D$60</definedName>
    <definedName name="Field436">'Std Spec GRADATIONS'!$F$60</definedName>
    <definedName name="Field437">'Std Spec GRADATIONS'!$G$60</definedName>
    <definedName name="Field438">'Std Spec GRADATIONS'!$C$61</definedName>
    <definedName name="Field439">'Std Spec GRADATIONS'!$D$61</definedName>
    <definedName name="Field44">'Combined Gradation'!$H$19</definedName>
    <definedName name="Field440">'Std Spec GRADATIONS'!$F$61</definedName>
    <definedName name="Field441">'Std Spec GRADATIONS'!$G$61</definedName>
    <definedName name="Field442">'Std Spec GRADATIONS'!$C$62</definedName>
    <definedName name="Field443">'Std Spec GRADATIONS'!$D$62</definedName>
    <definedName name="Field444">'Std Spec GRADATIONS'!$F$62</definedName>
    <definedName name="Field445">'Std Spec GRADATIONS'!$G$62</definedName>
    <definedName name="Field446">'Std Spec GRADATIONS'!$C$63</definedName>
    <definedName name="Field447">'Std Spec GRADATIONS'!$D$63</definedName>
    <definedName name="Field448">'Std Spec GRADATIONS'!$F$63</definedName>
    <definedName name="Field449">'Std Spec GRADATIONS'!$G$63</definedName>
    <definedName name="Field45">'Combined Gradation'!$J$19</definedName>
    <definedName name="Field450">'Std Spec GRADATIONS'!$C$64</definedName>
    <definedName name="Field451">'Std Spec GRADATIONS'!$D$64</definedName>
    <definedName name="Field452">'Std Spec GRADATIONS'!$F$64</definedName>
    <definedName name="Field453">'Std Spec GRADATIONS'!$G$64</definedName>
    <definedName name="Field454">'Std Spec GRADATIONS'!$C$65</definedName>
    <definedName name="Field455">'Std Spec GRADATIONS'!$D$65</definedName>
    <definedName name="Field456">'Std Spec GRADATIONS'!$F$65</definedName>
    <definedName name="Field457">'Std Spec GRADATIONS'!$G$65</definedName>
    <definedName name="Field458">'Std Spec GRADATIONS'!$C$66</definedName>
    <definedName name="Field459">'Std Spec GRADATIONS'!$D$66</definedName>
    <definedName name="Field46">'Combined Gradation'!$L$19</definedName>
    <definedName name="Field460">'Std Spec GRADATIONS'!$F$66</definedName>
    <definedName name="Field461">'Std Spec GRADATIONS'!$G$66</definedName>
    <definedName name="Field462">'Combined Gradation'!$C$52</definedName>
    <definedName name="Field463">'Combined Gradation'!$I$52</definedName>
    <definedName name="Field464">'Combined Gradation'!#REF!</definedName>
    <definedName name="Field465">'Combined Gradation'!#REF!</definedName>
    <definedName name="Field466">'Combined Gradation'!#REF!</definedName>
    <definedName name="Field467">'Combined Gradation'!#REF!</definedName>
    <definedName name="Field468">'Combined Gradation'!#REF!</definedName>
    <definedName name="Field469">'Combined Gradation'!#REF!</definedName>
    <definedName name="Field47">'Combined Gradation'!$N$19</definedName>
    <definedName name="Field470">'Combined Gradation'!#REF!</definedName>
    <definedName name="Field471">'Combined Gradation'!#REF!</definedName>
    <definedName name="Field472">'Combined Gradation'!#REF!</definedName>
    <definedName name="Field473">'Combined Gradation'!#REF!</definedName>
    <definedName name="Field474">'Combined Gradation'!#REF!</definedName>
    <definedName name="Field475">'Combined Gradation'!#REF!</definedName>
    <definedName name="Field476">#REF!</definedName>
    <definedName name="Field477">#REF!</definedName>
    <definedName name="Field478">#REF!</definedName>
    <definedName name="Field479">#REF!</definedName>
    <definedName name="Field48">'Combined Gradation'!$P$19</definedName>
    <definedName name="Field480">#REF!</definedName>
    <definedName name="Field481">#REF!</definedName>
    <definedName name="Field482">#REF!</definedName>
    <definedName name="Field483">#REF!</definedName>
    <definedName name="Field484">#REF!</definedName>
    <definedName name="Field485">#REF!</definedName>
    <definedName name="Field486">#REF!</definedName>
    <definedName name="Field487">#REF!</definedName>
    <definedName name="Field488">#REF!</definedName>
    <definedName name="Field489">#REF!</definedName>
    <definedName name="Field49">'Combined Gradation'!$D$22</definedName>
    <definedName name="Field490">#REF!</definedName>
    <definedName name="Field491">#REF!</definedName>
    <definedName name="Field492">#REF!</definedName>
    <definedName name="Field493">#REF!</definedName>
    <definedName name="Field494">#REF!</definedName>
    <definedName name="Field495">#REF!</definedName>
    <definedName name="Field496">#REF!</definedName>
    <definedName name="Field497">#REF!</definedName>
    <definedName name="Field498">#REF!</definedName>
    <definedName name="Field499">#REF!</definedName>
    <definedName name="Field5">'Combined Gradation'!#REF!</definedName>
    <definedName name="Field50">'Combined Gradation'!$F$22</definedName>
    <definedName name="Field500">#REF!</definedName>
    <definedName name="Field501">#REF!</definedName>
    <definedName name="Field502">#REF!</definedName>
    <definedName name="Field503">#REF!</definedName>
    <definedName name="Field504">#REF!</definedName>
    <definedName name="Field505">#REF!</definedName>
    <definedName name="Field506">#REF!</definedName>
    <definedName name="Field507">#REF!</definedName>
    <definedName name="Field508">#REF!</definedName>
    <definedName name="Field509">#REF!</definedName>
    <definedName name="Field51">'Combined Gradation'!$H$22</definedName>
    <definedName name="Field510">#REF!</definedName>
    <definedName name="Field511">#REF!</definedName>
    <definedName name="Field512">#REF!</definedName>
    <definedName name="Field513">#REF!</definedName>
    <definedName name="Field514">#REF!</definedName>
    <definedName name="Field515">#REF!</definedName>
    <definedName name="Field516">#REF!</definedName>
    <definedName name="Field517">#REF!</definedName>
    <definedName name="Field518">#REF!</definedName>
    <definedName name="Field519">#REF!</definedName>
    <definedName name="Field52">'Combined Gradation'!$J$22</definedName>
    <definedName name="Field520">#REF!</definedName>
    <definedName name="Field521">#REF!</definedName>
    <definedName name="Field522">#REF!</definedName>
    <definedName name="Field523">#REF!</definedName>
    <definedName name="Field524">#REF!</definedName>
    <definedName name="Field525">#REF!</definedName>
    <definedName name="Field526">#REF!</definedName>
    <definedName name="Field527">#REF!</definedName>
    <definedName name="Field528">#REF!</definedName>
    <definedName name="Field529">#REF!</definedName>
    <definedName name="Field53">'Combined Gradation'!$L$22</definedName>
    <definedName name="Field530">#REF!</definedName>
    <definedName name="Field531">#REF!</definedName>
    <definedName name="Field532">#REF!</definedName>
    <definedName name="Field533">#REF!</definedName>
    <definedName name="Field534">#REF!</definedName>
    <definedName name="Field535">#REF!</definedName>
    <definedName name="Field536">#REF!</definedName>
    <definedName name="Field537">#REF!</definedName>
    <definedName name="Field538">#REF!</definedName>
    <definedName name="Field539">#REF!</definedName>
    <definedName name="Field54">'Combined Gradation'!$N$22</definedName>
    <definedName name="Field540">#REF!</definedName>
    <definedName name="Field541">#REF!</definedName>
    <definedName name="Field542">#REF!</definedName>
    <definedName name="Field543">#REF!</definedName>
    <definedName name="Field544">#REF!</definedName>
    <definedName name="Field545">#REF!</definedName>
    <definedName name="Field546">#REF!</definedName>
    <definedName name="Field547">#REF!</definedName>
    <definedName name="Field548">#REF!</definedName>
    <definedName name="Field549">#REF!</definedName>
    <definedName name="Field55">'Combined Gradation'!$P$22</definedName>
    <definedName name="Field550">#REF!</definedName>
    <definedName name="Field551">#REF!</definedName>
    <definedName name="Field552">#REF!</definedName>
    <definedName name="Field553">#REF!</definedName>
    <definedName name="Field554">#REF!</definedName>
    <definedName name="Field555">#REF!</definedName>
    <definedName name="Field556">#REF!</definedName>
    <definedName name="Field557">#REF!</definedName>
    <definedName name="Field558">#REF!</definedName>
    <definedName name="Field559">#REF!</definedName>
    <definedName name="Field56">'Combined Gradation'!$D$23</definedName>
    <definedName name="Field560">#REF!</definedName>
    <definedName name="Field57">'Combined Gradation'!$F$23</definedName>
    <definedName name="Field58">'Combined Gradation'!$H$23</definedName>
    <definedName name="Field59">'Combined Gradation'!$J$23</definedName>
    <definedName name="Field6">'Combined Gradation'!$D$9</definedName>
    <definedName name="Field60">'Combined Gradation'!$L$23</definedName>
    <definedName name="Field61">'Combined Gradation'!$N$23</definedName>
    <definedName name="Field62">'Combined Gradation'!$P$23</definedName>
    <definedName name="Field63">'Combined Gradation'!$D$24</definedName>
    <definedName name="Field64">'Combined Gradation'!$F$24</definedName>
    <definedName name="Field65">'Combined Gradation'!$H$24</definedName>
    <definedName name="Field66">'Combined Gradation'!$J$24</definedName>
    <definedName name="Field67">'Combined Gradation'!$L$24</definedName>
    <definedName name="Field68">'Combined Gradation'!$N$24</definedName>
    <definedName name="Field69">'Combined Gradation'!$P$24</definedName>
    <definedName name="Field7">'Combined Gradation'!$D$13</definedName>
    <definedName name="Field70">'Combined Gradation'!$D$25</definedName>
    <definedName name="Field71">'Combined Gradation'!$F$25</definedName>
    <definedName name="Field72">'Combined Gradation'!$H$25</definedName>
    <definedName name="Field73">'Combined Gradation'!$J$25</definedName>
    <definedName name="Field74">'Combined Gradation'!$L$25</definedName>
    <definedName name="Field75">'Combined Gradation'!$N$25</definedName>
    <definedName name="Field76">'Combined Gradation'!$P$25</definedName>
    <definedName name="Field77">'Combined Gradation'!$D$26</definedName>
    <definedName name="Field78">'Combined Gradation'!$F$26</definedName>
    <definedName name="Field79">'Combined Gradation'!$H$26</definedName>
    <definedName name="Field8">'Combined Gradation'!$F$13</definedName>
    <definedName name="Field80">'Combined Gradation'!$J$26</definedName>
    <definedName name="Field81">'Combined Gradation'!$L$26</definedName>
    <definedName name="Field82">'Combined Gradation'!$N$26</definedName>
    <definedName name="Field83">'Combined Gradation'!$P$26</definedName>
    <definedName name="Field84">'Combined Gradation'!$D$28</definedName>
    <definedName name="Field85">'Combined Gradation'!$F$28</definedName>
    <definedName name="Field86">'Combined Gradation'!$H$28</definedName>
    <definedName name="Field87">'Combined Gradation'!$J$28</definedName>
    <definedName name="Field88">'Combined Gradation'!$L$28</definedName>
    <definedName name="Field89">'Combined Gradation'!$N$28</definedName>
    <definedName name="Field9">'Combined Gradation'!$H$13</definedName>
    <definedName name="Field90">'Combined Gradation'!$P$28</definedName>
    <definedName name="Field91">'Combined Gradation'!$D$31</definedName>
    <definedName name="Field92">'Combined Gradation'!$F$31</definedName>
    <definedName name="Field93">'Combined Gradation'!$H$31</definedName>
    <definedName name="Field94">'Combined Gradation'!$J$31</definedName>
    <definedName name="Field95">'Combined Gradation'!$L$31</definedName>
    <definedName name="Field96">'Combined Gradation'!$N$31</definedName>
    <definedName name="Field97">'Combined Gradation'!$P$31</definedName>
    <definedName name="Field98">'Combined Gradation'!$D$32</definedName>
    <definedName name="Field99">'Combined Gradation'!$F$32</definedName>
    <definedName name="Grade">'Combined Gradation'!$J$8</definedName>
    <definedName name="GradeShown_on_plans">'Std Spec GRADATIONS'!$B$58:$H$66</definedName>
    <definedName name="gtbl">'Std Spec GRADATIONS'!$K$17:$M$42</definedName>
    <definedName name="lettingdate">'Combined Gradation'!$J$4</definedName>
    <definedName name="location">'Combined Gradation'!#REF!</definedName>
    <definedName name="LowerLimits45">'Std Spec GRADATIONS'!$P$4:$P$12</definedName>
    <definedName name="LowerSpecLimit">'Combined Gradation'!$T$22:$T$32</definedName>
    <definedName name="material">'Combined Gradation'!#REF!</definedName>
    <definedName name="MaxDensityLine45a">'Std Spec GRADATIONS'!$L$4:$L$12</definedName>
    <definedName name="MaxDensityLine45b">'Std Spec GRADATIONS'!$M$4:$M$12</definedName>
    <definedName name="MixDes1">'Combined Gradation'!$U$22</definedName>
    <definedName name="Mixdes2">'Combined Gradation'!$U$23</definedName>
    <definedName name="MixDes3">'Combined Gradation'!$U$24</definedName>
    <definedName name="Mixdes4">'Combined Gradation'!$U$25</definedName>
    <definedName name="MixDes5">'Combined Gradation'!$U$26</definedName>
    <definedName name="MixDes6">'Combined Gradation'!$U$28</definedName>
    <definedName name="MixDes7">'Combined Gradation'!$U$31</definedName>
    <definedName name="MixDes8">'Combined Gradation'!$U$32</definedName>
    <definedName name="MixDes9">'Combined Gradation'!#REF!</definedName>
    <definedName name="P45Sieve">'Std Spec GRADATIONS'!$M$4:$M$13</definedName>
    <definedName name="PercentPassing45">'Std Spec GRADATIONS'!$N$4:$N$12</definedName>
    <definedName name="_xlnm.Print_Area" localSheetId="0">'Combined Gradation'!$A$1:$X$54</definedName>
    <definedName name="_xlnm.Print_Area" localSheetId="3">'Mix Design'!$A$1:$L$62</definedName>
    <definedName name="producer">'Combined Gradation'!#REF!</definedName>
    <definedName name="projectmanager">'Combined Gradation'!#REF!</definedName>
    <definedName name="Revieweddate">'Combined Gradation'!$G$55</definedName>
    <definedName name="ReviewPerson">'Combined Gradation'!$A$55</definedName>
    <definedName name="RunningT">#REF!</definedName>
    <definedName name="sampledby">'Combined Gradation'!$D$7</definedName>
    <definedName name="sampleddate">'Combined Gradation'!$J$3</definedName>
    <definedName name="sampleid">'Combined Gradation'!$D$3</definedName>
    <definedName name="samplelocation">'Combined Gradation'!$D$8</definedName>
    <definedName name="SGAsph">'Combined Gradation'!#REF!</definedName>
    <definedName name="Shown_on_plans">'Std Spec GRADATIONS'!$B$58:$H$66</definedName>
    <definedName name="sieve1">'Combined Gradation'!$A$22</definedName>
    <definedName name="sieve10">'Combined Gradation'!$A$31</definedName>
    <definedName name="sieve11">'Combined Gradation'!$A$32</definedName>
    <definedName name="sieve2">'Combined Gradation'!$A$23</definedName>
    <definedName name="sieve3">'Combined Gradation'!$A$24</definedName>
    <definedName name="sieve4">'Combined Gradation'!$A$25</definedName>
    <definedName name="sieve5">'Combined Gradation'!$A$26</definedName>
    <definedName name="sieve6">'Combined Gradation'!$A$27</definedName>
    <definedName name="sieve7">'Combined Gradation'!$A$28</definedName>
    <definedName name="sieve8">'Combined Gradation'!$A$29</definedName>
    <definedName name="sieve9">'Combined Gradation'!$A$30</definedName>
    <definedName name="sievemeasurement45">'Std Spec GRADATIONS'!$K$4:$K$12</definedName>
    <definedName name="sievesize45">'Std Spec GRADATIONS'!$J$4:$J$12</definedName>
    <definedName name="sievesizes">'Std Spec GRADATIONS'!$J$17:$M$43</definedName>
    <definedName name="sn">'Combined Gradation'!$N$1</definedName>
    <definedName name="solver_adj" localSheetId="0" hidden="1">'Combined Gradation'!$J$19,'Combined Gradation'!$L$19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'Combined Gradation'!$R$19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'Combined Gradation'!$AE$33</definedName>
    <definedName name="solver_pre" localSheetId="0" hidden="1">0.000001</definedName>
    <definedName name="solver_rel1" localSheetId="0" hidden="1">2</definedName>
    <definedName name="solver_rhs1" localSheetId="0" hidden="1">100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pec1">'Combined Gradation'!$T$22:$T$22</definedName>
    <definedName name="Spec2">'Combined Gradation'!$T$23:$T$23</definedName>
    <definedName name="Spec3">'Combined Gradation'!$T$24:$T$24</definedName>
    <definedName name="Spec4">'Combined Gradation'!$T$25:$T$25</definedName>
    <definedName name="Spec5">'Combined Gradation'!$T$26:$T$26</definedName>
    <definedName name="Spec6">'Combined Gradation'!$T$28:$T$28</definedName>
    <definedName name="Spec7">'Combined Gradation'!$T$31:$T$31</definedName>
    <definedName name="Spec8">'Combined Gradation'!$T$32:$T$32</definedName>
    <definedName name="Spec9">'Combined Gradation'!#REF!</definedName>
    <definedName name="specialprovision">'Combined Gradation'!$J$7</definedName>
    <definedName name="specitem">'Combined Gradation'!$J$6</definedName>
    <definedName name="specyear">'Combined Gradation'!#REF!</definedName>
    <definedName name="SSize1">'Combined Gradation'!$C$22</definedName>
    <definedName name="SSize10">'Combined Gradation'!$C$31</definedName>
    <definedName name="SSize11">'Combined Gradation'!$C$32</definedName>
    <definedName name="SSize2">'Combined Gradation'!$C$23</definedName>
    <definedName name="SSize3">'Combined Gradation'!$C$24</definedName>
    <definedName name="SSize4">'Combined Gradation'!$C$25</definedName>
    <definedName name="SSize5">'Combined Gradation'!$C$26</definedName>
    <definedName name="SSize6">'Combined Gradation'!$C$27</definedName>
    <definedName name="SSize7">'Combined Gradation'!$C$28</definedName>
    <definedName name="SSize8">'Combined Gradation'!$C$29</definedName>
    <definedName name="SSize9">'Combined Gradation'!$C$30</definedName>
    <definedName name="station">'Combined Gradation'!$G$9</definedName>
    <definedName name="status">'Combined Gradation'!$D$5</definedName>
    <definedName name="status\">'Combined Gradation'!$D$5</definedName>
    <definedName name="TargDen">#REF!</definedName>
    <definedName name="Test1">'Combined Gradation'!$A$51</definedName>
    <definedName name="Test2">'Combined Gradation'!#REF!</definedName>
    <definedName name="Test3">'Combined Gradation'!#REF!</definedName>
    <definedName name="Test4">'Combined Gradation'!#REF!</definedName>
    <definedName name="Test5">'Combined Gradation'!#REF!</definedName>
    <definedName name="Test6">'Combined Gradation'!#REF!</definedName>
    <definedName name="Test7">'Combined Gradation'!#REF!</definedName>
    <definedName name="Test8">'Combined Gradation'!#REF!</definedName>
    <definedName name="TestDate1">'Combined Gradation'!$I$50</definedName>
    <definedName name="TestDate2">'Combined Gradation'!$I$52</definedName>
    <definedName name="TestDate3">'Combined Gradation'!#REF!</definedName>
    <definedName name="TestDate4">'Combined Gradation'!#REF!</definedName>
    <definedName name="TestDate5">'Combined Gradation'!#REF!</definedName>
    <definedName name="TestDate6">'Combined Gradation'!#REF!</definedName>
    <definedName name="TestDate7">'Combined Gradation'!#REF!</definedName>
    <definedName name="TestDate8">'Combined Gradation'!#REF!</definedName>
    <definedName name="testnumber">'Combined Gradation'!$D$4</definedName>
    <definedName name="TestPerson1">'Combined Gradation'!$C$50</definedName>
    <definedName name="TestPerson2">'Combined Gradation'!$C$52</definedName>
    <definedName name="TestPerson3">'Combined Gradation'!#REF!</definedName>
    <definedName name="TestPerson4">'Combined Gradation'!#REF!</definedName>
    <definedName name="TestPerson5">'Combined Gradation'!#REF!</definedName>
    <definedName name="TestPerson6">'Combined Gradation'!#REF!</definedName>
    <definedName name="TestPerson7">'Combined Gradation'!#REF!</definedName>
    <definedName name="TestPerson8">'Combined Gradation'!#REF!</definedName>
    <definedName name="TodaysDate">'Combined Gradation'!$E$44</definedName>
    <definedName name="Type_A">'Std Spec GRADATIONS'!$B$4:$H$12</definedName>
    <definedName name="Type_B">'Std Spec GRADATIONS'!$B$13:$H$21</definedName>
    <definedName name="Type_C">'Std Spec GRADATIONS'!$B$22:$H$29</definedName>
    <definedName name="Type_CMHB_C">'Std Spec GRADATIONS'!$B$43:$H$50</definedName>
    <definedName name="Type_CMHB_F">'Std Spec GRADATIONS'!$B$51:$H$57</definedName>
    <definedName name="Type_D">'Std Spec GRADATIONS'!$B$30:$H$36</definedName>
    <definedName name="Type_F">'Std Spec GRADATIONS'!$B$37:$H$42</definedName>
    <definedName name="UPLC">'Combined Gradation'!#REF!</definedName>
    <definedName name="UpperLimits45">'Std Spec GRADATIONS'!$O$4:$O$12</definedName>
    <definedName name="UpperSpecLimit">'Combined Gradation'!$U$22:$U$32</definedName>
  </definedNames>
  <calcPr calcId="145621"/>
</workbook>
</file>

<file path=xl/calcChain.xml><?xml version="1.0" encoding="utf-8"?>
<calcChain xmlns="http://schemas.openxmlformats.org/spreadsheetml/2006/main">
  <c r="C40" i="34" l="1"/>
  <c r="C47" i="34" l="1"/>
  <c r="I34" i="34" l="1"/>
  <c r="I33" i="34"/>
  <c r="D34" i="34" l="1"/>
  <c r="D33" i="34"/>
  <c r="F33" i="34" s="1"/>
  <c r="H33" i="34" l="1"/>
  <c r="H34" i="34"/>
  <c r="F34" i="34"/>
  <c r="Y24" i="1" l="1"/>
  <c r="Z31" i="1"/>
  <c r="D24" i="34" l="1"/>
  <c r="C24" i="34"/>
  <c r="AP32" i="1" l="1"/>
  <c r="AP31" i="1"/>
  <c r="AP30" i="1"/>
  <c r="AP29" i="1"/>
  <c r="AP28" i="1"/>
  <c r="AP27" i="1"/>
  <c r="AD32" i="1"/>
  <c r="AD31" i="1"/>
  <c r="AD30" i="1"/>
  <c r="AD29" i="1"/>
  <c r="AD28" i="1"/>
  <c r="AD27" i="1"/>
  <c r="AA32" i="1"/>
  <c r="AA31" i="1"/>
  <c r="AA30" i="1"/>
  <c r="AB30" i="1" s="1"/>
  <c r="AA29" i="1"/>
  <c r="AB29" i="1" s="1"/>
  <c r="AA28" i="1"/>
  <c r="AB28" i="1" s="1"/>
  <c r="AA27" i="1"/>
  <c r="AB27" i="1" s="1"/>
  <c r="Z32" i="1"/>
  <c r="Z30" i="1"/>
  <c r="Z29" i="1"/>
  <c r="Z28" i="1"/>
  <c r="Z27" i="1"/>
  <c r="Y32" i="1"/>
  <c r="Y31" i="1"/>
  <c r="Y30" i="1"/>
  <c r="Y29" i="1"/>
  <c r="Y28" i="1"/>
  <c r="Y27" i="1"/>
  <c r="X27" i="1"/>
  <c r="X28" i="1"/>
  <c r="X29" i="1"/>
  <c r="X30" i="1"/>
  <c r="U27" i="1"/>
  <c r="U28" i="1"/>
  <c r="U29" i="1"/>
  <c r="U30" i="1"/>
  <c r="T27" i="1"/>
  <c r="T28" i="1"/>
  <c r="T29" i="1"/>
  <c r="T30" i="1"/>
  <c r="AB22" i="1"/>
  <c r="AC22" i="1" s="1"/>
  <c r="AC28" i="1" l="1"/>
  <c r="AC29" i="1"/>
  <c r="AC30" i="1"/>
  <c r="Y22" i="1"/>
  <c r="T18" i="1"/>
  <c r="T22" i="1"/>
  <c r="I47" i="1"/>
  <c r="J47" i="1"/>
  <c r="P19" i="1"/>
  <c r="N19" i="1"/>
  <c r="L19" i="1"/>
  <c r="J19" i="1"/>
  <c r="H19" i="1"/>
  <c r="F19" i="1"/>
  <c r="D19" i="1"/>
  <c r="H47" i="1"/>
  <c r="B46" i="1"/>
  <c r="B45" i="1"/>
  <c r="B44" i="1"/>
  <c r="B43" i="1"/>
  <c r="B42" i="1"/>
  <c r="B41" i="1"/>
  <c r="B40" i="1"/>
  <c r="AP26" i="1"/>
  <c r="AP25" i="1"/>
  <c r="AP24" i="1"/>
  <c r="AP23" i="1"/>
  <c r="AP22" i="1"/>
  <c r="E47" i="1"/>
  <c r="F47" i="1"/>
  <c r="G47" i="1"/>
  <c r="D47" i="1"/>
  <c r="M25" i="1" l="1"/>
  <c r="M29" i="1"/>
  <c r="M27" i="1"/>
  <c r="M30" i="1"/>
  <c r="M28" i="1"/>
  <c r="M32" i="1"/>
  <c r="M31" i="1"/>
  <c r="M26" i="1"/>
  <c r="O26" i="1"/>
  <c r="O30" i="1"/>
  <c r="O32" i="1"/>
  <c r="O27" i="1"/>
  <c r="O25" i="1"/>
  <c r="O29" i="1"/>
  <c r="O28" i="1"/>
  <c r="O31" i="1"/>
  <c r="Q27" i="1"/>
  <c r="Q31" i="1"/>
  <c r="Q29" i="1"/>
  <c r="Q32" i="1"/>
  <c r="Q26" i="1"/>
  <c r="Q30" i="1"/>
  <c r="Q25" i="1"/>
  <c r="Q28" i="1"/>
  <c r="I27" i="1"/>
  <c r="I25" i="1"/>
  <c r="I29" i="1"/>
  <c r="I22" i="1"/>
  <c r="I26" i="1"/>
  <c r="I30" i="1"/>
  <c r="I23" i="1"/>
  <c r="I31" i="1"/>
  <c r="I24" i="1"/>
  <c r="I28" i="1"/>
  <c r="I32" i="1"/>
  <c r="E27" i="1"/>
  <c r="E29" i="1"/>
  <c r="E30" i="1"/>
  <c r="E28" i="1"/>
  <c r="G27" i="1"/>
  <c r="G28" i="1"/>
  <c r="G30" i="1"/>
  <c r="G29" i="1"/>
  <c r="K27" i="1"/>
  <c r="K28" i="1"/>
  <c r="K29" i="1"/>
  <c r="K30" i="1"/>
  <c r="I16" i="34"/>
  <c r="I21" i="34"/>
  <c r="I20" i="34"/>
  <c r="I19" i="34"/>
  <c r="I18" i="34"/>
  <c r="I17" i="34"/>
  <c r="I15" i="34"/>
  <c r="H21" i="34"/>
  <c r="H20" i="34"/>
  <c r="H19" i="34"/>
  <c r="H18" i="34"/>
  <c r="H17" i="34"/>
  <c r="B37" i="34" s="1"/>
  <c r="H16" i="34"/>
  <c r="B36" i="34" s="1"/>
  <c r="H15" i="34"/>
  <c r="R28" i="1" l="1"/>
  <c r="S28" i="1" s="1"/>
  <c r="R27" i="1"/>
  <c r="S27" i="1" s="1"/>
  <c r="R30" i="1"/>
  <c r="S30" i="1" s="1"/>
  <c r="R29" i="1"/>
  <c r="S29" i="1" s="1"/>
  <c r="C27" i="34"/>
  <c r="C28" i="34"/>
  <c r="C38" i="34" s="1"/>
  <c r="C25" i="34"/>
  <c r="B28" i="34"/>
  <c r="B38" i="34"/>
  <c r="B27" i="34"/>
  <c r="B25" i="34"/>
  <c r="B35" i="34"/>
  <c r="B26" i="34"/>
  <c r="C26" i="34"/>
  <c r="G32" i="1"/>
  <c r="C37" i="34" l="1"/>
  <c r="D17" i="34"/>
  <c r="D38" i="34"/>
  <c r="G38" i="34" s="1"/>
  <c r="C36" i="34"/>
  <c r="D36" i="34" s="1"/>
  <c r="C35" i="34"/>
  <c r="AD35" i="1"/>
  <c r="AD34" i="1"/>
  <c r="W27" i="1"/>
  <c r="V28" i="1" s="1"/>
  <c r="AR28" i="1"/>
  <c r="AQ28" i="1"/>
  <c r="W28" i="1"/>
  <c r="V29" i="1" s="1"/>
  <c r="AG28" i="1"/>
  <c r="AF28" i="1"/>
  <c r="AE28" i="1"/>
  <c r="AS28" i="1"/>
  <c r="AS27" i="1"/>
  <c r="AR27" i="1"/>
  <c r="AQ27" i="1"/>
  <c r="AF27" i="1"/>
  <c r="AG27" i="1"/>
  <c r="AE27" i="1"/>
  <c r="AF30" i="1"/>
  <c r="AS30" i="1"/>
  <c r="AR30" i="1"/>
  <c r="AQ30" i="1"/>
  <c r="W30" i="1"/>
  <c r="AG30" i="1"/>
  <c r="AE30" i="1"/>
  <c r="AG29" i="1"/>
  <c r="AF29" i="1"/>
  <c r="AE29" i="1"/>
  <c r="AS29" i="1"/>
  <c r="AQ29" i="1"/>
  <c r="AR29" i="1"/>
  <c r="W29" i="1"/>
  <c r="V30" i="1" s="1"/>
  <c r="C41" i="34" l="1"/>
  <c r="C42" i="34" s="1"/>
  <c r="D20" i="34"/>
  <c r="H38" i="34"/>
  <c r="D37" i="34"/>
  <c r="G37" i="34" s="1"/>
  <c r="I37" i="34" s="1"/>
  <c r="I38" i="34"/>
  <c r="D16" i="34"/>
  <c r="D22" i="34"/>
  <c r="D14" i="34"/>
  <c r="C59" i="34"/>
  <c r="D35" i="34"/>
  <c r="G35" i="34" s="1"/>
  <c r="F38" i="34"/>
  <c r="G36" i="34"/>
  <c r="C55" i="34"/>
  <c r="C29" i="34"/>
  <c r="D19" i="34"/>
  <c r="D18" i="34"/>
  <c r="D15" i="34"/>
  <c r="C62" i="34"/>
  <c r="F36" i="34"/>
  <c r="H37" i="34" l="1"/>
  <c r="F37" i="34"/>
  <c r="H35" i="34"/>
  <c r="F35" i="34"/>
  <c r="I35" i="34"/>
  <c r="D29" i="34"/>
  <c r="D41" i="34"/>
  <c r="D42" i="34" s="1"/>
  <c r="G62" i="34"/>
  <c r="G59" i="34"/>
  <c r="I36" i="34"/>
  <c r="H36" i="34"/>
  <c r="D55" i="34" l="1"/>
  <c r="I55" i="34"/>
  <c r="I41" i="34"/>
  <c r="G41" i="34"/>
  <c r="I42" i="34" l="1"/>
  <c r="G55" i="34"/>
  <c r="G42" i="34"/>
  <c r="U32" i="1" l="1"/>
  <c r="P11" i="6" s="1"/>
  <c r="T32" i="1"/>
  <c r="O11" i="6" s="1"/>
  <c r="U31" i="1"/>
  <c r="P10" i="6" s="1"/>
  <c r="T31" i="1"/>
  <c r="O10" i="6" s="1"/>
  <c r="P9" i="6"/>
  <c r="O9" i="6"/>
  <c r="U26" i="1"/>
  <c r="P8" i="6" s="1"/>
  <c r="T26" i="1"/>
  <c r="O8" i="6" s="1"/>
  <c r="U25" i="1"/>
  <c r="P7" i="6" s="1"/>
  <c r="T25" i="1"/>
  <c r="O7" i="6" s="1"/>
  <c r="U24" i="1"/>
  <c r="P6" i="6" s="1"/>
  <c r="T24" i="1"/>
  <c r="O6" i="6" s="1"/>
  <c r="U23" i="1"/>
  <c r="P5" i="6" s="1"/>
  <c r="T23" i="1"/>
  <c r="O5" i="6" s="1"/>
  <c r="U22" i="1"/>
  <c r="P4" i="6" s="1"/>
  <c r="AN18" i="1"/>
  <c r="AL18" i="1"/>
  <c r="AJ18" i="1"/>
  <c r="J31" i="34"/>
  <c r="Z24" i="1"/>
  <c r="E24" i="1"/>
  <c r="G24" i="1"/>
  <c r="K24" i="1"/>
  <c r="M24" i="1"/>
  <c r="O24" i="1"/>
  <c r="Q24" i="1"/>
  <c r="Z25" i="1"/>
  <c r="E25" i="1"/>
  <c r="G25" i="1"/>
  <c r="K25" i="1"/>
  <c r="Z26" i="1"/>
  <c r="E26" i="1"/>
  <c r="G26" i="1"/>
  <c r="K26" i="1"/>
  <c r="E31" i="1"/>
  <c r="G31" i="1"/>
  <c r="K31" i="1"/>
  <c r="E32" i="1"/>
  <c r="K32" i="1"/>
  <c r="AA23" i="1"/>
  <c r="AB23" i="1" s="1"/>
  <c r="AC23" i="1" s="1"/>
  <c r="E23" i="1"/>
  <c r="G23" i="1"/>
  <c r="K23" i="1"/>
  <c r="M23" i="1"/>
  <c r="O23" i="1"/>
  <c r="Q23" i="1"/>
  <c r="AA24" i="1"/>
  <c r="AB24" i="1" s="1"/>
  <c r="AA25" i="1"/>
  <c r="AB25" i="1" s="1"/>
  <c r="AA26" i="1"/>
  <c r="AB26" i="1" s="1"/>
  <c r="AC27" i="1" s="1"/>
  <c r="AB31" i="1"/>
  <c r="AC31" i="1" s="1"/>
  <c r="AB32" i="1"/>
  <c r="J4" i="6"/>
  <c r="K4" i="6"/>
  <c r="L4" i="6" s="1"/>
  <c r="M4" i="6"/>
  <c r="O22" i="1"/>
  <c r="K22" i="1"/>
  <c r="M22" i="1"/>
  <c r="Q22" i="1"/>
  <c r="E22" i="1"/>
  <c r="G22" i="1"/>
  <c r="O4" i="6"/>
  <c r="J5" i="6"/>
  <c r="K5" i="6"/>
  <c r="L5" i="6" s="1"/>
  <c r="J6" i="6"/>
  <c r="K6" i="6"/>
  <c r="L6" i="6" s="1"/>
  <c r="J7" i="6"/>
  <c r="K7" i="6"/>
  <c r="L7" i="6" s="1"/>
  <c r="J8" i="6"/>
  <c r="K8" i="6"/>
  <c r="L8" i="6" s="1"/>
  <c r="J9" i="6"/>
  <c r="K9" i="6"/>
  <c r="L9" i="6" s="1"/>
  <c r="J10" i="6"/>
  <c r="K10" i="6"/>
  <c r="L10" i="6" s="1"/>
  <c r="J11" i="6"/>
  <c r="K11" i="6"/>
  <c r="L11" i="6" s="1"/>
  <c r="J12" i="6"/>
  <c r="K12" i="6"/>
  <c r="L12" i="6" s="1"/>
  <c r="N12" i="6"/>
  <c r="O12" i="6"/>
  <c r="P12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E58" i="6"/>
  <c r="E59" i="6"/>
  <c r="E60" i="6"/>
  <c r="E61" i="6"/>
  <c r="E62" i="6"/>
  <c r="E63" i="6"/>
  <c r="E64" i="6"/>
  <c r="E65" i="6"/>
  <c r="E66" i="6"/>
  <c r="R19" i="1"/>
  <c r="C21" i="1"/>
  <c r="X22" i="1"/>
  <c r="AD22" i="1"/>
  <c r="X23" i="1"/>
  <c r="Y23" i="1"/>
  <c r="AD23" i="1"/>
  <c r="X24" i="1"/>
  <c r="AD24" i="1"/>
  <c r="X25" i="1"/>
  <c r="Y25" i="1"/>
  <c r="AD25" i="1"/>
  <c r="X26" i="1"/>
  <c r="Y26" i="1"/>
  <c r="AD26" i="1"/>
  <c r="X31" i="1"/>
  <c r="X32" i="1"/>
  <c r="R32" i="1" l="1"/>
  <c r="S32" i="1" s="1"/>
  <c r="R26" i="1"/>
  <c r="S26" i="1" s="1"/>
  <c r="R25" i="1"/>
  <c r="S25" i="1" s="1"/>
  <c r="R31" i="1"/>
  <c r="S31" i="1" s="1"/>
  <c r="J34" i="34"/>
  <c r="J33" i="34"/>
  <c r="L33" i="34" s="1"/>
  <c r="J37" i="34"/>
  <c r="J38" i="34"/>
  <c r="L38" i="34" s="1"/>
  <c r="J35" i="34"/>
  <c r="K35" i="34" s="1"/>
  <c r="J36" i="34"/>
  <c r="L59" i="34"/>
  <c r="D23" i="34"/>
  <c r="AC24" i="1"/>
  <c r="AC32" i="1"/>
  <c r="AC26" i="1"/>
  <c r="AC25" i="1"/>
  <c r="C22" i="34"/>
  <c r="C23" i="34"/>
  <c r="M10" i="6"/>
  <c r="M8" i="6"/>
  <c r="C49" i="34"/>
  <c r="R24" i="1"/>
  <c r="R23" i="1"/>
  <c r="M12" i="6"/>
  <c r="M6" i="6"/>
  <c r="R22" i="1"/>
  <c r="D21" i="34"/>
  <c r="C12" i="34"/>
  <c r="M11" i="6"/>
  <c r="M9" i="6"/>
  <c r="M7" i="6"/>
  <c r="M5" i="6"/>
  <c r="N11" i="6" l="1"/>
  <c r="C39" i="34"/>
  <c r="C43" i="34" s="1"/>
  <c r="L15" i="34"/>
  <c r="K33" i="34"/>
  <c r="E18" i="34"/>
  <c r="L36" i="34"/>
  <c r="E19" i="34"/>
  <c r="K36" i="34"/>
  <c r="L37" i="34"/>
  <c r="K37" i="34"/>
  <c r="E20" i="34"/>
  <c r="L41" i="34"/>
  <c r="L42" i="34" s="1"/>
  <c r="L35" i="34"/>
  <c r="J39" i="34"/>
  <c r="L39" i="34" s="1"/>
  <c r="L40" i="34" s="1"/>
  <c r="C48" i="34"/>
  <c r="V31" i="1"/>
  <c r="AR23" i="1"/>
  <c r="AQ23" i="1"/>
  <c r="AS23" i="1"/>
  <c r="AS26" i="1"/>
  <c r="AR26" i="1"/>
  <c r="AQ26" i="1"/>
  <c r="AR32" i="1"/>
  <c r="AQ32" i="1"/>
  <c r="AS32" i="1"/>
  <c r="AE25" i="1"/>
  <c r="AR25" i="1"/>
  <c r="AQ25" i="1"/>
  <c r="AS25" i="1"/>
  <c r="AS22" i="1"/>
  <c r="AG22" i="1"/>
  <c r="AQ22" i="1"/>
  <c r="AR22" i="1"/>
  <c r="AF22" i="1"/>
  <c r="AS24" i="1"/>
  <c r="AR24" i="1"/>
  <c r="AQ24" i="1"/>
  <c r="AS31" i="1"/>
  <c r="AR31" i="1"/>
  <c r="AQ31" i="1"/>
  <c r="AF31" i="1"/>
  <c r="AE31" i="1"/>
  <c r="S23" i="1"/>
  <c r="AF23" i="1"/>
  <c r="AG23" i="1"/>
  <c r="AE23" i="1"/>
  <c r="AG26" i="1"/>
  <c r="AE26" i="1"/>
  <c r="W32" i="1"/>
  <c r="AE32" i="1"/>
  <c r="N4" i="6"/>
  <c r="AE22" i="1"/>
  <c r="N6" i="6"/>
  <c r="AE24" i="1"/>
  <c r="AF26" i="1"/>
  <c r="AG32" i="1"/>
  <c r="N8" i="6"/>
  <c r="AF32" i="1"/>
  <c r="W26" i="1"/>
  <c r="V27" i="1" s="1"/>
  <c r="W24" i="1"/>
  <c r="V25" i="1" s="1"/>
  <c r="S24" i="1"/>
  <c r="AG24" i="1"/>
  <c r="N5" i="6"/>
  <c r="N9" i="6"/>
  <c r="AG25" i="1"/>
  <c r="AF24" i="1"/>
  <c r="W31" i="1"/>
  <c r="V32" i="1" s="1"/>
  <c r="W23" i="1"/>
  <c r="V24" i="1" s="1"/>
  <c r="AG31" i="1"/>
  <c r="W22" i="1"/>
  <c r="V23" i="1" s="1"/>
  <c r="N7" i="6"/>
  <c r="S22" i="1"/>
  <c r="AF25" i="1"/>
  <c r="N10" i="6"/>
  <c r="W25" i="1"/>
  <c r="L62" i="34"/>
  <c r="E21" i="34"/>
  <c r="K38" i="34"/>
  <c r="K34" i="34"/>
  <c r="L34" i="34"/>
  <c r="L55" i="34"/>
  <c r="F49" i="34"/>
  <c r="J49" i="34"/>
  <c r="L17" i="34"/>
  <c r="L20" i="34"/>
  <c r="L16" i="34"/>
  <c r="L19" i="34"/>
  <c r="L22" i="34"/>
  <c r="L18" i="34"/>
  <c r="L21" i="34"/>
  <c r="C54" i="34" l="1"/>
  <c r="C52" i="34"/>
  <c r="J52" i="34" s="1"/>
  <c r="L52" i="34" s="1"/>
  <c r="C60" i="34"/>
  <c r="C61" i="34" s="1"/>
  <c r="D39" i="34"/>
  <c r="C44" i="34"/>
  <c r="L44" i="34" s="1"/>
  <c r="L43" i="34"/>
  <c r="V26" i="1"/>
  <c r="AD36" i="1"/>
  <c r="Y36" i="1"/>
  <c r="Y35" i="1"/>
  <c r="Y37" i="1"/>
  <c r="AR33" i="1"/>
  <c r="AQ33" i="1"/>
  <c r="AS33" i="1"/>
  <c r="W35" i="1"/>
  <c r="V35" i="1"/>
  <c r="X35" i="1"/>
  <c r="V36" i="1"/>
  <c r="V37" i="1"/>
  <c r="W37" i="1"/>
  <c r="W36" i="1"/>
  <c r="X36" i="1"/>
  <c r="X37" i="1"/>
  <c r="V22" i="1"/>
  <c r="K49" i="34"/>
  <c r="L56" i="34" s="1"/>
  <c r="L49" i="34"/>
  <c r="C50" i="34"/>
  <c r="D47" i="34" l="1"/>
  <c r="G39" i="34"/>
  <c r="L54" i="34"/>
  <c r="L57" i="34"/>
  <c r="L58" i="34" s="1"/>
  <c r="L60" i="34"/>
  <c r="L61" i="34" s="1"/>
  <c r="I39" i="34" l="1"/>
  <c r="G40" i="34"/>
  <c r="G60" i="34"/>
  <c r="G61" i="34" s="1"/>
  <c r="G47" i="34"/>
  <c r="C51" i="34"/>
  <c r="J51" i="34" s="1"/>
  <c r="L51" i="34" s="1"/>
  <c r="J50" i="34"/>
  <c r="L50" i="34" s="1"/>
  <c r="I40" i="34" l="1"/>
  <c r="I47" i="34"/>
  <c r="I43" i="34"/>
  <c r="I44" i="34" s="1"/>
  <c r="D40" i="34" l="1"/>
  <c r="D43" i="34"/>
  <c r="G43" i="34" s="1"/>
  <c r="H43" i="34" l="1"/>
  <c r="H56" i="34" s="1"/>
  <c r="H57" i="34" s="1"/>
  <c r="H58" i="34" s="1"/>
  <c r="G44" i="34"/>
  <c r="G54" i="34"/>
  <c r="D44" i="34"/>
  <c r="D54" i="34"/>
  <c r="F43" i="34"/>
  <c r="F56" i="34" s="1"/>
  <c r="F57" i="34" s="1"/>
  <c r="F58" i="34" s="1"/>
</calcChain>
</file>

<file path=xl/sharedStrings.xml><?xml version="1.0" encoding="utf-8"?>
<sst xmlns="http://schemas.openxmlformats.org/spreadsheetml/2006/main" count="419" uniqueCount="251">
  <si>
    <t>COURSE\LIFT:</t>
  </si>
  <si>
    <t>Sieve Size:</t>
  </si>
  <si>
    <t>Washed Sieve</t>
  </si>
  <si>
    <t>VMA:</t>
  </si>
  <si>
    <t>Grade</t>
  </si>
  <si>
    <r>
      <t>1993</t>
    </r>
    <r>
      <rPr>
        <b/>
        <sz val="10"/>
        <rFont val="Arial"/>
        <family val="2"/>
      </rPr>
      <t xml:space="preserve"> Sieve Size</t>
    </r>
  </si>
  <si>
    <r>
      <t>1995</t>
    </r>
    <r>
      <rPr>
        <b/>
        <sz val="10"/>
        <rFont val="Arial"/>
        <family val="2"/>
      </rPr>
      <t xml:space="preserve"> Sieve Size</t>
    </r>
  </si>
  <si>
    <t>Sieve Measurement</t>
  </si>
  <si>
    <t>Min</t>
  </si>
  <si>
    <t>Max</t>
  </si>
  <si>
    <t>Sieve Size</t>
  </si>
  <si>
    <t>TYPE A</t>
  </si>
  <si>
    <t>1-1/2"</t>
  </si>
  <si>
    <t>37.5 mm</t>
  </si>
  <si>
    <t>1-1/4"</t>
  </si>
  <si>
    <t>31.5 mm</t>
  </si>
  <si>
    <t>7/8"</t>
  </si>
  <si>
    <t>22.4 mm</t>
  </si>
  <si>
    <t>1/2"</t>
  </si>
  <si>
    <t>12.5 mm</t>
  </si>
  <si>
    <t>No. 4</t>
  </si>
  <si>
    <t>4.75 mm</t>
  </si>
  <si>
    <t>No. 10</t>
  </si>
  <si>
    <t>2 mm</t>
  </si>
  <si>
    <t>No. 40</t>
  </si>
  <si>
    <t>425 µm</t>
  </si>
  <si>
    <t>No. 80</t>
  </si>
  <si>
    <t>180 µm</t>
  </si>
  <si>
    <t>No. 200</t>
  </si>
  <si>
    <t>75 µm</t>
  </si>
  <si>
    <t>TYPE B</t>
  </si>
  <si>
    <t>1"</t>
  </si>
  <si>
    <t>25 mm</t>
  </si>
  <si>
    <t>5/8"</t>
  </si>
  <si>
    <t>16 mm</t>
  </si>
  <si>
    <t>3/8"</t>
  </si>
  <si>
    <t>9.5 mm</t>
  </si>
  <si>
    <t>TYPE C</t>
  </si>
  <si>
    <t>TYPE D</t>
  </si>
  <si>
    <t>TYPE F</t>
  </si>
  <si>
    <t>1/4"</t>
  </si>
  <si>
    <t>6.3 mm</t>
  </si>
  <si>
    <t>TYPE CMHB-C</t>
  </si>
  <si>
    <t>TYPE CMHB-F</t>
  </si>
  <si>
    <t>Percent</t>
  </si>
  <si>
    <t>Combined Gradation</t>
  </si>
  <si>
    <t>LETTING DATE:</t>
  </si>
  <si>
    <t>COUNTY:</t>
  </si>
  <si>
    <t>Lower Spec Limit</t>
  </si>
  <si>
    <t>Upper Spec Limit</t>
  </si>
  <si>
    <t>Bin No.1</t>
  </si>
  <si>
    <t>Bin No.2</t>
  </si>
  <si>
    <t>Bin No.3</t>
  </si>
  <si>
    <t>Bin No.4</t>
  </si>
  <si>
    <t>Bin No.5</t>
  </si>
  <si>
    <t xml:space="preserve">Bin No.6 </t>
  </si>
  <si>
    <t xml:space="preserve">Bin No.7 </t>
  </si>
  <si>
    <t>BIN FRACTIONS</t>
  </si>
  <si>
    <r>
      <t>Wtd</t>
    </r>
    <r>
      <rPr>
        <sz val="8"/>
        <rFont val="Arial"/>
        <family val="2"/>
      </rPr>
      <t xml:space="preserve"> Cum. %</t>
    </r>
  </si>
  <si>
    <t>Cum. % Passing</t>
  </si>
  <si>
    <t>Individual % Retained</t>
  </si>
  <si>
    <t>Total Bin</t>
  </si>
  <si>
    <t>Cum.% Passing</t>
  </si>
  <si>
    <t>Within Spec's</t>
  </si>
  <si>
    <t>Cumulative % Retained</t>
  </si>
  <si>
    <t>Individual Bin (%):</t>
  </si>
  <si>
    <t>Completed Date:</t>
  </si>
  <si>
    <t>Shown On Plans</t>
  </si>
  <si>
    <t>Gradation Table</t>
  </si>
  <si>
    <t>2"</t>
  </si>
  <si>
    <t>50 mm</t>
  </si>
  <si>
    <t>1-3/4"</t>
  </si>
  <si>
    <t>45 mm</t>
  </si>
  <si>
    <t>3/4"</t>
  </si>
  <si>
    <t>19 mm</t>
  </si>
  <si>
    <t>7/16"</t>
  </si>
  <si>
    <t>11.2 mm</t>
  </si>
  <si>
    <t>5/16"</t>
  </si>
  <si>
    <t>8 mm</t>
  </si>
  <si>
    <t>No. 6</t>
  </si>
  <si>
    <t>3.35 mm</t>
  </si>
  <si>
    <t>No. 8</t>
  </si>
  <si>
    <t>2.36 mm</t>
  </si>
  <si>
    <t>No. 14</t>
  </si>
  <si>
    <t>1.4 mm</t>
  </si>
  <si>
    <t>No. 16</t>
  </si>
  <si>
    <t>1.18 mm</t>
  </si>
  <si>
    <t>No. 20</t>
  </si>
  <si>
    <t>.85 µm</t>
  </si>
  <si>
    <t>No. 30</t>
  </si>
  <si>
    <t>.6 µm</t>
  </si>
  <si>
    <t>.425 µm</t>
  </si>
  <si>
    <t>No. 50</t>
  </si>
  <si>
    <t>.3 µm</t>
  </si>
  <si>
    <t>.18 µm</t>
  </si>
  <si>
    <t>No. 100</t>
  </si>
  <si>
    <t>.15 µm</t>
  </si>
  <si>
    <t>.075 µm</t>
  </si>
  <si>
    <t>Selection</t>
  </si>
  <si>
    <t>English</t>
  </si>
  <si>
    <t>Metric</t>
  </si>
  <si>
    <t>Size</t>
  </si>
  <si>
    <t>Tx2MixDes.xls::38014.585162</t>
  </si>
  <si>
    <t>PROJECT NAME:</t>
  </si>
  <si>
    <t>PROJECT DESCRIPTION:</t>
  </si>
  <si>
    <t>CITY:</t>
  </si>
  <si>
    <t>STATE:</t>
  </si>
  <si>
    <t>MIX DESIGN STATUS:</t>
  </si>
  <si>
    <t>MIX DESIGN DATE:</t>
  </si>
  <si>
    <t>OWNER:</t>
  </si>
  <si>
    <t>0.45 Power Sieve (mm)</t>
  </si>
  <si>
    <t>3/4" Max Density % Passing</t>
  </si>
  <si>
    <t>1" Max Density % Passing</t>
  </si>
  <si>
    <t>% Cement</t>
  </si>
  <si>
    <t>Mix Quantities</t>
  </si>
  <si>
    <t>Ingredient</t>
  </si>
  <si>
    <t>Cement</t>
  </si>
  <si>
    <t>Fly Ash</t>
  </si>
  <si>
    <t>Absolute Volume (CF)</t>
  </si>
  <si>
    <t>W/CM Ratio</t>
  </si>
  <si>
    <t>Calculated Air Volume (CF)</t>
  </si>
  <si>
    <t>MIX DESCRIPTION:</t>
  </si>
  <si>
    <t>PLANT TYPE:</t>
  </si>
  <si>
    <t>MATERIAL USE:</t>
  </si>
  <si>
    <t>RCC MIXTURE DESIGN : COMBINED AGGREGATE GRADATION</t>
  </si>
  <si>
    <t>Max Wet Density (lbs/CF)</t>
  </si>
  <si>
    <t>Max Dry Density (lbs/CF)</t>
  </si>
  <si>
    <t>Total Wet Weight (lbs/CF)</t>
  </si>
  <si>
    <t>Total Dry Weight (lbs/CF)</t>
  </si>
  <si>
    <t>RCC MIXTURE DESIGN : VOLUME CALCULATIONS</t>
  </si>
  <si>
    <t>Prepared By:</t>
  </si>
  <si>
    <t>Sum</t>
  </si>
  <si>
    <t>Optimum % Moisture</t>
  </si>
  <si>
    <t>Aggregate / Cement Ratio</t>
  </si>
  <si>
    <t>Calculated % Air Volume</t>
  </si>
  <si>
    <t>3/4" Max Density Difference</t>
  </si>
  <si>
    <t>Density</t>
  </si>
  <si>
    <t>Free Water</t>
  </si>
  <si>
    <t>Water absorbed in Aggregates</t>
  </si>
  <si>
    <t>Calculated</t>
  </si>
  <si>
    <t>Input</t>
  </si>
  <si>
    <t>Additional Water added by plant %</t>
  </si>
  <si>
    <t>Additional Water by plant (lbs)</t>
  </si>
  <si>
    <t>1/2" Max Density % Passing</t>
  </si>
  <si>
    <t>1/2" Max Density Difference</t>
  </si>
  <si>
    <t>Avg</t>
  </si>
  <si>
    <t>Final Water content by Plant (%)</t>
  </si>
  <si>
    <t>Test Batch Size (CF)</t>
  </si>
  <si>
    <t>Batch Size (CF)</t>
  </si>
  <si>
    <t>Test Batch Weight Dry (lbs)</t>
  </si>
  <si>
    <t>Test Batch Wet Weight (lbs)</t>
  </si>
  <si>
    <t>Test Batch Absolute Volume (CF)</t>
  </si>
  <si>
    <t>Water in Aggregates (lbs)</t>
  </si>
  <si>
    <t>Total Final Volume (CF)</t>
  </si>
  <si>
    <t>Final water by Plant (lbs)</t>
  </si>
  <si>
    <t>Final Water by Plant (Gal)</t>
  </si>
  <si>
    <t>Per CY (lbs)</t>
  </si>
  <si>
    <t>Per Test Batch (lbs)</t>
  </si>
  <si>
    <t>Total Water content (lbs)</t>
  </si>
  <si>
    <t>Total Water content (Gal)</t>
  </si>
  <si>
    <t>Water in Aggregates (Gal)</t>
  </si>
  <si>
    <t>Water added by Plant (Gal)</t>
  </si>
  <si>
    <t>Test Batch Size (CY)</t>
  </si>
  <si>
    <t>Additional Water by plant (Gal)</t>
  </si>
  <si>
    <t>% Density</t>
  </si>
  <si>
    <t>Top Agg Size</t>
  </si>
  <si>
    <t>Aggregate Type:</t>
  </si>
  <si>
    <t>Aggregate Name / Size:</t>
  </si>
  <si>
    <t>Aggregate Producer:</t>
  </si>
  <si>
    <t>Quarry Location:</t>
  </si>
  <si>
    <t>LA Abrasion</t>
  </si>
  <si>
    <t>Sodium Soundness</t>
  </si>
  <si>
    <t>Bulk SSD SG</t>
  </si>
  <si>
    <t>Apparent SG</t>
  </si>
  <si>
    <t>1/2" Difference</t>
  </si>
  <si>
    <t>3/4" Difference</t>
  </si>
  <si>
    <t>Total Water (lbs)</t>
  </si>
  <si>
    <t>Additional Description:</t>
  </si>
  <si>
    <t>% Pass #8</t>
  </si>
  <si>
    <t>% Retained above #8</t>
  </si>
  <si>
    <t>Coarseness Factor</t>
  </si>
  <si>
    <t>% Cementitious</t>
  </si>
  <si>
    <t>% Fly Ash (of cement replace)</t>
  </si>
  <si>
    <t>Aggregate Name</t>
  </si>
  <si>
    <t>%</t>
  </si>
  <si>
    <t>Power 45 Statistics</t>
  </si>
  <si>
    <t>Aggregate Combination Recommendations</t>
  </si>
  <si>
    <t>Aggregate Combination Selection</t>
  </si>
  <si>
    <t>Bin Number</t>
  </si>
  <si>
    <t>Log of Sieve Size</t>
  </si>
  <si>
    <t>Bin #</t>
  </si>
  <si>
    <t>1</t>
  </si>
  <si>
    <t>2</t>
  </si>
  <si>
    <t>3</t>
  </si>
  <si>
    <t>4</t>
  </si>
  <si>
    <t>5</t>
  </si>
  <si>
    <t>6</t>
  </si>
  <si>
    <t>7</t>
  </si>
  <si>
    <t>1" Difference</t>
  </si>
  <si>
    <t>1" Max Density Difference</t>
  </si>
  <si>
    <t>1" Max Density SSE</t>
  </si>
  <si>
    <t>3/4" Max Density SSE</t>
  </si>
  <si>
    <t>1/2" Max Density SSE</t>
  </si>
  <si>
    <t>SSE</t>
  </si>
  <si>
    <t>3/4" Max Density Ind Ret</t>
  </si>
  <si>
    <t>3/4" Max Density Cumm Ret</t>
  </si>
  <si>
    <t>Recommendation #1</t>
  </si>
  <si>
    <t>Recommendation #2</t>
  </si>
  <si>
    <t>Recommendation #3</t>
  </si>
  <si>
    <t>Combination #</t>
  </si>
  <si>
    <t>Recommendations</t>
  </si>
  <si>
    <t>Coarse</t>
  </si>
  <si>
    <t>OKDOT ind. Retained</t>
  </si>
  <si>
    <t>OKDOT Max</t>
  </si>
  <si>
    <t>OKDOT Min</t>
  </si>
  <si>
    <t>Batch Weight (Dry) (lbs/CY)</t>
  </si>
  <si>
    <t>Batch Weight (SSD) (lbs/CY)</t>
  </si>
  <si>
    <t>Specific Gravity (SSD)</t>
  </si>
  <si>
    <t>Sand / Agg</t>
  </si>
  <si>
    <t>Water added by Plant (Free Water) (lbs)</t>
  </si>
  <si>
    <t>Initial Mix Design</t>
  </si>
  <si>
    <t>Adjusted Mix (Manual Input)</t>
  </si>
  <si>
    <t>Sand #1</t>
  </si>
  <si>
    <t>Sand #2</t>
  </si>
  <si>
    <t>Intermediate</t>
  </si>
  <si>
    <t>Intermediate Aggregate absorption %</t>
  </si>
  <si>
    <t>Sand #1 absorption %</t>
  </si>
  <si>
    <t>Sand #2 absorption %</t>
  </si>
  <si>
    <t>Coarse Aggregate absorption %</t>
  </si>
  <si>
    <t>Coarse Aggregate Moisture %</t>
  </si>
  <si>
    <t>Intermediate Aggregate Moisture %</t>
  </si>
  <si>
    <t>Sand #1 Moisture %</t>
  </si>
  <si>
    <t>Sand #2 Moisture %</t>
  </si>
  <si>
    <t>Target CA %</t>
  </si>
  <si>
    <t>Target Intermediate %</t>
  </si>
  <si>
    <t>Target Sand #1 %</t>
  </si>
  <si>
    <t>Target Sand #2 %</t>
  </si>
  <si>
    <t>Producer 1</t>
  </si>
  <si>
    <t>A</t>
  </si>
  <si>
    <t>#67, limestone</t>
  </si>
  <si>
    <t>3/4 L</t>
  </si>
  <si>
    <t>3/8 L</t>
  </si>
  <si>
    <t>#89, limestone</t>
  </si>
  <si>
    <t>Steps to Follow</t>
  </si>
  <si>
    <t>1. Enter in Aggregate information and gradation information in Columns D through Q and Lines 13 through 36</t>
  </si>
  <si>
    <t>2. Enter in the Combined Grading Specification in Columns AJ through AO.  12 is for 1/2" Maximum rock, 34 3/4" max rock, and 1 is for 1" max rock</t>
  </si>
  <si>
    <t>3. Enter in Column T, Line 17 the Aggregate Size gradation specification you want to follow, either 12, 34, or 1</t>
  </si>
  <si>
    <t>4. In Columns D through J, and Lines 40-46 enter in up to 7 different combinations of aggregates you would like to Evaluate.</t>
  </si>
  <si>
    <t>5. In Column G, Line 37 Enter the Aggregate combination (1 through 7) that you would like to see plotted.</t>
  </si>
  <si>
    <t>6. Once you decided on the final combination, Put that number in according to Step #5, and move to Mix Design Tab.</t>
  </si>
  <si>
    <t>7. If you have any questions, Contact Corey Zollinger (coreyj.zollinger@cemex.com 713 733 6084)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</si>
</sst>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0"/>
    <numFmt numFmtId="167" formatCode="0.0%"/>
    <numFmt numFmtId="168" formatCode="mm/dd/yy"/>
    <numFmt numFmtId="169" formatCode="??0.0"/>
    <numFmt numFmtId="170" formatCode="?0.000"/>
    <numFmt numFmtId="171" formatCode="_(* #,##0_);_(* \(#,##0\);_(* &quot;-&quot;??_);_(@_)"/>
    <numFmt numFmtId="172" formatCode="0.000000000000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color indexed="8"/>
      <name val="SWISS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color indexed="17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8"/>
      <color rgb="FFFF0000"/>
      <name val="Arial"/>
      <family val="2"/>
    </font>
    <font>
      <b/>
      <sz val="18"/>
      <name val="Arial"/>
      <family val="2"/>
    </font>
    <font>
      <b/>
      <u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mediumGray">
        <fgColor indexed="47"/>
      </patternFill>
    </fill>
    <fill>
      <patternFill patternType="mediumGray">
        <fgColor indexed="47"/>
        <bgColor indexed="41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mediumGray">
        <fgColor indexed="47"/>
        <bgColor indexed="43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auto="1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8"/>
      </top>
      <bottom/>
      <diagonal/>
    </border>
  </borders>
  <cellStyleXfs count="30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9" fontId="2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>
      <alignment vertical="top"/>
    </xf>
    <xf numFmtId="3" fontId="2" fillId="0" borderId="0" applyFont="0" applyFill="0" applyBorder="0" applyAlignment="0" applyProtection="0"/>
    <xf numFmtId="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71" applyNumberFormat="0" applyFont="0" applyFill="0" applyAlignment="0" applyProtection="0"/>
  </cellStyleXfs>
  <cellXfs count="596">
    <xf numFmtId="0" fontId="0" fillId="0" borderId="0" xfId="0"/>
    <xf numFmtId="0" fontId="0" fillId="0" borderId="0" xfId="0" applyNumberFormat="1" applyFill="1" applyBorder="1" applyAlignment="1" applyProtection="1">
      <alignment vertical="center"/>
    </xf>
    <xf numFmtId="0" fontId="0" fillId="0" borderId="0" xfId="0" applyFill="1" applyAlignment="1" applyProtection="1">
      <alignment horizontal="centerContinuous" vertical="center"/>
    </xf>
    <xf numFmtId="0" fontId="0" fillId="0" borderId="0" xfId="0" applyNumberFormat="1" applyFill="1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centerContinuous" vertical="center"/>
    </xf>
    <xf numFmtId="0" fontId="0" fillId="0" borderId="0" xfId="0" applyAlignment="1">
      <alignment vertical="center"/>
    </xf>
    <xf numFmtId="0" fontId="3" fillId="0" borderId="0" xfId="2" applyBorder="1" applyAlignment="1" applyProtection="1">
      <alignment horizontal="center" vertical="center"/>
    </xf>
    <xf numFmtId="0" fontId="3" fillId="0" borderId="0" xfId="2" applyFont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8" fillId="0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Alignment="1" applyProtection="1">
      <alignment horizontal="left" vertical="center"/>
    </xf>
    <xf numFmtId="164" fontId="4" fillId="0" borderId="1" xfId="0" applyNumberFormat="1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166" fontId="4" fillId="0" borderId="0" xfId="0" applyNumberFormat="1" applyFont="1" applyAlignment="1" applyProtection="1">
      <alignment horizontal="left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  <xf numFmtId="169" fontId="4" fillId="0" borderId="2" xfId="0" applyNumberFormat="1" applyFont="1" applyFill="1" applyBorder="1" applyAlignment="1" applyProtection="1">
      <alignment horizontal="center" vertical="center"/>
    </xf>
    <xf numFmtId="169" fontId="0" fillId="0" borderId="0" xfId="0" applyNumberFormat="1"/>
    <xf numFmtId="167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vertical="center"/>
    </xf>
    <xf numFmtId="166" fontId="5" fillId="0" borderId="0" xfId="0" applyNumberFormat="1" applyFont="1" applyAlignment="1" applyProtection="1">
      <alignment horizontal="left" vertical="center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170" fontId="10" fillId="0" borderId="2" xfId="0" applyNumberFormat="1" applyFont="1" applyFill="1" applyBorder="1" applyAlignment="1" applyProtection="1">
      <alignment horizontal="center" vertical="center"/>
    </xf>
    <xf numFmtId="170" fontId="10" fillId="0" borderId="1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10" fillId="0" borderId="0" xfId="0" applyNumberFormat="1" applyFont="1" applyBorder="1" applyAlignment="1" applyProtection="1">
      <alignment horizontal="center" vertical="center"/>
    </xf>
    <xf numFmtId="0" fontId="10" fillId="0" borderId="0" xfId="0" applyNumberFormat="1" applyFont="1" applyBorder="1" applyAlignment="1" applyProtection="1">
      <alignment horizontal="left" vertical="center"/>
    </xf>
    <xf numFmtId="0" fontId="0" fillId="0" borderId="1" xfId="0" applyBorder="1"/>
    <xf numFmtId="0" fontId="10" fillId="0" borderId="1" xfId="0" applyFont="1" applyBorder="1" applyAlignment="1">
      <alignment horizontal="center" wrapText="1"/>
    </xf>
    <xf numFmtId="16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10" fillId="0" borderId="1" xfId="0" applyFont="1" applyFill="1" applyBorder="1" applyAlignment="1" applyProtection="1">
      <alignment horizontal="center"/>
    </xf>
    <xf numFmtId="0" fontId="10" fillId="0" borderId="1" xfId="0" applyNumberFormat="1" applyFont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0" fillId="0" borderId="1" xfId="0" applyFill="1" applyBorder="1"/>
    <xf numFmtId="0" fontId="17" fillId="7" borderId="6" xfId="0" applyFont="1" applyFill="1" applyBorder="1" applyAlignment="1" applyProtection="1">
      <alignment horizontal="center"/>
      <protection locked="0"/>
    </xf>
    <xf numFmtId="0" fontId="17" fillId="7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vertical="center"/>
    </xf>
    <xf numFmtId="0" fontId="2" fillId="0" borderId="0" xfId="0" applyFont="1" applyFill="1" applyBorder="1"/>
    <xf numFmtId="0" fontId="4" fillId="0" borderId="0" xfId="0" applyFont="1"/>
    <xf numFmtId="164" fontId="0" fillId="0" borderId="0" xfId="0" applyNumberFormat="1"/>
    <xf numFmtId="164" fontId="0" fillId="0" borderId="0" xfId="0" applyNumberFormat="1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164" fontId="0" fillId="0" borderId="0" xfId="0" applyNumberFormat="1" applyFill="1" applyBorder="1" applyAlignment="1">
      <alignment horizontal="center"/>
    </xf>
    <xf numFmtId="0" fontId="22" fillId="0" borderId="0" xfId="0" applyNumberFormat="1" applyFont="1" applyFill="1" applyBorder="1" applyAlignment="1" applyProtection="1">
      <alignment horizontal="centerContinuous" vertical="center"/>
    </xf>
    <xf numFmtId="0" fontId="0" fillId="7" borderId="1" xfId="0" applyFill="1" applyBorder="1"/>
    <xf numFmtId="0" fontId="8" fillId="0" borderId="0" xfId="0" applyFont="1"/>
    <xf numFmtId="0" fontId="0" fillId="7" borderId="0" xfId="0" applyFill="1"/>
    <xf numFmtId="1" fontId="0" fillId="0" borderId="0" xfId="0" applyNumberFormat="1"/>
    <xf numFmtId="1" fontId="8" fillId="0" borderId="0" xfId="0" applyNumberFormat="1" applyFont="1"/>
    <xf numFmtId="0" fontId="0" fillId="0" borderId="30" xfId="0" applyBorder="1"/>
    <xf numFmtId="169" fontId="4" fillId="7" borderId="2" xfId="0" applyNumberFormat="1" applyFont="1" applyFill="1" applyBorder="1" applyAlignment="1" applyProtection="1">
      <alignment horizontal="center" vertical="center"/>
      <protection locked="0"/>
    </xf>
    <xf numFmtId="169" fontId="4" fillId="7" borderId="1" xfId="0" applyNumberFormat="1" applyFont="1" applyFill="1" applyBorder="1" applyAlignment="1" applyProtection="1">
      <alignment horizontal="center" vertical="center"/>
      <protection locked="0"/>
    </xf>
    <xf numFmtId="169" fontId="4" fillId="8" borderId="2" xfId="0" applyNumberFormat="1" applyFont="1" applyFill="1" applyBorder="1" applyAlignment="1" applyProtection="1">
      <alignment horizontal="center" vertical="center"/>
    </xf>
    <xf numFmtId="169" fontId="4" fillId="8" borderId="5" xfId="0" applyNumberFormat="1" applyFont="1" applyFill="1" applyBorder="1" applyAlignment="1" applyProtection="1">
      <alignment horizontal="center" vertical="center"/>
    </xf>
    <xf numFmtId="169" fontId="4" fillId="8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wrapText="1"/>
    </xf>
    <xf numFmtId="0" fontId="0" fillId="0" borderId="1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2" borderId="0" xfId="0" applyFill="1"/>
    <xf numFmtId="0" fontId="0" fillId="0" borderId="0" xfId="0" applyBorder="1" applyAlignment="1">
      <alignment horizontal="left"/>
    </xf>
    <xf numFmtId="167" fontId="0" fillId="0" borderId="0" xfId="3" applyNumberFormat="1" applyFont="1" applyBorder="1"/>
    <xf numFmtId="9" fontId="0" fillId="0" borderId="0" xfId="3" applyFont="1" applyBorder="1"/>
    <xf numFmtId="1" fontId="0" fillId="2" borderId="1" xfId="0" applyNumberFormat="1" applyFill="1" applyBorder="1"/>
    <xf numFmtId="0" fontId="8" fillId="0" borderId="0" xfId="0" applyFont="1" applyBorder="1"/>
    <xf numFmtId="164" fontId="0" fillId="2" borderId="1" xfId="0" applyNumberFormat="1" applyFill="1" applyBorder="1"/>
    <xf numFmtId="9" fontId="0" fillId="0" borderId="0" xfId="0" applyNumberFormat="1"/>
    <xf numFmtId="0" fontId="10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69" fontId="4" fillId="0" borderId="0" xfId="0" applyNumberFormat="1" applyFont="1" applyFill="1" applyBorder="1" applyAlignment="1" applyProtection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169" fontId="4" fillId="0" borderId="0" xfId="0" applyNumberFormat="1" applyFont="1" applyFill="1" applyBorder="1" applyAlignment="1" applyProtection="1">
      <alignment horizontal="center" vertical="center"/>
      <protection locked="0"/>
    </xf>
    <xf numFmtId="169" fontId="4" fillId="0" borderId="0" xfId="0" applyNumberFormat="1" applyFont="1" applyFill="1" applyBorder="1" applyAlignment="1" applyProtection="1">
      <alignment horizontal="center" vertical="center" wrapText="1"/>
    </xf>
    <xf numFmtId="169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8" fillId="0" borderId="5" xfId="0" applyFont="1" applyBorder="1" applyAlignment="1">
      <alignment wrapText="1"/>
    </xf>
    <xf numFmtId="164" fontId="0" fillId="10" borderId="1" xfId="0" applyNumberFormat="1" applyFill="1" applyBorder="1"/>
    <xf numFmtId="165" fontId="0" fillId="10" borderId="5" xfId="0" applyNumberFormat="1" applyFill="1" applyBorder="1" applyAlignment="1">
      <alignment horizontal="center"/>
    </xf>
    <xf numFmtId="1" fontId="0" fillId="10" borderId="1" xfId="0" applyNumberFormat="1" applyFill="1" applyBorder="1"/>
    <xf numFmtId="165" fontId="0" fillId="12" borderId="0" xfId="0" applyNumberFormat="1" applyFill="1" applyBorder="1" applyAlignment="1">
      <alignment horizontal="center"/>
    </xf>
    <xf numFmtId="0" fontId="0" fillId="12" borderId="5" xfId="0" applyFill="1" applyBorder="1"/>
    <xf numFmtId="0" fontId="0" fillId="12" borderId="11" xfId="0" applyFill="1" applyBorder="1"/>
    <xf numFmtId="0" fontId="0" fillId="12" borderId="6" xfId="0" applyFill="1" applyBorder="1"/>
    <xf numFmtId="0" fontId="0" fillId="13" borderId="11" xfId="0" applyFill="1" applyBorder="1"/>
    <xf numFmtId="0" fontId="0" fillId="13" borderId="6" xfId="0" applyFill="1" applyBorder="1"/>
    <xf numFmtId="165" fontId="0" fillId="10" borderId="1" xfId="0" applyNumberFormat="1" applyFill="1" applyBorder="1" applyAlignment="1">
      <alignment horizontal="center"/>
    </xf>
    <xf numFmtId="0" fontId="8" fillId="0" borderId="25" xfId="0" applyFont="1" applyFill="1" applyBorder="1" applyAlignment="1">
      <alignment wrapText="1"/>
    </xf>
    <xf numFmtId="164" fontId="0" fillId="10" borderId="25" xfId="0" applyNumberFormat="1" applyFill="1" applyBorder="1"/>
    <xf numFmtId="1" fontId="0" fillId="10" borderId="25" xfId="0" applyNumberFormat="1" applyFill="1" applyBorder="1"/>
    <xf numFmtId="0" fontId="0" fillId="12" borderId="0" xfId="0" applyFill="1" applyBorder="1"/>
    <xf numFmtId="0" fontId="0" fillId="12" borderId="36" xfId="0" applyFill="1" applyBorder="1"/>
    <xf numFmtId="0" fontId="0" fillId="12" borderId="37" xfId="0" applyFill="1" applyBorder="1"/>
    <xf numFmtId="10" fontId="0" fillId="7" borderId="22" xfId="3" applyNumberFormat="1" applyFont="1" applyFill="1" applyBorder="1"/>
    <xf numFmtId="164" fontId="0" fillId="10" borderId="28" xfId="0" applyNumberFormat="1" applyFill="1" applyBorder="1"/>
    <xf numFmtId="164" fontId="0" fillId="10" borderId="27" xfId="0" applyNumberFormat="1" applyFill="1" applyBorder="1"/>
    <xf numFmtId="165" fontId="0" fillId="12" borderId="10" xfId="0" applyNumberFormat="1" applyFill="1" applyBorder="1"/>
    <xf numFmtId="0" fontId="0" fillId="12" borderId="4" xfId="0" applyFill="1" applyBorder="1"/>
    <xf numFmtId="0" fontId="0" fillId="12" borderId="13" xfId="0" applyFill="1" applyBorder="1"/>
    <xf numFmtId="165" fontId="0" fillId="14" borderId="1" xfId="0" applyNumberFormat="1" applyFill="1" applyBorder="1" applyAlignment="1">
      <alignment horizontal="center"/>
    </xf>
    <xf numFmtId="2" fontId="0" fillId="10" borderId="2" xfId="0" applyNumberFormat="1" applyFill="1" applyBorder="1"/>
    <xf numFmtId="165" fontId="0" fillId="13" borderId="5" xfId="0" applyNumberFormat="1" applyFill="1" applyBorder="1"/>
    <xf numFmtId="165" fontId="0" fillId="13" borderId="11" xfId="0" applyNumberFormat="1" applyFill="1" applyBorder="1"/>
    <xf numFmtId="10" fontId="19" fillId="13" borderId="6" xfId="3" applyNumberFormat="1" applyFont="1" applyFill="1" applyBorder="1"/>
    <xf numFmtId="10" fontId="19" fillId="13" borderId="11" xfId="3" applyNumberFormat="1" applyFont="1" applyFill="1" applyBorder="1" applyAlignment="1">
      <alignment vertical="center"/>
    </xf>
    <xf numFmtId="0" fontId="0" fillId="13" borderId="11" xfId="0" applyFill="1" applyBorder="1" applyAlignment="1">
      <alignment vertical="center"/>
    </xf>
    <xf numFmtId="164" fontId="0" fillId="10" borderId="22" xfId="0" applyNumberFormat="1" applyFill="1" applyBorder="1"/>
    <xf numFmtId="165" fontId="0" fillId="13" borderId="41" xfId="0" applyNumberFormat="1" applyFill="1" applyBorder="1"/>
    <xf numFmtId="0" fontId="0" fillId="13" borderId="41" xfId="0" applyFill="1" applyBorder="1"/>
    <xf numFmtId="165" fontId="0" fillId="13" borderId="18" xfId="0" applyNumberFormat="1" applyFill="1" applyBorder="1"/>
    <xf numFmtId="164" fontId="0" fillId="10" borderId="23" xfId="0" applyNumberFormat="1" applyFill="1" applyBorder="1"/>
    <xf numFmtId="165" fontId="0" fillId="10" borderId="25" xfId="0" applyNumberFormat="1" applyFill="1" applyBorder="1"/>
    <xf numFmtId="10" fontId="19" fillId="10" borderId="25" xfId="3" applyNumberFormat="1" applyFont="1" applyFill="1" applyBorder="1"/>
    <xf numFmtId="2" fontId="0" fillId="10" borderId="42" xfId="0" applyNumberFormat="1" applyFill="1" applyBorder="1"/>
    <xf numFmtId="2" fontId="0" fillId="10" borderId="27" xfId="0" applyNumberFormat="1" applyFill="1" applyBorder="1"/>
    <xf numFmtId="0" fontId="0" fillId="13" borderId="35" xfId="0" applyFill="1" applyBorder="1"/>
    <xf numFmtId="0" fontId="0" fillId="13" borderId="36" xfId="0" applyFill="1" applyBorder="1"/>
    <xf numFmtId="0" fontId="0" fillId="13" borderId="37" xfId="0" applyFill="1" applyBorder="1"/>
    <xf numFmtId="2" fontId="0" fillId="10" borderId="28" xfId="0" applyNumberFormat="1" applyFill="1" applyBorder="1"/>
    <xf numFmtId="167" fontId="0" fillId="7" borderId="40" xfId="3" applyNumberFormat="1" applyFont="1" applyFill="1" applyBorder="1"/>
    <xf numFmtId="167" fontId="0" fillId="7" borderId="5" xfId="3" applyNumberFormat="1" applyFont="1" applyFill="1" applyBorder="1"/>
    <xf numFmtId="167" fontId="0" fillId="7" borderId="35" xfId="3" applyNumberFormat="1" applyFont="1" applyFill="1" applyBorder="1"/>
    <xf numFmtId="2" fontId="0" fillId="10" borderId="39" xfId="0" applyNumberFormat="1" applyFill="1" applyBorder="1"/>
    <xf numFmtId="2" fontId="0" fillId="10" borderId="25" xfId="0" applyNumberFormat="1" applyFill="1" applyBorder="1"/>
    <xf numFmtId="0" fontId="0" fillId="10" borderId="22" xfId="0" applyFill="1" applyBorder="1"/>
    <xf numFmtId="0" fontId="8" fillId="0" borderId="1" xfId="0" applyFont="1" applyBorder="1" applyAlignment="1">
      <alignment horizontal="center"/>
    </xf>
    <xf numFmtId="165" fontId="0" fillId="12" borderId="4" xfId="0" applyNumberFormat="1" applyFill="1" applyBorder="1" applyAlignment="1">
      <alignment horizontal="center"/>
    </xf>
    <xf numFmtId="165" fontId="0" fillId="12" borderId="13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165" fontId="0" fillId="12" borderId="11" xfId="0" applyNumberFormat="1" applyFill="1" applyBorder="1" applyAlignment="1">
      <alignment horizontal="center"/>
    </xf>
    <xf numFmtId="165" fontId="0" fillId="12" borderId="6" xfId="0" applyNumberFormat="1" applyFill="1" applyBorder="1" applyAlignment="1">
      <alignment horizontal="center"/>
    </xf>
    <xf numFmtId="0" fontId="0" fillId="12" borderId="40" xfId="0" applyFill="1" applyBorder="1"/>
    <xf numFmtId="0" fontId="0" fillId="12" borderId="41" xfId="0" applyFill="1" applyBorder="1"/>
    <xf numFmtId="0" fontId="0" fillId="12" borderId="18" xfId="0" applyFill="1" applyBorder="1"/>
    <xf numFmtId="164" fontId="0" fillId="12" borderId="32" xfId="0" applyNumberFormat="1" applyFill="1" applyBorder="1"/>
    <xf numFmtId="164" fontId="0" fillId="2" borderId="1" xfId="3" applyNumberFormat="1" applyFont="1" applyFill="1" applyBorder="1"/>
    <xf numFmtId="164" fontId="8" fillId="0" borderId="0" xfId="0" applyNumberFormat="1" applyFont="1"/>
    <xf numFmtId="9" fontId="0" fillId="0" borderId="0" xfId="3" applyFont="1"/>
    <xf numFmtId="0" fontId="0" fillId="0" borderId="0" xfId="0" applyFill="1" applyBorder="1" applyAlignment="1">
      <alignment vertical="center"/>
    </xf>
    <xf numFmtId="0" fontId="4" fillId="0" borderId="0" xfId="8"/>
    <xf numFmtId="0" fontId="4" fillId="0" borderId="0" xfId="8" applyFill="1"/>
    <xf numFmtId="0" fontId="7" fillId="0" borderId="0" xfId="0" applyNumberFormat="1" applyFont="1" applyFill="1" applyBorder="1" applyAlignment="1" applyProtection="1">
      <alignment vertical="center"/>
    </xf>
    <xf numFmtId="0" fontId="0" fillId="0" borderId="9" xfId="0" applyBorder="1" applyAlignment="1"/>
    <xf numFmtId="0" fontId="0" fillId="0" borderId="0" xfId="0" applyBorder="1" applyAlignment="1"/>
    <xf numFmtId="49" fontId="4" fillId="0" borderId="0" xfId="0" applyNumberFormat="1" applyFont="1" applyBorder="1" applyAlignment="1"/>
    <xf numFmtId="0" fontId="0" fillId="0" borderId="0" xfId="0" applyNumberFormat="1" applyBorder="1" applyAlignment="1"/>
    <xf numFmtId="0" fontId="0" fillId="0" borderId="0" xfId="0" applyFill="1" applyAlignment="1" applyProtection="1">
      <alignment vertical="center"/>
    </xf>
    <xf numFmtId="0" fontId="3" fillId="0" borderId="0" xfId="2" applyFill="1" applyBorder="1" applyAlignment="1" applyProtection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vertical="center"/>
    </xf>
    <xf numFmtId="164" fontId="0" fillId="10" borderId="49" xfId="0" applyNumberFormat="1" applyFill="1" applyBorder="1"/>
    <xf numFmtId="0" fontId="0" fillId="12" borderId="33" xfId="0" applyFill="1" applyBorder="1"/>
    <xf numFmtId="10" fontId="0" fillId="2" borderId="1" xfId="3" applyNumberFormat="1" applyFont="1" applyFill="1" applyBorder="1"/>
    <xf numFmtId="164" fontId="0" fillId="2" borderId="25" xfId="0" applyNumberFormat="1" applyFill="1" applyBorder="1"/>
    <xf numFmtId="167" fontId="0" fillId="7" borderId="28" xfId="3" applyNumberFormat="1" applyFont="1" applyFill="1" applyBorder="1"/>
    <xf numFmtId="164" fontId="0" fillId="7" borderId="23" xfId="0" applyNumberFormat="1" applyFill="1" applyBorder="1"/>
    <xf numFmtId="164" fontId="0" fillId="0" borderId="16" xfId="0" applyNumberFormat="1" applyBorder="1"/>
    <xf numFmtId="2" fontId="0" fillId="0" borderId="0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0" fillId="0" borderId="0" xfId="0" applyNumberFormat="1" applyBorder="1"/>
    <xf numFmtId="0" fontId="4" fillId="0" borderId="22" xfId="0" applyFont="1" applyBorder="1"/>
    <xf numFmtId="0" fontId="4" fillId="0" borderId="23" xfId="0" applyFont="1" applyFill="1" applyBorder="1"/>
    <xf numFmtId="0" fontId="0" fillId="0" borderId="25" xfId="0" applyBorder="1"/>
    <xf numFmtId="0" fontId="4" fillId="0" borderId="0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49" fontId="18" fillId="11" borderId="0" xfId="0" applyNumberFormat="1" applyFont="1" applyFill="1" applyBorder="1" applyAlignment="1" applyProtection="1">
      <alignment vertical="top" wrapText="1"/>
      <protection locked="0"/>
    </xf>
    <xf numFmtId="0" fontId="8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164" fontId="28" fillId="11" borderId="1" xfId="3" applyNumberFormat="1" applyFont="1" applyFill="1" applyBorder="1" applyAlignment="1" applyProtection="1">
      <alignment horizontal="center" vertical="center" wrapText="1"/>
      <protection locked="0"/>
    </xf>
    <xf numFmtId="164" fontId="28" fillId="11" borderId="1" xfId="0" applyNumberFormat="1" applyFont="1" applyFill="1" applyBorder="1" applyAlignment="1" applyProtection="1">
      <alignment horizontal="center" vertical="center" wrapText="1"/>
      <protection locked="0"/>
    </xf>
    <xf numFmtId="2" fontId="0" fillId="11" borderId="1" xfId="3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 applyProtection="1">
      <alignment horizontal="center" vertical="center" wrapText="1"/>
    </xf>
    <xf numFmtId="169" fontId="4" fillId="10" borderId="1" xfId="0" applyNumberFormat="1" applyFont="1" applyFill="1" applyBorder="1" applyAlignment="1" applyProtection="1">
      <alignment horizontal="center" vertical="center" wrapText="1"/>
    </xf>
    <xf numFmtId="164" fontId="4" fillId="14" borderId="1" xfId="0" applyNumberFormat="1" applyFont="1" applyFill="1" applyBorder="1" applyAlignment="1" applyProtection="1">
      <alignment horizontal="center" vertical="center"/>
    </xf>
    <xf numFmtId="164" fontId="10" fillId="14" borderId="1" xfId="0" applyNumberFormat="1" applyFont="1" applyFill="1" applyBorder="1" applyAlignment="1" applyProtection="1">
      <alignment horizontal="center" vertical="center"/>
    </xf>
    <xf numFmtId="164" fontId="4" fillId="14" borderId="1" xfId="0" applyNumberFormat="1" applyFont="1" applyFill="1" applyBorder="1" applyAlignment="1" applyProtection="1">
      <alignment horizontal="center" vertical="center"/>
      <protection locked="0"/>
    </xf>
    <xf numFmtId="164" fontId="0" fillId="14" borderId="1" xfId="0" applyNumberFormat="1" applyFill="1" applyBorder="1" applyAlignment="1" applyProtection="1">
      <alignment horizontal="center" vertical="center"/>
    </xf>
    <xf numFmtId="164" fontId="18" fillId="14" borderId="1" xfId="0" applyNumberFormat="1" applyFont="1" applyFill="1" applyBorder="1" applyAlignment="1" applyProtection="1">
      <alignment horizontal="center" vertical="top" wrapText="1"/>
      <protection locked="0"/>
    </xf>
    <xf numFmtId="164" fontId="18" fillId="14" borderId="14" xfId="0" applyNumberFormat="1" applyFont="1" applyFill="1" applyBorder="1" applyAlignment="1" applyProtection="1">
      <alignment horizontal="center" vertical="top" wrapText="1"/>
      <protection locked="0"/>
    </xf>
    <xf numFmtId="169" fontId="17" fillId="10" borderId="1" xfId="0" applyNumberFormat="1" applyFont="1" applyFill="1" applyBorder="1" applyAlignment="1" applyProtection="1">
      <alignment horizontal="center" vertical="center"/>
      <protection locked="0"/>
    </xf>
    <xf numFmtId="0" fontId="29" fillId="10" borderId="38" xfId="0" applyFont="1" applyFill="1" applyBorder="1" applyAlignment="1">
      <alignment horizontal="center"/>
    </xf>
    <xf numFmtId="164" fontId="17" fillId="14" borderId="1" xfId="0" applyNumberFormat="1" applyFont="1" applyFill="1" applyBorder="1" applyAlignment="1" applyProtection="1">
      <alignment horizontal="center" vertical="top" wrapText="1"/>
      <protection locked="0"/>
    </xf>
    <xf numFmtId="164" fontId="4" fillId="14" borderId="1" xfId="0" applyNumberFormat="1" applyFont="1" applyFill="1" applyBorder="1" applyAlignment="1" applyProtection="1">
      <alignment vertical="center"/>
    </xf>
    <xf numFmtId="164" fontId="0" fillId="14" borderId="1" xfId="0" applyNumberFormat="1" applyFill="1" applyBorder="1" applyAlignment="1">
      <alignment vertical="center"/>
    </xf>
    <xf numFmtId="164" fontId="0" fillId="14" borderId="1" xfId="0" applyNumberFormat="1" applyFill="1" applyBorder="1" applyAlignment="1" applyProtection="1">
      <alignment vertical="center"/>
    </xf>
    <xf numFmtId="164" fontId="18" fillId="14" borderId="1" xfId="0" applyNumberFormat="1" applyFont="1" applyFill="1" applyBorder="1" applyAlignment="1" applyProtection="1">
      <alignment vertical="top" wrapText="1"/>
      <protection locked="0"/>
    </xf>
    <xf numFmtId="164" fontId="17" fillId="14" borderId="1" xfId="0" applyNumberFormat="1" applyFont="1" applyFill="1" applyBorder="1" applyAlignment="1" applyProtection="1">
      <alignment vertical="top" wrapText="1"/>
      <protection locked="0"/>
    </xf>
    <xf numFmtId="0" fontId="8" fillId="0" borderId="55" xfId="0" applyFont="1" applyFill="1" applyBorder="1" applyAlignment="1" applyProtection="1">
      <alignment horizontal="center" vertical="center"/>
    </xf>
    <xf numFmtId="164" fontId="0" fillId="14" borderId="55" xfId="0" applyNumberFormat="1" applyFill="1" applyBorder="1" applyAlignment="1">
      <alignment vertical="center"/>
    </xf>
    <xf numFmtId="164" fontId="0" fillId="14" borderId="55" xfId="0" applyNumberFormat="1" applyFill="1" applyBorder="1" applyAlignment="1" applyProtection="1">
      <alignment vertical="center"/>
    </xf>
    <xf numFmtId="0" fontId="0" fillId="0" borderId="8" xfId="0" applyFill="1" applyBorder="1" applyAlignment="1">
      <alignment vertical="center"/>
    </xf>
    <xf numFmtId="0" fontId="8" fillId="0" borderId="58" xfId="0" applyFont="1" applyFill="1" applyBorder="1" applyAlignment="1">
      <alignment horizontal="center" vertical="center"/>
    </xf>
    <xf numFmtId="49" fontId="17" fillId="11" borderId="59" xfId="0" applyNumberFormat="1" applyFont="1" applyFill="1" applyBorder="1" applyAlignment="1" applyProtection="1">
      <alignment horizontal="center" vertical="top" wrapText="1"/>
      <protection locked="0"/>
    </xf>
    <xf numFmtId="49" fontId="17" fillId="11" borderId="60" xfId="0" applyNumberFormat="1" applyFont="1" applyFill="1" applyBorder="1" applyAlignment="1" applyProtection="1">
      <alignment horizontal="center" vertical="top" wrapText="1"/>
      <protection locked="0"/>
    </xf>
    <xf numFmtId="164" fontId="18" fillId="14" borderId="14" xfId="0" applyNumberFormat="1" applyFont="1" applyFill="1" applyBorder="1" applyAlignment="1" applyProtection="1">
      <alignment vertical="top" wrapText="1"/>
      <protection locked="0"/>
    </xf>
    <xf numFmtId="164" fontId="0" fillId="14" borderId="61" xfId="0" applyNumberFormat="1" applyFill="1" applyBorder="1" applyAlignment="1" applyProtection="1">
      <alignment vertical="center"/>
    </xf>
    <xf numFmtId="1" fontId="17" fillId="11" borderId="63" xfId="0" applyNumberFormat="1" applyFont="1" applyFill="1" applyBorder="1" applyAlignment="1" applyProtection="1">
      <alignment horizontal="center" vertical="top" wrapText="1"/>
      <protection locked="0"/>
    </xf>
    <xf numFmtId="1" fontId="17" fillId="11" borderId="64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Alignment="1">
      <alignment vertical="center"/>
    </xf>
    <xf numFmtId="164" fontId="0" fillId="0" borderId="0" xfId="0" applyNumberFormat="1" applyFill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72" fontId="0" fillId="0" borderId="0" xfId="0" applyNumberFormat="1" applyAlignment="1">
      <alignment vertical="center"/>
    </xf>
    <xf numFmtId="169" fontId="0" fillId="0" borderId="1" xfId="0" applyNumberFormat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69" fontId="0" fillId="0" borderId="0" xfId="0" applyNumberFormat="1" applyBorder="1" applyAlignment="1">
      <alignment horizontal="center" vertical="center"/>
    </xf>
    <xf numFmtId="169" fontId="4" fillId="15" borderId="5" xfId="0" applyNumberFormat="1" applyFont="1" applyFill="1" applyBorder="1" applyAlignment="1" applyProtection="1">
      <alignment horizontal="center" vertical="center"/>
    </xf>
    <xf numFmtId="169" fontId="4" fillId="15" borderId="1" xfId="0" applyNumberFormat="1" applyFont="1" applyFill="1" applyBorder="1" applyAlignment="1" applyProtection="1">
      <alignment horizontal="center" vertical="center"/>
    </xf>
    <xf numFmtId="164" fontId="27" fillId="0" borderId="10" xfId="0" applyNumberFormat="1" applyFont="1" applyBorder="1" applyAlignment="1">
      <alignment horizontal="center"/>
    </xf>
    <xf numFmtId="164" fontId="27" fillId="0" borderId="5" xfId="0" applyNumberFormat="1" applyFont="1" applyBorder="1" applyAlignment="1">
      <alignment horizontal="center"/>
    </xf>
    <xf numFmtId="169" fontId="4" fillId="14" borderId="1" xfId="0" applyNumberFormat="1" applyFont="1" applyFill="1" applyBorder="1" applyAlignment="1" applyProtection="1">
      <alignment horizontal="center" vertical="center"/>
      <protection locked="0"/>
    </xf>
    <xf numFmtId="171" fontId="0" fillId="0" borderId="0" xfId="0" applyNumberFormat="1"/>
    <xf numFmtId="0" fontId="10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8" fillId="11" borderId="6" xfId="0" applyFont="1" applyFill="1" applyBorder="1" applyAlignment="1" applyProtection="1">
      <alignment horizontal="center" vertical="center"/>
    </xf>
    <xf numFmtId="0" fontId="8" fillId="11" borderId="1" xfId="0" applyFont="1" applyFill="1" applyBorder="1" applyAlignment="1" applyProtection="1">
      <alignment horizontal="center" vertical="center"/>
    </xf>
    <xf numFmtId="0" fontId="23" fillId="14" borderId="1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vertical="center"/>
    </xf>
    <xf numFmtId="1" fontId="2" fillId="0" borderId="0" xfId="0" applyNumberFormat="1" applyFont="1"/>
    <xf numFmtId="167" fontId="0" fillId="2" borderId="40" xfId="3" applyNumberFormat="1" applyFont="1" applyFill="1" applyBorder="1"/>
    <xf numFmtId="167" fontId="0" fillId="2" borderId="10" xfId="3" applyNumberFormat="1" applyFont="1" applyFill="1" applyBorder="1"/>
    <xf numFmtId="167" fontId="0" fillId="10" borderId="44" xfId="3" applyNumberFormat="1" applyFont="1" applyFill="1" applyBorder="1"/>
    <xf numFmtId="167" fontId="0" fillId="10" borderId="43" xfId="3" applyNumberFormat="1" applyFont="1" applyFill="1" applyBorder="1"/>
    <xf numFmtId="164" fontId="0" fillId="0" borderId="2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2" fillId="0" borderId="10" xfId="0" applyFont="1" applyBorder="1" applyAlignment="1">
      <alignment horizontal="center" wrapText="1"/>
    </xf>
    <xf numFmtId="164" fontId="2" fillId="0" borderId="5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167" fontId="0" fillId="7" borderId="8" xfId="3" applyNumberFormat="1" applyFont="1" applyFill="1" applyBorder="1"/>
    <xf numFmtId="167" fontId="0" fillId="2" borderId="9" xfId="3" applyNumberFormat="1" applyFont="1" applyFill="1" applyBorder="1"/>
    <xf numFmtId="0" fontId="30" fillId="11" borderId="0" xfId="0" applyFont="1" applyFill="1" applyBorder="1" applyAlignment="1" applyProtection="1">
      <alignment horizontal="center"/>
      <protection locked="0"/>
    </xf>
    <xf numFmtId="0" fontId="2" fillId="0" borderId="21" xfId="0" applyFont="1" applyBorder="1"/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10" borderId="67" xfId="0" applyFill="1" applyBorder="1"/>
    <xf numFmtId="0" fontId="0" fillId="10" borderId="68" xfId="0" applyFill="1" applyBorder="1"/>
    <xf numFmtId="0" fontId="0" fillId="10" borderId="5" xfId="0" applyFill="1" applyBorder="1"/>
    <xf numFmtId="1" fontId="19" fillId="14" borderId="44" xfId="3" applyNumberFormat="1" applyFont="1" applyFill="1" applyBorder="1" applyAlignment="1">
      <alignment horizontal="center"/>
    </xf>
    <xf numFmtId="1" fontId="19" fillId="14" borderId="43" xfId="3" applyNumberFormat="1" applyFont="1" applyFill="1" applyBorder="1" applyAlignment="1">
      <alignment horizontal="center"/>
    </xf>
    <xf numFmtId="1" fontId="19" fillId="14" borderId="45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4" fillId="0" borderId="26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165" fontId="0" fillId="7" borderId="6" xfId="0" applyNumberFormat="1" applyFill="1" applyBorder="1" applyAlignment="1">
      <alignment horizontal="center"/>
    </xf>
    <xf numFmtId="165" fontId="0" fillId="7" borderId="12" xfId="0" applyNumberForma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right"/>
    </xf>
    <xf numFmtId="0" fontId="0" fillId="14" borderId="1" xfId="0" applyFill="1" applyBorder="1"/>
    <xf numFmtId="2" fontId="2" fillId="10" borderId="1" xfId="0" applyNumberFormat="1" applyFont="1" applyFill="1" applyBorder="1"/>
    <xf numFmtId="0" fontId="0" fillId="12" borderId="1" xfId="0" applyFill="1" applyBorder="1"/>
    <xf numFmtId="165" fontId="0" fillId="12" borderId="1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10" borderId="5" xfId="0" applyNumberFormat="1" applyFill="1" applyBorder="1"/>
    <xf numFmtId="10" fontId="19" fillId="10" borderId="5" xfId="3" applyNumberFormat="1" applyFont="1" applyFill="1" applyBorder="1"/>
    <xf numFmtId="0" fontId="0" fillId="12" borderId="17" xfId="0" applyFill="1" applyBorder="1"/>
    <xf numFmtId="0" fontId="0" fillId="12" borderId="19" xfId="0" applyFill="1" applyBorder="1"/>
    <xf numFmtId="0" fontId="0" fillId="12" borderId="30" xfId="0" applyFill="1" applyBorder="1"/>
    <xf numFmtId="0" fontId="0" fillId="12" borderId="46" xfId="0" applyFill="1" applyBorder="1"/>
    <xf numFmtId="0" fontId="0" fillId="12" borderId="15" xfId="0" applyFill="1" applyBorder="1"/>
    <xf numFmtId="165" fontId="0" fillId="13" borderId="19" xfId="0" applyNumberFormat="1" applyFill="1" applyBorder="1"/>
    <xf numFmtId="0" fontId="8" fillId="0" borderId="24" xfId="0" applyFont="1" applyBorder="1" applyAlignment="1">
      <alignment wrapText="1"/>
    </xf>
    <xf numFmtId="164" fontId="0" fillId="0" borderId="44" xfId="0" applyNumberFormat="1" applyBorder="1"/>
    <xf numFmtId="164" fontId="0" fillId="0" borderId="43" xfId="0" applyNumberFormat="1" applyBorder="1"/>
    <xf numFmtId="164" fontId="0" fillId="0" borderId="45" xfId="0" applyNumberFormat="1" applyBorder="1"/>
    <xf numFmtId="164" fontId="0" fillId="0" borderId="50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48" xfId="0" applyNumberFormat="1" applyBorder="1"/>
    <xf numFmtId="164" fontId="0" fillId="0" borderId="28" xfId="0" applyNumberFormat="1" applyBorder="1"/>
    <xf numFmtId="10" fontId="19" fillId="13" borderId="19" xfId="3" applyNumberFormat="1" applyFont="1" applyFill="1" applyBorder="1"/>
    <xf numFmtId="164" fontId="0" fillId="12" borderId="23" xfId="0" applyNumberFormat="1" applyFill="1" applyBorder="1"/>
    <xf numFmtId="164" fontId="0" fillId="12" borderId="25" xfId="0" applyNumberFormat="1" applyFill="1" applyBorder="1"/>
    <xf numFmtId="10" fontId="0" fillId="10" borderId="19" xfId="3" applyNumberFormat="1" applyFont="1" applyFill="1" applyBorder="1"/>
    <xf numFmtId="2" fontId="0" fillId="0" borderId="0" xfId="0" applyNumberFormat="1"/>
    <xf numFmtId="10" fontId="0" fillId="0" borderId="0" xfId="3" applyNumberFormat="1" applyFont="1"/>
    <xf numFmtId="1" fontId="0" fillId="10" borderId="24" xfId="0" applyNumberFormat="1" applyFill="1" applyBorder="1"/>
    <xf numFmtId="164" fontId="0" fillId="2" borderId="24" xfId="0" applyNumberFormat="1" applyFill="1" applyBorder="1"/>
    <xf numFmtId="164" fontId="0" fillId="10" borderId="24" xfId="0" applyNumberFormat="1" applyFill="1" applyBorder="1"/>
    <xf numFmtId="164" fontId="0" fillId="14" borderId="24" xfId="0" applyNumberFormat="1" applyFill="1" applyBorder="1"/>
    <xf numFmtId="164" fontId="0" fillId="10" borderId="26" xfId="0" applyNumberFormat="1" applyFill="1" applyBorder="1"/>
    <xf numFmtId="0" fontId="0" fillId="0" borderId="34" xfId="0" applyBorder="1"/>
    <xf numFmtId="164" fontId="0" fillId="10" borderId="21" xfId="0" applyNumberFormat="1" applyFill="1" applyBorder="1"/>
    <xf numFmtId="165" fontId="0" fillId="13" borderId="23" xfId="0" applyNumberFormat="1" applyFill="1" applyBorder="1"/>
    <xf numFmtId="164" fontId="2" fillId="10" borderId="24" xfId="0" applyNumberFormat="1" applyFont="1" applyFill="1" applyBorder="1"/>
    <xf numFmtId="165" fontId="0" fillId="13" borderId="25" xfId="0" applyNumberFormat="1" applyFill="1" applyBorder="1"/>
    <xf numFmtId="2" fontId="23" fillId="10" borderId="24" xfId="0" applyNumberFormat="1" applyFont="1" applyFill="1" applyBorder="1"/>
    <xf numFmtId="0" fontId="0" fillId="13" borderId="25" xfId="0" applyFill="1" applyBorder="1" applyAlignment="1">
      <alignment vertical="center"/>
    </xf>
    <xf numFmtId="2" fontId="0" fillId="10" borderId="50" xfId="0" applyNumberFormat="1" applyFill="1" applyBorder="1"/>
    <xf numFmtId="0" fontId="0" fillId="13" borderId="25" xfId="0" applyFill="1" applyBorder="1"/>
    <xf numFmtId="2" fontId="0" fillId="10" borderId="26" xfId="0" applyNumberFormat="1" applyFill="1" applyBorder="1"/>
    <xf numFmtId="0" fontId="0" fillId="13" borderId="28" xfId="0" applyFill="1" applyBorder="1"/>
    <xf numFmtId="0" fontId="2" fillId="0" borderId="2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2" xfId="0" applyBorder="1" applyAlignment="1">
      <alignment horizontal="left"/>
    </xf>
    <xf numFmtId="0" fontId="2" fillId="0" borderId="21" xfId="0" applyFont="1" applyBorder="1" applyAlignment="1">
      <alignment horizontal="left"/>
    </xf>
    <xf numFmtId="164" fontId="2" fillId="10" borderId="24" xfId="0" applyNumberFormat="1" applyFont="1" applyFill="1" applyBorder="1" applyAlignment="1">
      <alignment horizontal="right"/>
    </xf>
    <xf numFmtId="1" fontId="0" fillId="14" borderId="19" xfId="0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center"/>
    </xf>
    <xf numFmtId="0" fontId="0" fillId="12" borderId="27" xfId="0" applyFill="1" applyBorder="1"/>
    <xf numFmtId="9" fontId="0" fillId="10" borderId="69" xfId="3" applyFont="1" applyFill="1" applyBorder="1"/>
    <xf numFmtId="9" fontId="0" fillId="10" borderId="70" xfId="3" applyFont="1" applyFill="1" applyBorder="1"/>
    <xf numFmtId="0" fontId="2" fillId="0" borderId="26" xfId="0" applyFont="1" applyBorder="1" applyAlignment="1">
      <alignment horizontal="left"/>
    </xf>
    <xf numFmtId="10" fontId="0" fillId="10" borderId="11" xfId="3" applyNumberFormat="1" applyFont="1" applyFill="1" applyBorder="1"/>
    <xf numFmtId="164" fontId="0" fillId="10" borderId="5" xfId="0" applyNumberFormat="1" applyFill="1" applyBorder="1"/>
    <xf numFmtId="164" fontId="2" fillId="10" borderId="1" xfId="0" applyNumberFormat="1" applyFont="1" applyFill="1" applyBorder="1"/>
    <xf numFmtId="2" fontId="0" fillId="0" borderId="0" xfId="3" applyNumberFormat="1" applyFont="1" applyBorder="1"/>
    <xf numFmtId="167" fontId="0" fillId="0" borderId="0" xfId="3" applyNumberFormat="1" applyFont="1" applyFill="1" applyBorder="1"/>
    <xf numFmtId="9" fontId="0" fillId="0" borderId="0" xfId="3" applyFont="1" applyFill="1" applyBorder="1"/>
    <xf numFmtId="1" fontId="0" fillId="2" borderId="5" xfId="0" applyNumberFormat="1" applyFill="1" applyBorder="1" applyAlignment="1">
      <alignment horizontal="right"/>
    </xf>
    <xf numFmtId="1" fontId="0" fillId="10" borderId="5" xfId="0" applyNumberFormat="1" applyFill="1" applyBorder="1" applyAlignment="1">
      <alignment horizontal="right"/>
    </xf>
    <xf numFmtId="164" fontId="0" fillId="2" borderId="5" xfId="0" applyNumberFormat="1" applyFill="1" applyBorder="1"/>
    <xf numFmtId="164" fontId="0" fillId="10" borderId="5" xfId="0" applyNumberFormat="1" applyFill="1" applyBorder="1" applyAlignment="1">
      <alignment horizontal="right"/>
    </xf>
    <xf numFmtId="164" fontId="0" fillId="10" borderId="35" xfId="0" applyNumberFormat="1" applyFill="1" applyBorder="1"/>
    <xf numFmtId="0" fontId="0" fillId="10" borderId="24" xfId="0" applyFill="1" applyBorder="1"/>
    <xf numFmtId="165" fontId="0" fillId="12" borderId="30" xfId="0" applyNumberFormat="1" applyFill="1" applyBorder="1" applyAlignment="1">
      <alignment horizontal="center"/>
    </xf>
    <xf numFmtId="0" fontId="0" fillId="12" borderId="47" xfId="0" applyFill="1" applyBorder="1"/>
    <xf numFmtId="164" fontId="0" fillId="12" borderId="5" xfId="0" applyNumberFormat="1" applyFill="1" applyBorder="1" applyAlignment="1">
      <alignment horizontal="center"/>
    </xf>
    <xf numFmtId="0" fontId="0" fillId="12" borderId="35" xfId="0" applyFill="1" applyBorder="1"/>
    <xf numFmtId="164" fontId="0" fillId="10" borderId="48" xfId="0" applyNumberFormat="1" applyFill="1" applyBorder="1"/>
    <xf numFmtId="169" fontId="2" fillId="7" borderId="2" xfId="0" applyNumberFormat="1" applyFont="1" applyFill="1" applyBorder="1" applyAlignment="1" applyProtection="1">
      <alignment horizontal="center" vertical="center"/>
      <protection locked="0"/>
    </xf>
    <xf numFmtId="169" fontId="2" fillId="7" borderId="1" xfId="0" applyNumberFormat="1" applyFont="1" applyFill="1" applyBorder="1" applyAlignment="1" applyProtection="1">
      <alignment horizontal="center" vertical="center"/>
      <protection locked="0"/>
    </xf>
    <xf numFmtId="169" fontId="2" fillId="14" borderId="1" xfId="0" applyNumberFormat="1" applyFon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7" fontId="0" fillId="7" borderId="23" xfId="3" applyNumberFormat="1" applyFont="1" applyFill="1" applyBorder="1"/>
    <xf numFmtId="167" fontId="0" fillId="7" borderId="25" xfId="3" applyNumberFormat="1" applyFont="1" applyFill="1" applyBorder="1"/>
    <xf numFmtId="167" fontId="0" fillId="7" borderId="49" xfId="3" applyNumberFormat="1" applyFont="1" applyFill="1" applyBorder="1"/>
    <xf numFmtId="167" fontId="0" fillId="2" borderId="66" xfId="3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169" fontId="4" fillId="16" borderId="5" xfId="0" applyNumberFormat="1" applyFont="1" applyFill="1" applyBorder="1" applyAlignment="1" applyProtection="1">
      <alignment horizontal="center" vertical="center"/>
    </xf>
    <xf numFmtId="169" fontId="4" fillId="16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/>
      <protection locked="0"/>
    </xf>
    <xf numFmtId="164" fontId="0" fillId="0" borderId="0" xfId="0" applyNumberFormat="1" applyFill="1" applyBorder="1"/>
    <xf numFmtId="171" fontId="0" fillId="0" borderId="0" xfId="1" applyNumberFormat="1" applyFont="1" applyFill="1" applyBorder="1"/>
    <xf numFmtId="0" fontId="0" fillId="11" borderId="0" xfId="0" applyFill="1" applyAlignment="1" applyProtection="1">
      <alignment vertical="center"/>
    </xf>
    <xf numFmtId="0" fontId="4" fillId="11" borderId="0" xfId="0" quotePrefix="1" applyFont="1" applyFill="1" applyAlignment="1" applyProtection="1">
      <alignment vertical="center"/>
    </xf>
    <xf numFmtId="0" fontId="2" fillId="14" borderId="5" xfId="0" applyFont="1" applyFill="1" applyBorder="1" applyAlignment="1" applyProtection="1">
      <alignment horizontal="left" vertical="center"/>
      <protection locked="0"/>
    </xf>
    <xf numFmtId="0" fontId="2" fillId="14" borderId="11" xfId="0" applyFont="1" applyFill="1" applyBorder="1" applyAlignment="1" applyProtection="1">
      <alignment horizontal="left" vertical="center"/>
      <protection locked="0"/>
    </xf>
    <xf numFmtId="0" fontId="2" fillId="14" borderId="6" xfId="0" applyFont="1" applyFill="1" applyBorder="1" applyAlignment="1" applyProtection="1">
      <alignment horizontal="left" vertical="center"/>
      <protection locked="0"/>
    </xf>
    <xf numFmtId="49" fontId="10" fillId="7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49" fontId="10" fillId="7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10" fillId="8" borderId="8" xfId="0" applyFont="1" applyFill="1" applyBorder="1" applyAlignment="1" applyProtection="1">
      <alignment horizontal="center" vertical="center" wrapText="1"/>
    </xf>
    <xf numFmtId="0" fontId="10" fillId="8" borderId="12" xfId="0" applyFont="1" applyFill="1" applyBorder="1" applyAlignment="1" applyProtection="1">
      <alignment horizontal="center" vertical="center" wrapText="1"/>
    </xf>
    <xf numFmtId="0" fontId="10" fillId="8" borderId="9" xfId="0" applyFont="1" applyFill="1" applyBorder="1" applyAlignment="1" applyProtection="1">
      <alignment horizontal="center" vertical="center" wrapText="1"/>
    </xf>
    <xf numFmtId="0" fontId="10" fillId="8" borderId="3" xfId="0" applyFont="1" applyFill="1" applyBorder="1" applyAlignment="1" applyProtection="1">
      <alignment horizontal="center" vertical="center" wrapText="1"/>
    </xf>
    <xf numFmtId="0" fontId="10" fillId="8" borderId="10" xfId="0" applyFont="1" applyFill="1" applyBorder="1" applyAlignment="1" applyProtection="1">
      <alignment horizontal="center" vertical="center" wrapText="1"/>
    </xf>
    <xf numFmtId="0" fontId="10" fillId="8" borderId="13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wrapText="1"/>
    </xf>
    <xf numFmtId="0" fontId="27" fillId="0" borderId="14" xfId="0" applyFont="1" applyBorder="1" applyAlignment="1">
      <alignment horizontal="center" wrapText="1"/>
    </xf>
    <xf numFmtId="0" fontId="27" fillId="0" borderId="34" xfId="0" applyFont="1" applyBorder="1" applyAlignment="1">
      <alignment horizontal="center" wrapText="1"/>
    </xf>
    <xf numFmtId="0" fontId="27" fillId="0" borderId="2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49" fontId="0" fillId="0" borderId="1" xfId="0" applyNumberForma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49" fontId="10" fillId="7" borderId="5" xfId="0" applyNumberFormat="1" applyFont="1" applyFill="1" applyBorder="1" applyAlignment="1" applyProtection="1">
      <alignment horizontal="center" vertical="center"/>
      <protection locked="0"/>
    </xf>
    <xf numFmtId="49" fontId="10" fillId="7" borderId="6" xfId="0" applyNumberFormat="1" applyFont="1" applyFill="1" applyBorder="1" applyAlignment="1" applyProtection="1">
      <alignment horizontal="center" vertical="center"/>
      <protection locked="0"/>
    </xf>
    <xf numFmtId="49" fontId="0" fillId="0" borderId="5" xfId="0" applyNumberForma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4" fillId="0" borderId="5" xfId="0" applyNumberFormat="1" applyFont="1" applyFill="1" applyBorder="1" applyAlignment="1" applyProtection="1">
      <alignment horizontal="right" vertical="center"/>
    </xf>
    <xf numFmtId="49" fontId="4" fillId="0" borderId="11" xfId="0" applyNumberFormat="1" applyFont="1" applyFill="1" applyBorder="1" applyAlignment="1" applyProtection="1">
      <alignment horizontal="right" vertical="center"/>
    </xf>
    <xf numFmtId="49" fontId="4" fillId="0" borderId="6" xfId="0" applyNumberFormat="1" applyFont="1" applyFill="1" applyBorder="1" applyAlignment="1" applyProtection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7" borderId="5" xfId="0" applyNumberFormat="1" applyFont="1" applyFill="1" applyBorder="1" applyAlignment="1" applyProtection="1">
      <alignment horizontal="left" vertical="center"/>
    </xf>
    <xf numFmtId="0" fontId="4" fillId="7" borderId="11" xfId="0" applyNumberFormat="1" applyFont="1" applyFill="1" applyBorder="1" applyAlignment="1" applyProtection="1">
      <alignment horizontal="left" vertical="center"/>
    </xf>
    <xf numFmtId="0" fontId="4" fillId="7" borderId="6" xfId="0" applyNumberFormat="1" applyFont="1" applyFill="1" applyBorder="1" applyAlignment="1" applyProtection="1">
      <alignment horizontal="left" vertical="center"/>
    </xf>
    <xf numFmtId="49" fontId="4" fillId="7" borderId="5" xfId="0" applyNumberFormat="1" applyFont="1" applyFill="1" applyBorder="1" applyAlignment="1" applyProtection="1">
      <alignment horizontal="left" vertical="center"/>
    </xf>
    <xf numFmtId="49" fontId="18" fillId="7" borderId="5" xfId="0" applyNumberFormat="1" applyFont="1" applyFill="1" applyBorder="1" applyAlignment="1" applyProtection="1">
      <alignment horizontal="left" vertical="center"/>
      <protection locked="0"/>
    </xf>
    <xf numFmtId="49" fontId="18" fillId="7" borderId="11" xfId="0" applyNumberFormat="1" applyFont="1" applyFill="1" applyBorder="1" applyAlignment="1" applyProtection="1">
      <alignment horizontal="left" vertical="center"/>
      <protection locked="0"/>
    </xf>
    <xf numFmtId="49" fontId="18" fillId="7" borderId="6" xfId="0" applyNumberFormat="1" applyFont="1" applyFill="1" applyBorder="1" applyAlignment="1" applyProtection="1">
      <alignment horizontal="left" vertical="center"/>
      <protection locked="0"/>
    </xf>
    <xf numFmtId="49" fontId="2" fillId="7" borderId="5" xfId="0" applyNumberFormat="1" applyFont="1" applyFill="1" applyBorder="1" applyAlignment="1" applyProtection="1">
      <alignment horizontal="left" vertical="center"/>
    </xf>
    <xf numFmtId="0" fontId="4" fillId="0" borderId="5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right"/>
    </xf>
    <xf numFmtId="49" fontId="4" fillId="7" borderId="11" xfId="0" applyNumberFormat="1" applyFont="1" applyFill="1" applyBorder="1" applyAlignment="1" applyProtection="1">
      <alignment horizontal="left" vertical="center"/>
    </xf>
    <xf numFmtId="49" fontId="4" fillId="7" borderId="6" xfId="0" applyNumberFormat="1" applyFont="1" applyFill="1" applyBorder="1" applyAlignment="1" applyProtection="1">
      <alignment horizontal="left" vertical="center"/>
    </xf>
    <xf numFmtId="49" fontId="2" fillId="0" borderId="1" xfId="0" applyNumberFormat="1" applyFont="1" applyFill="1" applyBorder="1" applyAlignment="1" applyProtection="1">
      <alignment horizontal="right" vertical="center"/>
    </xf>
    <xf numFmtId="49" fontId="4" fillId="0" borderId="1" xfId="0" applyNumberFormat="1" applyFont="1" applyFill="1" applyBorder="1" applyAlignment="1" applyProtection="1">
      <alignment horizontal="right" vertical="center"/>
    </xf>
    <xf numFmtId="0" fontId="4" fillId="0" borderId="14" xfId="0" applyFont="1" applyBorder="1" applyAlignment="1">
      <alignment horizontal="center" vertical="center" textRotation="90" wrapText="1"/>
    </xf>
    <xf numFmtId="0" fontId="4" fillId="0" borderId="34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10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7" borderId="5" xfId="0" applyNumberFormat="1" applyFont="1" applyFill="1" applyBorder="1" applyAlignment="1" applyProtection="1">
      <alignment horizontal="center" vertical="center" wrapText="1"/>
      <protection locked="0"/>
    </xf>
    <xf numFmtId="49" fontId="10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10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Border="1" applyAlignment="1" applyProtection="1">
      <alignment horizontal="left" vertical="center"/>
    </xf>
    <xf numFmtId="0" fontId="17" fillId="7" borderId="5" xfId="0" applyFont="1" applyFill="1" applyBorder="1" applyAlignment="1" applyProtection="1">
      <alignment horizontal="left" vertical="center"/>
      <protection locked="0"/>
    </xf>
    <xf numFmtId="0" fontId="17" fillId="7" borderId="11" xfId="0" applyFont="1" applyFill="1" applyBorder="1" applyAlignment="1" applyProtection="1">
      <alignment horizontal="left" vertical="center"/>
      <protection locked="0"/>
    </xf>
    <xf numFmtId="168" fontId="17" fillId="7" borderId="5" xfId="0" applyNumberFormat="1" applyFont="1" applyFill="1" applyBorder="1" applyAlignment="1" applyProtection="1">
      <alignment horizontal="left" vertical="center"/>
      <protection locked="0"/>
    </xf>
    <xf numFmtId="168" fontId="17" fillId="7" borderId="6" xfId="0" applyNumberFormat="1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right" vertical="center"/>
    </xf>
    <xf numFmtId="49" fontId="17" fillId="11" borderId="62" xfId="0" applyNumberFormat="1" applyFont="1" applyFill="1" applyBorder="1" applyAlignment="1" applyProtection="1">
      <alignment horizontal="center" vertical="top" wrapText="1"/>
      <protection locked="0"/>
    </xf>
    <xf numFmtId="49" fontId="17" fillId="11" borderId="63" xfId="0" applyNumberFormat="1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4" xfId="0" applyFont="1" applyFill="1" applyBorder="1" applyAlignment="1" applyProtection="1">
      <alignment horizontal="left" vertical="center"/>
    </xf>
    <xf numFmtId="0" fontId="10" fillId="11" borderId="14" xfId="0" applyFont="1" applyFill="1" applyBorder="1" applyAlignment="1" applyProtection="1">
      <alignment horizontal="center" vertical="center" wrapText="1"/>
    </xf>
    <xf numFmtId="0" fontId="10" fillId="11" borderId="34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0" fontId="8" fillId="0" borderId="57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8" fillId="0" borderId="52" xfId="0" applyFont="1" applyFill="1" applyBorder="1" applyAlignment="1" applyProtection="1">
      <alignment horizontal="center" vertical="center"/>
    </xf>
    <xf numFmtId="0" fontId="8" fillId="0" borderId="53" xfId="0" applyFont="1" applyFill="1" applyBorder="1" applyAlignment="1" applyProtection="1">
      <alignment horizontal="center" vertical="center"/>
    </xf>
    <xf numFmtId="0" fontId="8" fillId="0" borderId="54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quotePrefix="1" applyFont="1" applyFill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49" fontId="17" fillId="7" borderId="8" xfId="0" applyNumberFormat="1" applyFont="1" applyFill="1" applyBorder="1" applyAlignment="1" applyProtection="1">
      <alignment horizontal="center" vertical="top" wrapText="1"/>
      <protection locked="0"/>
    </xf>
    <xf numFmtId="49" fontId="17" fillId="7" borderId="7" xfId="0" applyNumberFormat="1" applyFont="1" applyFill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31" fillId="7" borderId="1" xfId="0" applyNumberFormat="1" applyFont="1" applyFill="1" applyBorder="1" applyAlignment="1" applyProtection="1">
      <alignment horizontal="center" vertical="center"/>
      <protection locked="0"/>
    </xf>
    <xf numFmtId="49" fontId="17" fillId="7" borderId="1" xfId="0" applyNumberFormat="1" applyFont="1" applyFill="1" applyBorder="1" applyAlignment="1" applyProtection="1">
      <alignment horizontal="center" vertical="top" wrapText="1"/>
      <protection locked="0"/>
    </xf>
    <xf numFmtId="49" fontId="17" fillId="7" borderId="5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23" fillId="14" borderId="5" xfId="0" applyFont="1" applyFill="1" applyBorder="1" applyAlignment="1" applyProtection="1">
      <alignment horizontal="left" vertical="center"/>
      <protection locked="0"/>
    </xf>
    <xf numFmtId="0" fontId="23" fillId="14" borderId="11" xfId="0" applyFont="1" applyFill="1" applyBorder="1" applyAlignment="1" applyProtection="1">
      <alignment horizontal="left" vertical="center"/>
      <protection locked="0"/>
    </xf>
    <xf numFmtId="0" fontId="23" fillId="14" borderId="6" xfId="0" applyFont="1" applyFill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164" fontId="0" fillId="12" borderId="19" xfId="0" applyNumberFormat="1" applyFill="1" applyBorder="1" applyAlignment="1">
      <alignment horizontal="center"/>
    </xf>
    <xf numFmtId="164" fontId="0" fillId="12" borderId="11" xfId="0" applyNumberForma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49" fontId="2" fillId="1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8" fillId="0" borderId="14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2" fillId="0" borderId="2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Alignment="1">
      <alignment horizontal="center"/>
    </xf>
    <xf numFmtId="0" fontId="8" fillId="10" borderId="50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42" xfId="0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8" fillId="10" borderId="48" xfId="0" applyFont="1" applyFill="1" applyBorder="1" applyAlignment="1">
      <alignment horizontal="center"/>
    </xf>
    <xf numFmtId="0" fontId="8" fillId="10" borderId="14" xfId="0" applyFont="1" applyFill="1" applyBorder="1" applyAlignment="1">
      <alignment horizontal="center"/>
    </xf>
    <xf numFmtId="0" fontId="8" fillId="10" borderId="49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4" fillId="0" borderId="65" xfId="0" applyFont="1" applyBorder="1" applyAlignment="1"/>
    <xf numFmtId="0" fontId="0" fillId="0" borderId="12" xfId="0" applyBorder="1" applyAlignment="1"/>
    <xf numFmtId="0" fontId="4" fillId="0" borderId="21" xfId="0" applyFont="1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9" xfId="0" applyBorder="1" applyAlignment="1">
      <alignment horizontal="left"/>
    </xf>
    <xf numFmtId="2" fontId="0" fillId="0" borderId="19" xfId="0" applyNumberFormat="1" applyBorder="1" applyAlignment="1">
      <alignment horizontal="left" wrapText="1"/>
    </xf>
    <xf numFmtId="2" fontId="0" fillId="0" borderId="6" xfId="0" applyNumberFormat="1" applyBorder="1" applyAlignment="1">
      <alignment horizontal="left" wrapText="1"/>
    </xf>
    <xf numFmtId="0" fontId="4" fillId="0" borderId="26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2" fillId="0" borderId="19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4" fillId="0" borderId="24" xfId="0" applyFont="1" applyBorder="1" applyAlignment="1">
      <alignment horizontal="left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left"/>
    </xf>
    <xf numFmtId="0" fontId="2" fillId="0" borderId="17" xfId="0" applyFont="1" applyBorder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 applyProtection="1">
      <alignment horizontal="center" vertical="center" wrapText="1"/>
    </xf>
    <xf numFmtId="0" fontId="16" fillId="0" borderId="34" xfId="0" applyFont="1" applyFill="1" applyBorder="1" applyAlignment="1" applyProtection="1">
      <alignment horizontal="center" vertical="center" wrapText="1"/>
    </xf>
    <xf numFmtId="0" fontId="16" fillId="0" borderId="2" xfId="0" applyFont="1" applyFill="1" applyBorder="1" applyAlignment="1" applyProtection="1">
      <alignment horizontal="center" vertical="center" wrapText="1"/>
    </xf>
    <xf numFmtId="0" fontId="18" fillId="7" borderId="14" xfId="0" applyFont="1" applyFill="1" applyBorder="1" applyAlignment="1" applyProtection="1">
      <alignment horizontal="center"/>
      <protection locked="0"/>
    </xf>
    <xf numFmtId="0" fontId="18" fillId="7" borderId="34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  <protection locked="0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9" borderId="14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8" fillId="14" borderId="1" xfId="0" applyFont="1" applyFill="1" applyBorder="1" applyAlignment="1">
      <alignment horizontal="center" vertical="center"/>
    </xf>
    <xf numFmtId="0" fontId="2" fillId="11" borderId="0" xfId="0" applyFont="1" applyFill="1" applyAlignment="1" applyProtection="1">
      <alignment vertical="center"/>
    </xf>
    <xf numFmtId="0" fontId="33" fillId="0" borderId="0" xfId="0" applyFont="1" applyAlignment="1" applyProtection="1">
      <alignment horizontal="left" vertical="center"/>
    </xf>
  </cellXfs>
  <cellStyles count="30">
    <cellStyle name="Comma" xfId="1" builtinId="3"/>
    <cellStyle name="Comma 2" xfId="4"/>
    <cellStyle name="Comma 2 2" xfId="13"/>
    <cellStyle name="Comma 3" xfId="11"/>
    <cellStyle name="Comma 3 2" xfId="20"/>
    <cellStyle name="Comma0" xfId="23"/>
    <cellStyle name="Currency 2" xfId="5"/>
    <cellStyle name="Currency 2 2" xfId="14"/>
    <cellStyle name="Currency 3" xfId="10"/>
    <cellStyle name="Currency 3 2" xfId="19"/>
    <cellStyle name="Currency0" xfId="24"/>
    <cellStyle name="Date" xfId="25"/>
    <cellStyle name="Fixed" xfId="26"/>
    <cellStyle name="Heading 1 2" xfId="27"/>
    <cellStyle name="Heading 2 2" xfId="28"/>
    <cellStyle name="Hyperlink" xfId="2" builtinId="8"/>
    <cellStyle name="Hyperlink 2" xfId="6"/>
    <cellStyle name="Hyperlink 2 2" xfId="15"/>
    <cellStyle name="Normal" xfId="0" builtinId="0"/>
    <cellStyle name="Normal 2" xfId="8"/>
    <cellStyle name="Normal 2 2" xfId="17"/>
    <cellStyle name="Normal 3" xfId="12"/>
    <cellStyle name="Normal 4" xfId="21"/>
    <cellStyle name="Normal 5" xfId="22"/>
    <cellStyle name="Percent" xfId="3" builtinId="5"/>
    <cellStyle name="Percent 2" xfId="7"/>
    <cellStyle name="Percent 2 2" xfId="16"/>
    <cellStyle name="Percent 3" xfId="9"/>
    <cellStyle name="Percent 3 2" xfId="18"/>
    <cellStyle name="Total 2" xfId="29"/>
  </cellStyles>
  <dxfs count="151"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/>
        <i val="0"/>
        <condense val="0"/>
        <extend val="0"/>
        <color indexed="11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b val="0"/>
        <i/>
        <condense val="0"/>
        <extend val="0"/>
        <color indexed="12"/>
      </font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 style="dotted">
          <color indexed="22"/>
        </left>
        <right style="dotted">
          <color indexed="22"/>
        </right>
        <top style="dotted">
          <color indexed="22"/>
        </top>
        <bottom style="dotted">
          <color indexed="22"/>
        </bottom>
      </border>
    </dxf>
  </dxfs>
  <tableStyles count="0" defaultTableStyle="TableStyleMedium9" defaultPivotStyle="PivotStyleLight16"/>
  <colors>
    <mruColors>
      <color rgb="FFCCFFCC"/>
      <color rgb="FFFFCCCC"/>
      <color rgb="FFFCE0C8"/>
      <color rgb="FFFFFF99"/>
      <color rgb="FF00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/>
              <a:t>RCC Aggregate Gradation Chart</a:t>
            </a:r>
          </a:p>
        </c:rich>
      </c:tx>
      <c:layout>
        <c:manualLayout>
          <c:xMode val="edge"/>
          <c:yMode val="edge"/>
          <c:x val="0.36199997001290596"/>
          <c:y val="8.34666773405916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00000000000004E-2"/>
          <c:y val="0.16549295774647887"/>
          <c:w val="0.85199999999999998"/>
          <c:h val="0.69639002521714766"/>
        </c:manualLayout>
      </c:layout>
      <c:scatterChart>
        <c:scatterStyle val="lineMarker"/>
        <c:varyColors val="0"/>
        <c:ser>
          <c:idx val="0"/>
          <c:order val="0"/>
          <c:tx>
            <c:v>RCC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'Combined Gradation'!$C$22:$C$32</c:f>
              <c:numCache>
                <c:formatCode>?0.000</c:formatCode>
                <c:ptCount val="11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4.75</c:v>
                </c:pt>
                <c:pt idx="5">
                  <c:v>2.36</c:v>
                </c:pt>
                <c:pt idx="6">
                  <c:v>1.18</c:v>
                </c:pt>
                <c:pt idx="7">
                  <c:v>0.6</c:v>
                </c:pt>
                <c:pt idx="8">
                  <c:v>0.3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'Combined Gradation'!$R$22:$R$32</c:f>
              <c:numCache>
                <c:formatCode>??0.0</c:formatCode>
                <c:ptCount val="11"/>
                <c:pt idx="0">
                  <c:v>55</c:v>
                </c:pt>
                <c:pt idx="1">
                  <c:v>53.25</c:v>
                </c:pt>
                <c:pt idx="2">
                  <c:v>42.5</c:v>
                </c:pt>
                <c:pt idx="3">
                  <c:v>35.15</c:v>
                </c:pt>
                <c:pt idx="4">
                  <c:v>18.149999999999999</c:v>
                </c:pt>
                <c:pt idx="5">
                  <c:v>4.5</c:v>
                </c:pt>
                <c:pt idx="6">
                  <c:v>3.0249999999999999</c:v>
                </c:pt>
                <c:pt idx="7">
                  <c:v>2.1749999999999998</c:v>
                </c:pt>
                <c:pt idx="8">
                  <c:v>1.625</c:v>
                </c:pt>
                <c:pt idx="9">
                  <c:v>0.97499999999999987</c:v>
                </c:pt>
                <c:pt idx="10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v>Upper Limit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'Combined Gradation'!$C$22:$C$32</c:f>
              <c:numCache>
                <c:formatCode>?0.000</c:formatCode>
                <c:ptCount val="11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4.75</c:v>
                </c:pt>
                <c:pt idx="5">
                  <c:v>2.36</c:v>
                </c:pt>
                <c:pt idx="6">
                  <c:v>1.18</c:v>
                </c:pt>
                <c:pt idx="7">
                  <c:v>0.6</c:v>
                </c:pt>
                <c:pt idx="8">
                  <c:v>0.3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'Combined Gradation'!$T$22:$T$32</c:f>
              <c:numCache>
                <c:formatCode>??0.0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14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Lower Limit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'Combined Gradation'!$C$22:$C$32</c:f>
              <c:numCache>
                <c:formatCode>?0.000</c:formatCode>
                <c:ptCount val="11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4.75</c:v>
                </c:pt>
                <c:pt idx="5">
                  <c:v>2.36</c:v>
                </c:pt>
                <c:pt idx="6">
                  <c:v>1.18</c:v>
                </c:pt>
                <c:pt idx="7">
                  <c:v>0.6</c:v>
                </c:pt>
                <c:pt idx="8">
                  <c:v>0.3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'Combined Gradation'!$U$22:$U$32</c:f>
              <c:numCache>
                <c:formatCode>??0.0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52</c:v>
                </c:pt>
                <c:pt idx="6">
                  <c:v>40</c:v>
                </c:pt>
                <c:pt idx="7">
                  <c:v>31</c:v>
                </c:pt>
                <c:pt idx="8">
                  <c:v>22</c:v>
                </c:pt>
                <c:pt idx="9">
                  <c:v>18</c:v>
                </c:pt>
                <c:pt idx="1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9744"/>
        <c:axId val="110241664"/>
      </c:scatterChart>
      <c:valAx>
        <c:axId val="110239744"/>
        <c:scaling>
          <c:orientation val="minMax"/>
          <c:max val="26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/>
                  <a:t>Sieve</a:t>
                </a:r>
                <a:r>
                  <a:rPr lang="en-US" sz="800" baseline="0"/>
                  <a:t> Size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48"/>
              <c:y val="0.90140845070422537"/>
            </c:manualLayout>
          </c:layout>
          <c:overlay val="0"/>
          <c:spPr>
            <a:noFill/>
            <a:ln w="25400">
              <a:noFill/>
            </a:ln>
          </c:spPr>
        </c:title>
        <c:numFmt formatCode="?0.0" sourceLinked="0"/>
        <c:majorTickMark val="out"/>
        <c:minorTickMark val="none"/>
        <c:tickLblPos val="nextTo"/>
        <c:crossAx val="110241664"/>
        <c:crosses val="autoZero"/>
        <c:crossBetween val="midCat"/>
        <c:majorUnit val="3"/>
      </c:valAx>
      <c:valAx>
        <c:axId val="11024166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/>
                  <a:t>Percent Passing (%)</a:t>
                </a:r>
              </a:p>
            </c:rich>
          </c:tx>
          <c:layout>
            <c:manualLayout>
              <c:xMode val="edge"/>
              <c:yMode val="edge"/>
              <c:x val="2.6373264737214989E-4"/>
              <c:y val="0.37323940279389983"/>
            </c:manualLayout>
          </c:layout>
          <c:overlay val="0"/>
          <c:spPr>
            <a:noFill/>
            <a:ln w="25400">
              <a:noFill/>
            </a:ln>
          </c:spPr>
        </c:title>
        <c:numFmt formatCode="??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239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600000000000001"/>
          <c:y val="0.48943661971830987"/>
          <c:w val="0.126"/>
          <c:h val="0.119718309859154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/>
              <a:t>RCC Aggregate 45 Power Gradation</a:t>
            </a:r>
          </a:p>
        </c:rich>
      </c:tx>
      <c:layout>
        <c:manualLayout>
          <c:xMode val="edge"/>
          <c:yMode val="edge"/>
          <c:x val="0.34405958145716803"/>
          <c:y val="8.00766796443355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8712871287128"/>
          <c:y val="0.17120622568093385"/>
          <c:w val="0.83415841584158412"/>
          <c:h val="0.69649805447470814"/>
        </c:manualLayout>
      </c:layout>
      <c:scatterChart>
        <c:scatterStyle val="lineMarker"/>
        <c:varyColors val="0"/>
        <c:ser>
          <c:idx val="0"/>
          <c:order val="0"/>
          <c:tx>
            <c:v>RCC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'Combined Gradation'!$Y$22:$Y$32</c:f>
              <c:numCache>
                <c:formatCode>0.00</c:formatCode>
                <c:ptCount val="11"/>
                <c:pt idx="0">
                  <c:v>4.2566996126039234</c:v>
                </c:pt>
                <c:pt idx="1">
                  <c:v>3.7621761023862978</c:v>
                </c:pt>
                <c:pt idx="2">
                  <c:v>3.116086507375345</c:v>
                </c:pt>
                <c:pt idx="3">
                  <c:v>2.754074108566122</c:v>
                </c:pt>
                <c:pt idx="4">
                  <c:v>2.0161002539629291</c:v>
                </c:pt>
                <c:pt idx="5">
                  <c:v>1.4716698795820382</c:v>
                </c:pt>
                <c:pt idx="6">
                  <c:v>1.0773254099250416</c:v>
                </c:pt>
                <c:pt idx="7">
                  <c:v>0.79463568224020453</c:v>
                </c:pt>
                <c:pt idx="8">
                  <c:v>0.58170736792793831</c:v>
                </c:pt>
                <c:pt idx="9">
                  <c:v>0.42583471830473674</c:v>
                </c:pt>
                <c:pt idx="10">
                  <c:v>0.31172925995349998</c:v>
                </c:pt>
              </c:numCache>
            </c:numRef>
          </c:xVal>
          <c:yVal>
            <c:numRef>
              <c:f>'Combined Gradation'!$R$22:$R$32</c:f>
              <c:numCache>
                <c:formatCode>??0.0</c:formatCode>
                <c:ptCount val="11"/>
                <c:pt idx="0">
                  <c:v>55</c:v>
                </c:pt>
                <c:pt idx="1">
                  <c:v>53.25</c:v>
                </c:pt>
                <c:pt idx="2">
                  <c:v>42.5</c:v>
                </c:pt>
                <c:pt idx="3">
                  <c:v>35.15</c:v>
                </c:pt>
                <c:pt idx="4">
                  <c:v>18.149999999999999</c:v>
                </c:pt>
                <c:pt idx="5">
                  <c:v>4.5</c:v>
                </c:pt>
                <c:pt idx="6">
                  <c:v>3.0249999999999999</c:v>
                </c:pt>
                <c:pt idx="7">
                  <c:v>2.1749999999999998</c:v>
                </c:pt>
                <c:pt idx="8">
                  <c:v>1.625</c:v>
                </c:pt>
                <c:pt idx="9">
                  <c:v>0.97499999999999987</c:v>
                </c:pt>
                <c:pt idx="10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v>Spec Upper Limit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'Combined Gradation'!$Y$22:$Y$32</c:f>
              <c:numCache>
                <c:formatCode>0.00</c:formatCode>
                <c:ptCount val="11"/>
                <c:pt idx="0">
                  <c:v>4.2566996126039234</c:v>
                </c:pt>
                <c:pt idx="1">
                  <c:v>3.7621761023862978</c:v>
                </c:pt>
                <c:pt idx="2">
                  <c:v>3.116086507375345</c:v>
                </c:pt>
                <c:pt idx="3">
                  <c:v>2.754074108566122</c:v>
                </c:pt>
                <c:pt idx="4">
                  <c:v>2.0161002539629291</c:v>
                </c:pt>
                <c:pt idx="5">
                  <c:v>1.4716698795820382</c:v>
                </c:pt>
                <c:pt idx="6">
                  <c:v>1.0773254099250416</c:v>
                </c:pt>
                <c:pt idx="7">
                  <c:v>0.79463568224020453</c:v>
                </c:pt>
                <c:pt idx="8">
                  <c:v>0.58170736792793831</c:v>
                </c:pt>
                <c:pt idx="9">
                  <c:v>0.42583471830473674</c:v>
                </c:pt>
                <c:pt idx="10">
                  <c:v>0.31172925995349998</c:v>
                </c:pt>
              </c:numCache>
            </c:numRef>
          </c:xVal>
          <c:yVal>
            <c:numRef>
              <c:f>'Combined Gradation'!$U$22:$U$32</c:f>
              <c:numCache>
                <c:formatCode>??0.0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52</c:v>
                </c:pt>
                <c:pt idx="6">
                  <c:v>40</c:v>
                </c:pt>
                <c:pt idx="7">
                  <c:v>31</c:v>
                </c:pt>
                <c:pt idx="8">
                  <c:v>22</c:v>
                </c:pt>
                <c:pt idx="9">
                  <c:v>18</c:v>
                </c:pt>
                <c:pt idx="10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v>Spec Lower Limit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'Combined Gradation'!$Y$22:$Y$32</c:f>
              <c:numCache>
                <c:formatCode>0.00</c:formatCode>
                <c:ptCount val="11"/>
                <c:pt idx="0">
                  <c:v>4.2566996126039234</c:v>
                </c:pt>
                <c:pt idx="1">
                  <c:v>3.7621761023862978</c:v>
                </c:pt>
                <c:pt idx="2">
                  <c:v>3.116086507375345</c:v>
                </c:pt>
                <c:pt idx="3">
                  <c:v>2.754074108566122</c:v>
                </c:pt>
                <c:pt idx="4">
                  <c:v>2.0161002539629291</c:v>
                </c:pt>
                <c:pt idx="5">
                  <c:v>1.4716698795820382</c:v>
                </c:pt>
                <c:pt idx="6">
                  <c:v>1.0773254099250416</c:v>
                </c:pt>
                <c:pt idx="7">
                  <c:v>0.79463568224020453</c:v>
                </c:pt>
                <c:pt idx="8">
                  <c:v>0.58170736792793831</c:v>
                </c:pt>
                <c:pt idx="9">
                  <c:v>0.42583471830473674</c:v>
                </c:pt>
                <c:pt idx="10">
                  <c:v>0.31172925995349998</c:v>
                </c:pt>
              </c:numCache>
            </c:numRef>
          </c:xVal>
          <c:yVal>
            <c:numRef>
              <c:f>'Combined Gradation'!$T$22:$T$32</c:f>
              <c:numCache>
                <c:formatCode>??0.0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14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v> 3/4 in Power 45</c:v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xVal>
            <c:numRef>
              <c:f>'Combined Gradation'!$Y$23:$Y$32</c:f>
              <c:numCache>
                <c:formatCode>0.00</c:formatCode>
                <c:ptCount val="10"/>
                <c:pt idx="0">
                  <c:v>3.7621761023862978</c:v>
                </c:pt>
                <c:pt idx="1">
                  <c:v>3.116086507375345</c:v>
                </c:pt>
                <c:pt idx="2">
                  <c:v>2.754074108566122</c:v>
                </c:pt>
                <c:pt idx="3">
                  <c:v>2.0161002539629291</c:v>
                </c:pt>
                <c:pt idx="4">
                  <c:v>1.4716698795820382</c:v>
                </c:pt>
                <c:pt idx="5">
                  <c:v>1.0773254099250416</c:v>
                </c:pt>
                <c:pt idx="6">
                  <c:v>0.79463568224020453</c:v>
                </c:pt>
                <c:pt idx="7">
                  <c:v>0.58170736792793831</c:v>
                </c:pt>
                <c:pt idx="8">
                  <c:v>0.42583471830473674</c:v>
                </c:pt>
                <c:pt idx="9">
                  <c:v>0.31172925995349998</c:v>
                </c:pt>
              </c:numCache>
            </c:numRef>
          </c:xVal>
          <c:yVal>
            <c:numRef>
              <c:f>'Combined Gradation'!$AA$23:$AA$32</c:f>
              <c:numCache>
                <c:formatCode>0.0</c:formatCode>
                <c:ptCount val="10"/>
                <c:pt idx="0" formatCode="General">
                  <c:v>100</c:v>
                </c:pt>
                <c:pt idx="1">
                  <c:v>82.826705145430395</c:v>
                </c:pt>
                <c:pt idx="2">
                  <c:v>73.204284797281275</c:v>
                </c:pt>
                <c:pt idx="3">
                  <c:v>53.588673126814655</c:v>
                </c:pt>
                <c:pt idx="4">
                  <c:v>39.117517084024257</c:v>
                </c:pt>
                <c:pt idx="5">
                  <c:v>28.635698611814277</c:v>
                </c:pt>
                <c:pt idx="6">
                  <c:v>21.1217035198373</c:v>
                </c:pt>
                <c:pt idx="7">
                  <c:v>15.461991998699082</c:v>
                </c:pt>
                <c:pt idx="8">
                  <c:v>11.31884065806052</c:v>
                </c:pt>
                <c:pt idx="9">
                  <c:v>8.2858763510770874</c:v>
                </c:pt>
              </c:numCache>
            </c:numRef>
          </c:yVal>
          <c:smooth val="0"/>
        </c:ser>
        <c:ser>
          <c:idx val="4"/>
          <c:order val="4"/>
          <c:tx>
            <c:v>1/2 in Power 45</c:v>
          </c:tx>
          <c:spPr>
            <a:ln w="25400">
              <a:solidFill>
                <a:srgbClr val="808080"/>
              </a:solidFill>
              <a:prstDash val="lgDash"/>
            </a:ln>
          </c:spPr>
          <c:marker>
            <c:symbol val="none"/>
          </c:marker>
          <c:xVal>
            <c:numRef>
              <c:f>'Combined Gradation'!$Y$24:$Y$32</c:f>
              <c:numCache>
                <c:formatCode>0.00</c:formatCode>
                <c:ptCount val="9"/>
                <c:pt idx="0">
                  <c:v>3.116086507375345</c:v>
                </c:pt>
                <c:pt idx="1">
                  <c:v>2.754074108566122</c:v>
                </c:pt>
                <c:pt idx="2">
                  <c:v>2.0161002539629291</c:v>
                </c:pt>
                <c:pt idx="3">
                  <c:v>1.4716698795820382</c:v>
                </c:pt>
                <c:pt idx="4">
                  <c:v>1.0773254099250416</c:v>
                </c:pt>
                <c:pt idx="5">
                  <c:v>0.79463568224020453</c:v>
                </c:pt>
                <c:pt idx="6">
                  <c:v>0.58170736792793831</c:v>
                </c:pt>
                <c:pt idx="7">
                  <c:v>0.42583471830473674</c:v>
                </c:pt>
                <c:pt idx="8">
                  <c:v>0.31172925995349998</c:v>
                </c:pt>
              </c:numCache>
            </c:numRef>
          </c:xVal>
          <c:yVal>
            <c:numRef>
              <c:f>'Combined Gradation'!$Z$24:$Z$32</c:f>
              <c:numCache>
                <c:formatCode>0.0</c:formatCode>
                <c:ptCount val="9"/>
                <c:pt idx="0">
                  <c:v>100</c:v>
                </c:pt>
                <c:pt idx="1">
                  <c:v>88.382466341919923</c:v>
                </c:pt>
                <c:pt idx="2">
                  <c:v>64.699752371800329</c:v>
                </c:pt>
                <c:pt idx="3">
                  <c:v>47.228145820047033</c:v>
                </c:pt>
                <c:pt idx="4">
                  <c:v>34.573026370582518</c:v>
                </c:pt>
                <c:pt idx="5">
                  <c:v>25.501079009180653</c:v>
                </c:pt>
                <c:pt idx="6">
                  <c:v>18.667882504260316</c:v>
                </c:pt>
                <c:pt idx="7">
                  <c:v>13.665689874040565</c:v>
                </c:pt>
                <c:pt idx="8">
                  <c:v>10.003870534905881</c:v>
                </c:pt>
              </c:numCache>
            </c:numRef>
          </c:yVal>
          <c:smooth val="0"/>
        </c:ser>
        <c:ser>
          <c:idx val="5"/>
          <c:order val="5"/>
          <c:tx>
            <c:v>1 in Power 45</c:v>
          </c:tx>
          <c:spPr>
            <a:ln w="254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'Combined Gradation'!$Y$22:$Y$32</c:f>
              <c:numCache>
                <c:formatCode>0.00</c:formatCode>
                <c:ptCount val="11"/>
                <c:pt idx="0">
                  <c:v>4.2566996126039234</c:v>
                </c:pt>
                <c:pt idx="1">
                  <c:v>3.7621761023862978</c:v>
                </c:pt>
                <c:pt idx="2">
                  <c:v>3.116086507375345</c:v>
                </c:pt>
                <c:pt idx="3">
                  <c:v>2.754074108566122</c:v>
                </c:pt>
                <c:pt idx="4">
                  <c:v>2.0161002539629291</c:v>
                </c:pt>
                <c:pt idx="5">
                  <c:v>1.4716698795820382</c:v>
                </c:pt>
                <c:pt idx="6">
                  <c:v>1.0773254099250416</c:v>
                </c:pt>
                <c:pt idx="7">
                  <c:v>0.79463568224020453</c:v>
                </c:pt>
                <c:pt idx="8">
                  <c:v>0.58170736792793831</c:v>
                </c:pt>
                <c:pt idx="9">
                  <c:v>0.42583471830473674</c:v>
                </c:pt>
                <c:pt idx="10">
                  <c:v>0.31172925995349998</c:v>
                </c:pt>
              </c:numCache>
            </c:numRef>
          </c:xVal>
          <c:yVal>
            <c:numRef>
              <c:f>'Combined Gradation'!$AD$22:$AD$32</c:f>
              <c:numCache>
                <c:formatCode>0.0</c:formatCode>
                <c:ptCount val="11"/>
                <c:pt idx="0" formatCode="General">
                  <c:v>100</c:v>
                </c:pt>
                <c:pt idx="1">
                  <c:v>88.382466341919923</c:v>
                </c:pt>
                <c:pt idx="2">
                  <c:v>73.204284797281275</c:v>
                </c:pt>
                <c:pt idx="3">
                  <c:v>64.699752371800329</c:v>
                </c:pt>
                <c:pt idx="4">
                  <c:v>47.36299098938845</c:v>
                </c:pt>
                <c:pt idx="5">
                  <c:v>34.573026370582518</c:v>
                </c:pt>
                <c:pt idx="6">
                  <c:v>25.308936687360383</c:v>
                </c:pt>
                <c:pt idx="7">
                  <c:v>18.667882504260316</c:v>
                </c:pt>
                <c:pt idx="8">
                  <c:v>13.665689874040565</c:v>
                </c:pt>
                <c:pt idx="9">
                  <c:v>10.003870534905881</c:v>
                </c:pt>
                <c:pt idx="10">
                  <c:v>7.3232618771238061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8400"/>
        <c:axId val="110680320"/>
      </c:scatterChart>
      <c:valAx>
        <c:axId val="110678400"/>
        <c:scaling>
          <c:orientation val="minMax"/>
          <c:max val="4.2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/>
                  <a:t>Sieve Size</a:t>
                </a:r>
              </a:p>
            </c:rich>
          </c:tx>
          <c:layout>
            <c:manualLayout>
              <c:xMode val="edge"/>
              <c:yMode val="edge"/>
              <c:x val="0.48273308227775874"/>
              <c:y val="0.92407433590924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10680320"/>
        <c:crosses val="autoZero"/>
        <c:crossBetween val="midCat"/>
        <c:majorUnit val="3"/>
      </c:valAx>
      <c:valAx>
        <c:axId val="11068032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/>
                  <a:t>Percent Passing (%)</a:t>
                </a:r>
              </a:p>
            </c:rich>
          </c:tx>
          <c:layout>
            <c:manualLayout>
              <c:xMode val="edge"/>
              <c:yMode val="edge"/>
              <c:x val="2.285259577329013E-2"/>
              <c:y val="0.37354071861234817"/>
            </c:manualLayout>
          </c:layout>
          <c:overlay val="0"/>
          <c:spPr>
            <a:noFill/>
            <a:ln w="25400">
              <a:noFill/>
            </a:ln>
          </c:spPr>
        </c:title>
        <c:numFmt formatCode="??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678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91034272889804"/>
          <c:y val="0.1741295067841778"/>
          <c:w val="0.21802758312964055"/>
          <c:h val="0.309693402825387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RCC Aggregate 45 Power Gradation</a:t>
            </a:r>
          </a:p>
        </c:rich>
      </c:tx>
      <c:layout>
        <c:manualLayout>
          <c:xMode val="edge"/>
          <c:yMode val="edge"/>
          <c:x val="0.34405941564996684"/>
          <c:y val="3.8910582470685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8712871287128"/>
          <c:y val="0.17120622568093385"/>
          <c:w val="0.83415841584158412"/>
          <c:h val="0.69649805447470814"/>
        </c:manualLayout>
      </c:layout>
      <c:scatterChart>
        <c:scatterStyle val="lineMarker"/>
        <c:varyColors val="0"/>
        <c:ser>
          <c:idx val="0"/>
          <c:order val="0"/>
          <c:tx>
            <c:v>RCC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'Combined Gradation'!$Y$22:$Y$32</c:f>
              <c:numCache>
                <c:formatCode>0.00</c:formatCode>
                <c:ptCount val="11"/>
                <c:pt idx="0">
                  <c:v>4.2566996126039234</c:v>
                </c:pt>
                <c:pt idx="1">
                  <c:v>3.7621761023862978</c:v>
                </c:pt>
                <c:pt idx="2">
                  <c:v>3.116086507375345</c:v>
                </c:pt>
                <c:pt idx="3">
                  <c:v>2.754074108566122</c:v>
                </c:pt>
                <c:pt idx="4">
                  <c:v>2.0161002539629291</c:v>
                </c:pt>
                <c:pt idx="5">
                  <c:v>1.4716698795820382</c:v>
                </c:pt>
                <c:pt idx="6">
                  <c:v>1.0773254099250416</c:v>
                </c:pt>
                <c:pt idx="7">
                  <c:v>0.79463568224020453</c:v>
                </c:pt>
                <c:pt idx="8">
                  <c:v>0.58170736792793831</c:v>
                </c:pt>
                <c:pt idx="9">
                  <c:v>0.42583471830473674</c:v>
                </c:pt>
                <c:pt idx="10">
                  <c:v>0.31172925995349998</c:v>
                </c:pt>
              </c:numCache>
            </c:numRef>
          </c:xVal>
          <c:yVal>
            <c:numRef>
              <c:f>'Combined Gradation'!$R$22:$R$32</c:f>
              <c:numCache>
                <c:formatCode>??0.0</c:formatCode>
                <c:ptCount val="11"/>
                <c:pt idx="0">
                  <c:v>55</c:v>
                </c:pt>
                <c:pt idx="1">
                  <c:v>53.25</c:v>
                </c:pt>
                <c:pt idx="2">
                  <c:v>42.5</c:v>
                </c:pt>
                <c:pt idx="3">
                  <c:v>35.15</c:v>
                </c:pt>
                <c:pt idx="4">
                  <c:v>18.149999999999999</c:v>
                </c:pt>
                <c:pt idx="5">
                  <c:v>4.5</c:v>
                </c:pt>
                <c:pt idx="6">
                  <c:v>3.0249999999999999</c:v>
                </c:pt>
                <c:pt idx="7">
                  <c:v>2.1749999999999998</c:v>
                </c:pt>
                <c:pt idx="8">
                  <c:v>1.625</c:v>
                </c:pt>
                <c:pt idx="9">
                  <c:v>0.97499999999999987</c:v>
                </c:pt>
                <c:pt idx="10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v>Spec Upper Limit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'Combined Gradation'!$Y$22:$Y$32</c:f>
              <c:numCache>
                <c:formatCode>0.00</c:formatCode>
                <c:ptCount val="11"/>
                <c:pt idx="0">
                  <c:v>4.2566996126039234</c:v>
                </c:pt>
                <c:pt idx="1">
                  <c:v>3.7621761023862978</c:v>
                </c:pt>
                <c:pt idx="2">
                  <c:v>3.116086507375345</c:v>
                </c:pt>
                <c:pt idx="3">
                  <c:v>2.754074108566122</c:v>
                </c:pt>
                <c:pt idx="4">
                  <c:v>2.0161002539629291</c:v>
                </c:pt>
                <c:pt idx="5">
                  <c:v>1.4716698795820382</c:v>
                </c:pt>
                <c:pt idx="6">
                  <c:v>1.0773254099250416</c:v>
                </c:pt>
                <c:pt idx="7">
                  <c:v>0.79463568224020453</c:v>
                </c:pt>
                <c:pt idx="8">
                  <c:v>0.58170736792793831</c:v>
                </c:pt>
                <c:pt idx="9">
                  <c:v>0.42583471830473674</c:v>
                </c:pt>
                <c:pt idx="10">
                  <c:v>0.31172925995349998</c:v>
                </c:pt>
              </c:numCache>
            </c:numRef>
          </c:xVal>
          <c:yVal>
            <c:numRef>
              <c:f>'Combined Gradation'!$U$22:$U$32</c:f>
              <c:numCache>
                <c:formatCode>??0.0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52</c:v>
                </c:pt>
                <c:pt idx="6">
                  <c:v>40</c:v>
                </c:pt>
                <c:pt idx="7">
                  <c:v>31</c:v>
                </c:pt>
                <c:pt idx="8">
                  <c:v>22</c:v>
                </c:pt>
                <c:pt idx="9">
                  <c:v>18</c:v>
                </c:pt>
                <c:pt idx="10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v>Spec Lower Limit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'Combined Gradation'!$Y$22:$Y$32</c:f>
              <c:numCache>
                <c:formatCode>0.00</c:formatCode>
                <c:ptCount val="11"/>
                <c:pt idx="0">
                  <c:v>4.2566996126039234</c:v>
                </c:pt>
                <c:pt idx="1">
                  <c:v>3.7621761023862978</c:v>
                </c:pt>
                <c:pt idx="2">
                  <c:v>3.116086507375345</c:v>
                </c:pt>
                <c:pt idx="3">
                  <c:v>2.754074108566122</c:v>
                </c:pt>
                <c:pt idx="4">
                  <c:v>2.0161002539629291</c:v>
                </c:pt>
                <c:pt idx="5">
                  <c:v>1.4716698795820382</c:v>
                </c:pt>
                <c:pt idx="6">
                  <c:v>1.0773254099250416</c:v>
                </c:pt>
                <c:pt idx="7">
                  <c:v>0.79463568224020453</c:v>
                </c:pt>
                <c:pt idx="8">
                  <c:v>0.58170736792793831</c:v>
                </c:pt>
                <c:pt idx="9">
                  <c:v>0.42583471830473674</c:v>
                </c:pt>
                <c:pt idx="10">
                  <c:v>0.31172925995349998</c:v>
                </c:pt>
              </c:numCache>
            </c:numRef>
          </c:xVal>
          <c:yVal>
            <c:numRef>
              <c:f>'Combined Gradation'!$T$22:$T$32</c:f>
              <c:numCache>
                <c:formatCode>??0.0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14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v> 3/4 in Power 45</c:v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xVal>
            <c:numRef>
              <c:f>'Combined Gradation'!$Y$23:$Y$32</c:f>
              <c:numCache>
                <c:formatCode>0.00</c:formatCode>
                <c:ptCount val="10"/>
                <c:pt idx="0">
                  <c:v>3.7621761023862978</c:v>
                </c:pt>
                <c:pt idx="1">
                  <c:v>3.116086507375345</c:v>
                </c:pt>
                <c:pt idx="2">
                  <c:v>2.754074108566122</c:v>
                </c:pt>
                <c:pt idx="3">
                  <c:v>2.0161002539629291</c:v>
                </c:pt>
                <c:pt idx="4">
                  <c:v>1.4716698795820382</c:v>
                </c:pt>
                <c:pt idx="5">
                  <c:v>1.0773254099250416</c:v>
                </c:pt>
                <c:pt idx="6">
                  <c:v>0.79463568224020453</c:v>
                </c:pt>
                <c:pt idx="7">
                  <c:v>0.58170736792793831</c:v>
                </c:pt>
                <c:pt idx="8">
                  <c:v>0.42583471830473674</c:v>
                </c:pt>
                <c:pt idx="9">
                  <c:v>0.31172925995349998</c:v>
                </c:pt>
              </c:numCache>
            </c:numRef>
          </c:xVal>
          <c:yVal>
            <c:numRef>
              <c:f>'Combined Gradation'!$AA$23:$AA$32</c:f>
              <c:numCache>
                <c:formatCode>0.0</c:formatCode>
                <c:ptCount val="10"/>
                <c:pt idx="0" formatCode="General">
                  <c:v>100</c:v>
                </c:pt>
                <c:pt idx="1">
                  <c:v>82.826705145430395</c:v>
                </c:pt>
                <c:pt idx="2">
                  <c:v>73.204284797281275</c:v>
                </c:pt>
                <c:pt idx="3">
                  <c:v>53.588673126814655</c:v>
                </c:pt>
                <c:pt idx="4">
                  <c:v>39.117517084024257</c:v>
                </c:pt>
                <c:pt idx="5">
                  <c:v>28.635698611814277</c:v>
                </c:pt>
                <c:pt idx="6">
                  <c:v>21.1217035198373</c:v>
                </c:pt>
                <c:pt idx="7">
                  <c:v>15.461991998699082</c:v>
                </c:pt>
                <c:pt idx="8">
                  <c:v>11.31884065806052</c:v>
                </c:pt>
                <c:pt idx="9">
                  <c:v>8.2858763510770874</c:v>
                </c:pt>
              </c:numCache>
            </c:numRef>
          </c:yVal>
          <c:smooth val="0"/>
        </c:ser>
        <c:ser>
          <c:idx val="4"/>
          <c:order val="4"/>
          <c:tx>
            <c:v>1/2 in Power 45</c:v>
          </c:tx>
          <c:spPr>
            <a:ln w="25400">
              <a:solidFill>
                <a:srgbClr val="808080"/>
              </a:solidFill>
              <a:prstDash val="lgDash"/>
            </a:ln>
          </c:spPr>
          <c:marker>
            <c:symbol val="none"/>
          </c:marker>
          <c:xVal>
            <c:numRef>
              <c:f>'Combined Gradation'!$Y$24:$Y$32</c:f>
              <c:numCache>
                <c:formatCode>0.00</c:formatCode>
                <c:ptCount val="9"/>
                <c:pt idx="0">
                  <c:v>3.116086507375345</c:v>
                </c:pt>
                <c:pt idx="1">
                  <c:v>2.754074108566122</c:v>
                </c:pt>
                <c:pt idx="2">
                  <c:v>2.0161002539629291</c:v>
                </c:pt>
                <c:pt idx="3">
                  <c:v>1.4716698795820382</c:v>
                </c:pt>
                <c:pt idx="4">
                  <c:v>1.0773254099250416</c:v>
                </c:pt>
                <c:pt idx="5">
                  <c:v>0.79463568224020453</c:v>
                </c:pt>
                <c:pt idx="6">
                  <c:v>0.58170736792793831</c:v>
                </c:pt>
                <c:pt idx="7">
                  <c:v>0.42583471830473674</c:v>
                </c:pt>
                <c:pt idx="8">
                  <c:v>0.31172925995349998</c:v>
                </c:pt>
              </c:numCache>
            </c:numRef>
          </c:xVal>
          <c:yVal>
            <c:numRef>
              <c:f>'Combined Gradation'!$Z$24:$Z$32</c:f>
              <c:numCache>
                <c:formatCode>0.0</c:formatCode>
                <c:ptCount val="9"/>
                <c:pt idx="0">
                  <c:v>100</c:v>
                </c:pt>
                <c:pt idx="1">
                  <c:v>88.382466341919923</c:v>
                </c:pt>
                <c:pt idx="2">
                  <c:v>64.699752371800329</c:v>
                </c:pt>
                <c:pt idx="3">
                  <c:v>47.228145820047033</c:v>
                </c:pt>
                <c:pt idx="4">
                  <c:v>34.573026370582518</c:v>
                </c:pt>
                <c:pt idx="5">
                  <c:v>25.501079009180653</c:v>
                </c:pt>
                <c:pt idx="6">
                  <c:v>18.667882504260316</c:v>
                </c:pt>
                <c:pt idx="7">
                  <c:v>13.665689874040565</c:v>
                </c:pt>
                <c:pt idx="8">
                  <c:v>10.003870534905881</c:v>
                </c:pt>
              </c:numCache>
            </c:numRef>
          </c:yVal>
          <c:smooth val="0"/>
        </c:ser>
        <c:ser>
          <c:idx val="5"/>
          <c:order val="5"/>
          <c:tx>
            <c:v>1 in Power 45</c:v>
          </c:tx>
          <c:spPr>
            <a:ln w="25400"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'Combined Gradation'!$Y$22:$Y$32</c:f>
              <c:numCache>
                <c:formatCode>0.00</c:formatCode>
                <c:ptCount val="11"/>
                <c:pt idx="0">
                  <c:v>4.2566996126039234</c:v>
                </c:pt>
                <c:pt idx="1">
                  <c:v>3.7621761023862978</c:v>
                </c:pt>
                <c:pt idx="2">
                  <c:v>3.116086507375345</c:v>
                </c:pt>
                <c:pt idx="3">
                  <c:v>2.754074108566122</c:v>
                </c:pt>
                <c:pt idx="4">
                  <c:v>2.0161002539629291</c:v>
                </c:pt>
                <c:pt idx="5">
                  <c:v>1.4716698795820382</c:v>
                </c:pt>
                <c:pt idx="6">
                  <c:v>1.0773254099250416</c:v>
                </c:pt>
                <c:pt idx="7">
                  <c:v>0.79463568224020453</c:v>
                </c:pt>
                <c:pt idx="8">
                  <c:v>0.58170736792793831</c:v>
                </c:pt>
                <c:pt idx="9">
                  <c:v>0.42583471830473674</c:v>
                </c:pt>
                <c:pt idx="10">
                  <c:v>0.31172925995349998</c:v>
                </c:pt>
              </c:numCache>
            </c:numRef>
          </c:xVal>
          <c:yVal>
            <c:numRef>
              <c:f>'Combined Gradation'!$AD$22:$AD$32</c:f>
              <c:numCache>
                <c:formatCode>0.0</c:formatCode>
                <c:ptCount val="11"/>
                <c:pt idx="0" formatCode="General">
                  <c:v>100</c:v>
                </c:pt>
                <c:pt idx="1">
                  <c:v>88.382466341919923</c:v>
                </c:pt>
                <c:pt idx="2">
                  <c:v>73.204284797281275</c:v>
                </c:pt>
                <c:pt idx="3">
                  <c:v>64.699752371800329</c:v>
                </c:pt>
                <c:pt idx="4">
                  <c:v>47.36299098938845</c:v>
                </c:pt>
                <c:pt idx="5">
                  <c:v>34.573026370582518</c:v>
                </c:pt>
                <c:pt idx="6">
                  <c:v>25.308936687360383</c:v>
                </c:pt>
                <c:pt idx="7">
                  <c:v>18.667882504260316</c:v>
                </c:pt>
                <c:pt idx="8">
                  <c:v>13.665689874040565</c:v>
                </c:pt>
                <c:pt idx="9">
                  <c:v>10.003870534905881</c:v>
                </c:pt>
                <c:pt idx="10">
                  <c:v>7.3232618771238061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2400"/>
        <c:axId val="121944320"/>
      </c:scatterChart>
      <c:valAx>
        <c:axId val="121942400"/>
        <c:scaling>
          <c:orientation val="minMax"/>
          <c:max val="4.2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Sieve Size</a:t>
                </a:r>
              </a:p>
            </c:rich>
          </c:tx>
          <c:layout>
            <c:manualLayout>
              <c:xMode val="edge"/>
              <c:yMode val="edge"/>
              <c:x val="0.48273300452828011"/>
              <c:y val="0.924074316731588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1944320"/>
        <c:crosses val="autoZero"/>
        <c:crossBetween val="midCat"/>
        <c:majorUnit val="3"/>
      </c:valAx>
      <c:valAx>
        <c:axId val="12194432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Percent Passing (%)</a:t>
                </a:r>
              </a:p>
            </c:rich>
          </c:tx>
          <c:layout>
            <c:manualLayout>
              <c:xMode val="edge"/>
              <c:yMode val="edge"/>
              <c:x val="3.9603934123619164E-2"/>
              <c:y val="0.37354076580064405"/>
            </c:manualLayout>
          </c:layout>
          <c:overlay val="0"/>
          <c:spPr>
            <a:noFill/>
            <a:ln w="25400">
              <a:noFill/>
            </a:ln>
          </c:spPr>
        </c:title>
        <c:numFmt formatCode="??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42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91035735917625"/>
          <c:y val="0.20304525474406471"/>
          <c:w val="0.17137942372588039"/>
          <c:h val="0.2486492667992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RCC Aggregate Gradation Chart</a:t>
            </a:r>
          </a:p>
        </c:rich>
      </c:tx>
      <c:layout>
        <c:manualLayout>
          <c:xMode val="edge"/>
          <c:yMode val="edge"/>
          <c:x val="0.36071029454651504"/>
          <c:y val="1.9575842708695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071778140293637"/>
          <c:w val="0.87569367369589346"/>
          <c:h val="0.77324632952691685"/>
        </c:manualLayout>
      </c:layout>
      <c:scatterChart>
        <c:scatterStyle val="lineMarker"/>
        <c:varyColors val="0"/>
        <c:ser>
          <c:idx val="0"/>
          <c:order val="0"/>
          <c:tx>
            <c:v>RCC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'Combined Gradation'!$C$22:$C$32</c:f>
              <c:numCache>
                <c:formatCode>?0.000</c:formatCode>
                <c:ptCount val="11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4.75</c:v>
                </c:pt>
                <c:pt idx="5">
                  <c:v>2.36</c:v>
                </c:pt>
                <c:pt idx="6">
                  <c:v>1.18</c:v>
                </c:pt>
                <c:pt idx="7">
                  <c:v>0.6</c:v>
                </c:pt>
                <c:pt idx="8">
                  <c:v>0.3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'Combined Gradation'!$R$22:$R$32</c:f>
              <c:numCache>
                <c:formatCode>??0.0</c:formatCode>
                <c:ptCount val="11"/>
                <c:pt idx="0">
                  <c:v>55</c:v>
                </c:pt>
                <c:pt idx="1">
                  <c:v>53.25</c:v>
                </c:pt>
                <c:pt idx="2">
                  <c:v>42.5</c:v>
                </c:pt>
                <c:pt idx="3">
                  <c:v>35.15</c:v>
                </c:pt>
                <c:pt idx="4">
                  <c:v>18.149999999999999</c:v>
                </c:pt>
                <c:pt idx="5">
                  <c:v>4.5</c:v>
                </c:pt>
                <c:pt idx="6">
                  <c:v>3.0249999999999999</c:v>
                </c:pt>
                <c:pt idx="7">
                  <c:v>2.1749999999999998</c:v>
                </c:pt>
                <c:pt idx="8">
                  <c:v>1.625</c:v>
                </c:pt>
                <c:pt idx="9">
                  <c:v>0.97499999999999987</c:v>
                </c:pt>
                <c:pt idx="10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v>Upper Limit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'Combined Gradation'!$C$22:$C$32</c:f>
              <c:numCache>
                <c:formatCode>?0.000</c:formatCode>
                <c:ptCount val="11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4.75</c:v>
                </c:pt>
                <c:pt idx="5">
                  <c:v>2.36</c:v>
                </c:pt>
                <c:pt idx="6">
                  <c:v>1.18</c:v>
                </c:pt>
                <c:pt idx="7">
                  <c:v>0.6</c:v>
                </c:pt>
                <c:pt idx="8">
                  <c:v>0.3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'Combined Gradation'!$T$22:$T$32</c:f>
              <c:numCache>
                <c:formatCode>??0.0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14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Lower Limit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'Combined Gradation'!$C$22:$C$32</c:f>
              <c:numCache>
                <c:formatCode>?0.000</c:formatCode>
                <c:ptCount val="11"/>
                <c:pt idx="0">
                  <c:v>25</c:v>
                </c:pt>
                <c:pt idx="1">
                  <c:v>19</c:v>
                </c:pt>
                <c:pt idx="2">
                  <c:v>12.5</c:v>
                </c:pt>
                <c:pt idx="3">
                  <c:v>9.5</c:v>
                </c:pt>
                <c:pt idx="4">
                  <c:v>4.75</c:v>
                </c:pt>
                <c:pt idx="5">
                  <c:v>2.36</c:v>
                </c:pt>
                <c:pt idx="6">
                  <c:v>1.18</c:v>
                </c:pt>
                <c:pt idx="7">
                  <c:v>0.6</c:v>
                </c:pt>
                <c:pt idx="8">
                  <c:v>0.3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'Combined Gradation'!$U$22:$U$32</c:f>
              <c:numCache>
                <c:formatCode>??0.0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52</c:v>
                </c:pt>
                <c:pt idx="6">
                  <c:v>40</c:v>
                </c:pt>
                <c:pt idx="7">
                  <c:v>31</c:v>
                </c:pt>
                <c:pt idx="8">
                  <c:v>22</c:v>
                </c:pt>
                <c:pt idx="9">
                  <c:v>18</c:v>
                </c:pt>
                <c:pt idx="1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0416"/>
        <c:axId val="121982336"/>
      </c:scatterChart>
      <c:valAx>
        <c:axId val="121980416"/>
        <c:scaling>
          <c:orientation val="minMax"/>
          <c:max val="2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Sieves (mm)</a:t>
                </a:r>
              </a:p>
            </c:rich>
          </c:tx>
          <c:layout>
            <c:manualLayout>
              <c:xMode val="edge"/>
              <c:yMode val="edge"/>
              <c:x val="0.47835742198891801"/>
              <c:y val="0.94453514096335334"/>
            </c:manualLayout>
          </c:layout>
          <c:overlay val="0"/>
          <c:spPr>
            <a:noFill/>
            <a:ln w="25400">
              <a:noFill/>
            </a:ln>
          </c:spPr>
        </c:title>
        <c:numFmt formatCode="?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82336"/>
        <c:crosses val="autoZero"/>
        <c:crossBetween val="midCat"/>
        <c:majorUnit val="3"/>
      </c:valAx>
      <c:valAx>
        <c:axId val="12198233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Passing (%)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40293636781490694"/>
            </c:manualLayout>
          </c:layout>
          <c:overlay val="0"/>
          <c:spPr>
            <a:noFill/>
            <a:ln w="25400">
              <a:noFill/>
            </a:ln>
          </c:spPr>
        </c:title>
        <c:numFmt formatCode="??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980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92563429571303"/>
          <c:y val="0.50734091953726734"/>
          <c:w val="0.11764701079031792"/>
          <c:h val="0.104404551722360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2"/>
  <sheetViews>
    <sheetView zoomScale="111" workbookViewId="0"/>
  </sheetViews>
  <pageMargins left="0.75" right="0.75" top="1" bottom="1" header="0.5" footer="0.5"/>
  <pageSetup orientation="landscape" r:id="rId1"/>
  <headerFooter alignWithMargins="0">
    <oddFooter>&amp;C&amp;G</oddFooter>
  </headerFooter>
  <drawing r:id="rId2"/>
  <legacyDrawingHF r:id="rId3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190500</xdr:colOff>
          <xdr:row>9</xdr:row>
          <xdr:rowOff>28575</xdr:rowOff>
        </xdr:from>
        <xdr:to>
          <xdr:col>12</xdr:col>
          <xdr:colOff>76200</xdr:colOff>
          <xdr:row>9</xdr:row>
          <xdr:rowOff>219075</xdr:rowOff>
        </xdr:to>
        <xdr:sp macro="" textlink="">
          <xdr:nvSpPr>
            <xdr:cNvPr id="4231" name="Grade6Specifications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Enter Specifications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23</xdr:col>
      <xdr:colOff>464344</xdr:colOff>
      <xdr:row>36</xdr:row>
      <xdr:rowOff>130969</xdr:rowOff>
    </xdr:from>
    <xdr:to>
      <xdr:col>31</xdr:col>
      <xdr:colOff>416719</xdr:colOff>
      <xdr:row>57</xdr:row>
      <xdr:rowOff>11906</xdr:rowOff>
    </xdr:to>
    <xdr:graphicFrame macro="">
      <xdr:nvGraphicFramePr>
        <xdr:cNvPr id="4466" name="Chart 1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102925</xdr:colOff>
      <xdr:row>35</xdr:row>
      <xdr:rowOff>107157</xdr:rowOff>
    </xdr:from>
    <xdr:to>
      <xdr:col>23</xdr:col>
      <xdr:colOff>273844</xdr:colOff>
      <xdr:row>56</xdr:row>
      <xdr:rowOff>83343</xdr:rowOff>
    </xdr:to>
    <xdr:graphicFrame macro="">
      <xdr:nvGraphicFramePr>
        <xdr:cNvPr id="4468" name="Chart 2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0.91824</cdr:x>
      <cdr:y>0.16759</cdr:y>
    </cdr:from>
    <cdr:to>
      <cdr:x>0.91898</cdr:x>
      <cdr:y>0.84737</cdr:y>
    </cdr:to>
    <cdr:sp macro="" textlink="">
      <cdr:nvSpPr>
        <cdr:cNvPr id="542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71065" y="522032"/>
          <a:ext cx="5054" cy="21174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0.72002</cdr:x>
      <cdr:y>0.16759</cdr:y>
    </cdr:from>
    <cdr:to>
      <cdr:x>0.72002</cdr:x>
      <cdr:y>0.84737</cdr:y>
    </cdr:to>
    <cdr:sp macro="" textlink="">
      <cdr:nvSpPr>
        <cdr:cNvPr id="542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439123" y="458113"/>
          <a:ext cx="0" cy="18453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0.50785</cdr:x>
      <cdr:y>0.16759</cdr:y>
    </cdr:from>
    <cdr:to>
      <cdr:x>0.50785</cdr:x>
      <cdr:y>0.84737</cdr:y>
    </cdr:to>
    <cdr:sp macro="" textlink="">
      <cdr:nvSpPr>
        <cdr:cNvPr id="542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468330" y="522032"/>
          <a:ext cx="0" cy="21174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0.40812</cdr:x>
      <cdr:y>0.16759</cdr:y>
    </cdr:from>
    <cdr:to>
      <cdr:x>0.40812</cdr:x>
      <cdr:y>0.84737</cdr:y>
    </cdr:to>
    <cdr:sp macro="" textlink="">
      <cdr:nvSpPr>
        <cdr:cNvPr id="5427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950740" y="458113"/>
          <a:ext cx="0" cy="18453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0.25254</cdr:x>
      <cdr:y>0.16759</cdr:y>
    </cdr:from>
    <cdr:to>
      <cdr:x>0.25401</cdr:x>
      <cdr:y>0.84737</cdr:y>
    </cdr:to>
    <cdr:sp macro="" textlink="">
      <cdr:nvSpPr>
        <cdr:cNvPr id="54277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08302" y="458113"/>
          <a:ext cx="7015" cy="18453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0.70483</cdr:x>
      <cdr:y>0.85802</cdr:y>
    </cdr:from>
    <cdr:to>
      <cdr:x>0.74103</cdr:x>
      <cdr:y>0.9017</cdr:y>
    </cdr:to>
    <cdr:sp macro="" textlink="">
      <cdr:nvSpPr>
        <cdr:cNvPr id="5427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66693" y="2679498"/>
          <a:ext cx="188321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3/4"</a:t>
          </a:r>
        </a:p>
      </cdr:txBody>
    </cdr:sp>
  </cdr:relSizeAnchor>
  <cdr:relSizeAnchor xmlns:cdr="http://schemas.openxmlformats.org/drawingml/2006/chartDrawing">
    <cdr:from>
      <cdr:x>0.49403</cdr:x>
      <cdr:y>0.86946</cdr:y>
    </cdr:from>
    <cdr:to>
      <cdr:x>0.53023</cdr:x>
      <cdr:y>0.91313</cdr:y>
    </cdr:to>
    <cdr:sp macro="" textlink="">
      <cdr:nvSpPr>
        <cdr:cNvPr id="5428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0069" y="2715218"/>
          <a:ext cx="188321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1/2"</a:t>
          </a:r>
        </a:p>
      </cdr:txBody>
    </cdr:sp>
  </cdr:relSizeAnchor>
  <cdr:relSizeAnchor xmlns:cdr="http://schemas.openxmlformats.org/drawingml/2006/chartDrawing">
    <cdr:from>
      <cdr:x>0.38051</cdr:x>
      <cdr:y>0.86565</cdr:y>
    </cdr:from>
    <cdr:to>
      <cdr:x>0.44029</cdr:x>
      <cdr:y>0.93922</cdr:y>
    </cdr:to>
    <cdr:sp macro="" textlink="">
      <cdr:nvSpPr>
        <cdr:cNvPr id="5428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9486" y="2703311"/>
          <a:ext cx="310990" cy="229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3/8"</a:t>
          </a:r>
        </a:p>
      </cdr:txBody>
    </cdr:sp>
  </cdr:relSizeAnchor>
  <cdr:relSizeAnchor xmlns:cdr="http://schemas.openxmlformats.org/drawingml/2006/chartDrawing">
    <cdr:from>
      <cdr:x>0.23596</cdr:x>
      <cdr:y>0.86565</cdr:y>
    </cdr:from>
    <cdr:to>
      <cdr:x>0.26516</cdr:x>
      <cdr:y>0.90932</cdr:y>
    </cdr:to>
    <cdr:sp macro="" textlink="">
      <cdr:nvSpPr>
        <cdr:cNvPr id="5428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27513" y="2703311"/>
          <a:ext cx="151901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 4</a:t>
          </a:r>
        </a:p>
      </cdr:txBody>
    </cdr:sp>
  </cdr:relSizeAnchor>
  <cdr:relSizeAnchor xmlns:cdr="http://schemas.openxmlformats.org/drawingml/2006/chartDrawing">
    <cdr:from>
      <cdr:x>0.1342</cdr:x>
      <cdr:y>0.16759</cdr:y>
    </cdr:from>
    <cdr:to>
      <cdr:x>0.13592</cdr:x>
      <cdr:y>0.84737</cdr:y>
    </cdr:to>
    <cdr:sp macro="" textlink="">
      <cdr:nvSpPr>
        <cdr:cNvPr id="54283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43581" y="458113"/>
          <a:ext cx="8185" cy="18453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0.11974</cdr:x>
      <cdr:y>0.86184</cdr:y>
    </cdr:from>
    <cdr:to>
      <cdr:x>0.14963</cdr:x>
      <cdr:y>0.90551</cdr:y>
    </cdr:to>
    <cdr:sp macro="" textlink="">
      <cdr:nvSpPr>
        <cdr:cNvPr id="5428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916" y="2691405"/>
          <a:ext cx="155492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50" b="0" i="0" u="none" strike="noStrike" baseline="0">
              <a:solidFill>
                <a:srgbClr val="000000"/>
              </a:solidFill>
              <a:latin typeface="Arial"/>
              <a:cs typeface="Arial"/>
            </a:rPr>
            <a:t>#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16</a:t>
          </a:r>
        </a:p>
      </cdr:txBody>
    </cdr:sp>
  </cdr:relSizeAnchor>
  <cdr:relSizeAnchor xmlns:cdr="http://schemas.openxmlformats.org/drawingml/2006/chartDrawing">
    <cdr:from>
      <cdr:x>0.92691</cdr:x>
      <cdr:y>0.85504</cdr:y>
    </cdr:from>
    <cdr:to>
      <cdr:x>0.96582</cdr:x>
      <cdr:y>0.89871</cdr:y>
    </cdr:to>
    <cdr:sp macro="" textlink="">
      <cdr:nvSpPr>
        <cdr:cNvPr id="1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22032" y="2670174"/>
          <a:ext cx="202406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1"</a:t>
          </a:r>
        </a:p>
      </cdr:txBody>
    </cdr:sp>
  </cdr:relSizeAnchor>
  <cdr:relSizeAnchor xmlns:cdr="http://schemas.openxmlformats.org/drawingml/2006/chartDrawing">
    <cdr:from>
      <cdr:x>0.11553</cdr:x>
      <cdr:y>0.16156</cdr:y>
    </cdr:from>
    <cdr:to>
      <cdr:x>0.117</cdr:x>
      <cdr:y>0.84134</cdr:y>
    </cdr:to>
    <cdr:sp macro="" textlink="">
      <cdr:nvSpPr>
        <cdr:cNvPr id="1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88987" y="503238"/>
          <a:ext cx="10039" cy="21174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0.17356</cdr:x>
      <cdr:y>0.16877</cdr:y>
    </cdr:from>
    <cdr:to>
      <cdr:x>0.17503</cdr:x>
      <cdr:y>0.84855</cdr:y>
    </cdr:to>
    <cdr:sp macro="" textlink="">
      <cdr:nvSpPr>
        <cdr:cNvPr id="16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181894" y="527050"/>
          <a:ext cx="10010" cy="21228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0.16307</cdr:x>
      <cdr:y>0.87791</cdr:y>
    </cdr:from>
    <cdr:to>
      <cdr:x>0.18538</cdr:x>
      <cdr:y>0.92159</cdr:y>
    </cdr:to>
    <cdr:sp macro="" textlink="">
      <cdr:nvSpPr>
        <cdr:cNvPr id="17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0457" y="2741612"/>
          <a:ext cx="151901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 8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0.73086</cdr:x>
      <cdr:y>0.17652</cdr:y>
    </cdr:from>
    <cdr:to>
      <cdr:x>0.73159</cdr:x>
      <cdr:y>0.86909</cdr:y>
    </cdr:to>
    <cdr:sp macro="" textlink="">
      <cdr:nvSpPr>
        <cdr:cNvPr id="757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42690" y="543065"/>
          <a:ext cx="3838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0.65589</cdr:x>
      <cdr:y>0.17652</cdr:y>
    </cdr:from>
    <cdr:to>
      <cdr:x>0.65589</cdr:x>
      <cdr:y>0.86909</cdr:y>
    </cdr:to>
    <cdr:sp macro="" textlink="">
      <cdr:nvSpPr>
        <cdr:cNvPr id="757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448563" y="543065"/>
          <a:ext cx="0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0.95397</cdr:x>
      <cdr:y>0.17153</cdr:y>
    </cdr:from>
    <cdr:to>
      <cdr:x>0.95397</cdr:x>
      <cdr:y>0.8641</cdr:y>
    </cdr:to>
    <cdr:sp macro="" textlink="">
      <cdr:nvSpPr>
        <cdr:cNvPr id="757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45074" y="529167"/>
          <a:ext cx="0" cy="21366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0.33371</cdr:x>
      <cdr:y>0.17342</cdr:y>
    </cdr:from>
    <cdr:to>
      <cdr:x>0.33371</cdr:x>
      <cdr:y>0.86623</cdr:y>
    </cdr:to>
    <cdr:sp macro="" textlink="">
      <cdr:nvSpPr>
        <cdr:cNvPr id="7578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754568" y="533540"/>
          <a:ext cx="0" cy="21314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0.20155</cdr:x>
      <cdr:y>0.17342</cdr:y>
    </cdr:from>
    <cdr:to>
      <cdr:x>0.20326</cdr:x>
      <cdr:y>0.86599</cdr:y>
    </cdr:to>
    <cdr:sp macro="" textlink="">
      <cdr:nvSpPr>
        <cdr:cNvPr id="75781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059703" y="533540"/>
          <a:ext cx="8991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0.83467</cdr:x>
      <cdr:y>0.87053</cdr:y>
    </cdr:from>
    <cdr:to>
      <cdr:x>0.87049</cdr:x>
      <cdr:y>0.91486</cdr:y>
    </cdr:to>
    <cdr:sp macro="" textlink="">
      <cdr:nvSpPr>
        <cdr:cNvPr id="7578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8538" y="2678238"/>
          <a:ext cx="188321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3/4"</a:t>
          </a:r>
        </a:p>
      </cdr:txBody>
    </cdr:sp>
  </cdr:relSizeAnchor>
  <cdr:relSizeAnchor xmlns:cdr="http://schemas.openxmlformats.org/drawingml/2006/chartDrawing">
    <cdr:from>
      <cdr:x>0.71619</cdr:x>
      <cdr:y>0.86433</cdr:y>
    </cdr:from>
    <cdr:to>
      <cdr:x>0.75201</cdr:x>
      <cdr:y>0.90866</cdr:y>
    </cdr:to>
    <cdr:sp macro="" textlink="">
      <cdr:nvSpPr>
        <cdr:cNvPr id="7578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5575" y="2659188"/>
          <a:ext cx="188321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1/2"</a:t>
          </a:r>
        </a:p>
      </cdr:txBody>
    </cdr:sp>
  </cdr:relSizeAnchor>
  <cdr:relSizeAnchor xmlns:cdr="http://schemas.openxmlformats.org/drawingml/2006/chartDrawing">
    <cdr:from>
      <cdr:x>0.63461</cdr:x>
      <cdr:y>0.86695</cdr:y>
    </cdr:from>
    <cdr:to>
      <cdr:x>0.67754</cdr:x>
      <cdr:y>0.9195</cdr:y>
    </cdr:to>
    <cdr:sp macro="" textlink="">
      <cdr:nvSpPr>
        <cdr:cNvPr id="7578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6652" y="2667237"/>
          <a:ext cx="225698" cy="161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3/8"</a:t>
          </a:r>
        </a:p>
      </cdr:txBody>
    </cdr:sp>
  </cdr:relSizeAnchor>
  <cdr:relSizeAnchor xmlns:cdr="http://schemas.openxmlformats.org/drawingml/2006/chartDrawing">
    <cdr:from>
      <cdr:x>0.50027</cdr:x>
      <cdr:y>0.86743</cdr:y>
    </cdr:from>
    <cdr:to>
      <cdr:x>0.52916</cdr:x>
      <cdr:y>0.91176</cdr:y>
    </cdr:to>
    <cdr:sp macro="" textlink="">
      <cdr:nvSpPr>
        <cdr:cNvPr id="757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30331" y="2668713"/>
          <a:ext cx="151901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 4</a:t>
          </a:r>
        </a:p>
      </cdr:txBody>
    </cdr:sp>
  </cdr:relSizeAnchor>
  <cdr:relSizeAnchor xmlns:cdr="http://schemas.openxmlformats.org/drawingml/2006/chartDrawing">
    <cdr:from>
      <cdr:x>0.1786</cdr:x>
      <cdr:y>0.17652</cdr:y>
    </cdr:from>
    <cdr:to>
      <cdr:x>0.1803</cdr:x>
      <cdr:y>0.86909</cdr:y>
    </cdr:to>
    <cdr:sp macro="" textlink="">
      <cdr:nvSpPr>
        <cdr:cNvPr id="75786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39054" y="543065"/>
          <a:ext cx="8938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0.31883</cdr:x>
      <cdr:y>0.87314</cdr:y>
    </cdr:from>
    <cdr:to>
      <cdr:x>0.35315</cdr:x>
      <cdr:y>0.91747</cdr:y>
    </cdr:to>
    <cdr:sp macro="" textlink="">
      <cdr:nvSpPr>
        <cdr:cNvPr id="757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76332" y="2686287"/>
          <a:ext cx="180434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#16</a:t>
          </a:r>
        </a:p>
      </cdr:txBody>
    </cdr:sp>
  </cdr:relSizeAnchor>
  <cdr:relSizeAnchor xmlns:cdr="http://schemas.openxmlformats.org/drawingml/2006/chartDrawing">
    <cdr:from>
      <cdr:x>0.18218</cdr:x>
      <cdr:y>0.88496</cdr:y>
    </cdr:from>
    <cdr:to>
      <cdr:x>0.22735</cdr:x>
      <cdr:y>0.92929</cdr:y>
    </cdr:to>
    <cdr:sp macro="" textlink="">
      <cdr:nvSpPr>
        <cdr:cNvPr id="757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9013" y="2724280"/>
          <a:ext cx="240255" cy="1364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#100</a:t>
          </a:r>
        </a:p>
      </cdr:txBody>
    </cdr:sp>
  </cdr:relSizeAnchor>
  <cdr:relSizeAnchor xmlns:cdr="http://schemas.openxmlformats.org/drawingml/2006/chartDrawing">
    <cdr:from>
      <cdr:x>0.13956</cdr:x>
      <cdr:y>0.88195</cdr:y>
    </cdr:from>
    <cdr:to>
      <cdr:x>0.18473</cdr:x>
      <cdr:y>0.92628</cdr:y>
    </cdr:to>
    <cdr:sp macro="" textlink="">
      <cdr:nvSpPr>
        <cdr:cNvPr id="757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0660" y="2722029"/>
          <a:ext cx="239718" cy="136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#200</a:t>
          </a:r>
        </a:p>
      </cdr:txBody>
    </cdr:sp>
  </cdr:relSizeAnchor>
  <cdr:relSizeAnchor xmlns:cdr="http://schemas.openxmlformats.org/drawingml/2006/chartDrawing">
    <cdr:from>
      <cdr:x>0.86819</cdr:x>
      <cdr:y>0.18646</cdr:y>
    </cdr:from>
    <cdr:to>
      <cdr:x>0.86892</cdr:x>
      <cdr:y>0.87903</cdr:y>
    </cdr:to>
    <cdr:sp macro="" textlink="">
      <cdr:nvSpPr>
        <cdr:cNvPr id="1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607484" y="737046"/>
          <a:ext cx="3874" cy="273764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0.94626</cdr:x>
      <cdr:y>0.871</cdr:y>
    </cdr:from>
    <cdr:to>
      <cdr:x>0.96579</cdr:x>
      <cdr:y>0.91533</cdr:y>
    </cdr:to>
    <cdr:sp macro="" textlink="">
      <cdr:nvSpPr>
        <cdr:cNvPr id="1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75225" y="2679700"/>
          <a:ext cx="102720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1"</a:t>
          </a:r>
        </a:p>
      </cdr:txBody>
    </cdr:sp>
  </cdr:relSizeAnchor>
  <cdr:relSizeAnchor xmlns:cdr="http://schemas.openxmlformats.org/drawingml/2006/chartDrawing">
    <cdr:from>
      <cdr:x>0.5129</cdr:x>
      <cdr:y>0.17369</cdr:y>
    </cdr:from>
    <cdr:to>
      <cdr:x>0.5129</cdr:x>
      <cdr:y>0.86626</cdr:y>
    </cdr:to>
    <cdr:sp macro="" textlink="">
      <cdr:nvSpPr>
        <cdr:cNvPr id="17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21991" y="536074"/>
          <a:ext cx="0" cy="213752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0.40443</cdr:x>
      <cdr:y>0.8743</cdr:y>
    </cdr:from>
    <cdr:to>
      <cdr:x>0.43305</cdr:x>
      <cdr:y>0.9088</cdr:y>
    </cdr:to>
    <cdr:sp macro="" textlink="">
      <cdr:nvSpPr>
        <cdr:cNvPr id="18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6300" y="3455988"/>
          <a:ext cx="151901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 8</a:t>
          </a:r>
        </a:p>
      </cdr:txBody>
    </cdr:sp>
  </cdr:relSizeAnchor>
  <cdr:relSizeAnchor xmlns:cdr="http://schemas.openxmlformats.org/drawingml/2006/chartDrawing">
    <cdr:from>
      <cdr:x>0.23617</cdr:x>
      <cdr:y>0.86827</cdr:y>
    </cdr:from>
    <cdr:to>
      <cdr:x>0.27554</cdr:x>
      <cdr:y>0.90278</cdr:y>
    </cdr:to>
    <cdr:sp macro="" textlink="">
      <cdr:nvSpPr>
        <cdr:cNvPr id="1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3332" y="3432175"/>
          <a:ext cx="208968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 50</a:t>
          </a:r>
        </a:p>
      </cdr:txBody>
    </cdr:sp>
  </cdr:relSizeAnchor>
  <cdr:relSizeAnchor xmlns:cdr="http://schemas.openxmlformats.org/drawingml/2006/chartDrawing">
    <cdr:from>
      <cdr:x>0.27655</cdr:x>
      <cdr:y>0.87129</cdr:y>
    </cdr:from>
    <cdr:to>
      <cdr:x>0.31592</cdr:x>
      <cdr:y>0.90579</cdr:y>
    </cdr:to>
    <cdr:sp macro="" textlink="">
      <cdr:nvSpPr>
        <cdr:cNvPr id="20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7644" y="3444081"/>
          <a:ext cx="208968" cy="1363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# 30</a:t>
          </a:r>
        </a:p>
      </cdr:txBody>
    </cdr:sp>
  </cdr:relSizeAnchor>
  <cdr:relSizeAnchor xmlns:cdr="http://schemas.openxmlformats.org/drawingml/2006/chartDrawing">
    <cdr:from>
      <cdr:x>0.27598</cdr:x>
      <cdr:y>0.18326</cdr:y>
    </cdr:from>
    <cdr:to>
      <cdr:x>0.27598</cdr:x>
      <cdr:y>0.87607</cdr:y>
    </cdr:to>
    <cdr:sp macro="" textlink="">
      <cdr:nvSpPr>
        <cdr:cNvPr id="21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464616" y="724400"/>
          <a:ext cx="0" cy="27385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0.23111</cdr:x>
      <cdr:y>0.17422</cdr:y>
    </cdr:from>
    <cdr:to>
      <cdr:x>0.23111</cdr:x>
      <cdr:y>0.86703</cdr:y>
    </cdr:to>
    <cdr:sp macro="" textlink="">
      <cdr:nvSpPr>
        <cdr:cNvPr id="2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26490" y="688682"/>
          <a:ext cx="0" cy="27385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0.40386</cdr:x>
      <cdr:y>0.1682</cdr:y>
    </cdr:from>
    <cdr:to>
      <cdr:x>0.40386</cdr:x>
      <cdr:y>0.86101</cdr:y>
    </cdr:to>
    <cdr:sp macro="" textlink="">
      <cdr:nvSpPr>
        <cdr:cNvPr id="23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43271" y="664870"/>
          <a:ext cx="0" cy="27385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0.73086</cdr:x>
      <cdr:y>0.17652</cdr:y>
    </cdr:from>
    <cdr:to>
      <cdr:x>0.73159</cdr:x>
      <cdr:y>0.86909</cdr:y>
    </cdr:to>
    <cdr:sp macro="" textlink="">
      <cdr:nvSpPr>
        <cdr:cNvPr id="757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42690" y="543065"/>
          <a:ext cx="3838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0.65589</cdr:x>
      <cdr:y>0.17652</cdr:y>
    </cdr:from>
    <cdr:to>
      <cdr:x>0.65589</cdr:x>
      <cdr:y>0.86909</cdr:y>
    </cdr:to>
    <cdr:sp macro="" textlink="">
      <cdr:nvSpPr>
        <cdr:cNvPr id="757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448563" y="543065"/>
          <a:ext cx="0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0.51451</cdr:x>
      <cdr:y>0.17961</cdr:y>
    </cdr:from>
    <cdr:to>
      <cdr:x>0.51451</cdr:x>
      <cdr:y>0.87218</cdr:y>
    </cdr:to>
    <cdr:sp macro="" textlink="">
      <cdr:nvSpPr>
        <cdr:cNvPr id="75779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705210" y="552590"/>
          <a:ext cx="0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0.33371</cdr:x>
      <cdr:y>0.17342</cdr:y>
    </cdr:from>
    <cdr:to>
      <cdr:x>0.33371</cdr:x>
      <cdr:y>0.86623</cdr:y>
    </cdr:to>
    <cdr:sp macro="" textlink="">
      <cdr:nvSpPr>
        <cdr:cNvPr id="7578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754568" y="533540"/>
          <a:ext cx="0" cy="21314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0.20155</cdr:x>
      <cdr:y>0.17342</cdr:y>
    </cdr:from>
    <cdr:to>
      <cdr:x>0.20326</cdr:x>
      <cdr:y>0.86599</cdr:y>
    </cdr:to>
    <cdr:sp macro="" textlink="">
      <cdr:nvSpPr>
        <cdr:cNvPr id="75781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059703" y="533540"/>
          <a:ext cx="8991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0.84113</cdr:x>
      <cdr:y>0.87003</cdr:y>
    </cdr:from>
    <cdr:to>
      <cdr:x>0.86801</cdr:x>
      <cdr:y>0.89639</cdr:y>
    </cdr:to>
    <cdr:sp macro="" textlink="">
      <cdr:nvSpPr>
        <cdr:cNvPr id="7578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0705" y="5477731"/>
          <a:ext cx="233013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3/4"</a:t>
          </a:r>
        </a:p>
      </cdr:txBody>
    </cdr:sp>
  </cdr:relSizeAnchor>
  <cdr:relSizeAnchor xmlns:cdr="http://schemas.openxmlformats.org/drawingml/2006/chartDrawing">
    <cdr:from>
      <cdr:x>0.71877</cdr:x>
      <cdr:y>0.87017</cdr:y>
    </cdr:from>
    <cdr:to>
      <cdr:x>0.74565</cdr:x>
      <cdr:y>0.89653</cdr:y>
    </cdr:to>
    <cdr:sp macro="" textlink="">
      <cdr:nvSpPr>
        <cdr:cNvPr id="7578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30119" y="5478612"/>
          <a:ext cx="233013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1/2"</a:t>
          </a:r>
        </a:p>
      </cdr:txBody>
    </cdr:sp>
  </cdr:relSizeAnchor>
  <cdr:relSizeAnchor xmlns:cdr="http://schemas.openxmlformats.org/drawingml/2006/chartDrawing">
    <cdr:from>
      <cdr:x>0.63978</cdr:x>
      <cdr:y>0.86873</cdr:y>
    </cdr:from>
    <cdr:to>
      <cdr:x>0.67442</cdr:x>
      <cdr:y>0.89146</cdr:y>
    </cdr:to>
    <cdr:sp macro="" textlink="">
      <cdr:nvSpPr>
        <cdr:cNvPr id="7578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9021" y="5471002"/>
          <a:ext cx="300450" cy="14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3/8"</a:t>
          </a:r>
        </a:p>
      </cdr:txBody>
    </cdr:sp>
  </cdr:relSizeAnchor>
  <cdr:relSizeAnchor xmlns:cdr="http://schemas.openxmlformats.org/drawingml/2006/chartDrawing">
    <cdr:from>
      <cdr:x>0.49952</cdr:x>
      <cdr:y>0.86693</cdr:y>
    </cdr:from>
    <cdr:to>
      <cdr:x>0.52115</cdr:x>
      <cdr:y>0.89329</cdr:y>
    </cdr:to>
    <cdr:sp macro="" textlink="">
      <cdr:nvSpPr>
        <cdr:cNvPr id="757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29714" y="5458213"/>
          <a:ext cx="187487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 4</a:t>
          </a:r>
        </a:p>
      </cdr:txBody>
    </cdr:sp>
  </cdr:relSizeAnchor>
  <cdr:relSizeAnchor xmlns:cdr="http://schemas.openxmlformats.org/drawingml/2006/chartDrawing">
    <cdr:from>
      <cdr:x>0.1786</cdr:x>
      <cdr:y>0.17652</cdr:y>
    </cdr:from>
    <cdr:to>
      <cdr:x>0.1803</cdr:x>
      <cdr:y>0.86909</cdr:y>
    </cdr:to>
    <cdr:sp macro="" textlink="">
      <cdr:nvSpPr>
        <cdr:cNvPr id="75786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39054" y="543065"/>
          <a:ext cx="8938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0.31883</cdr:x>
      <cdr:y>0.86855</cdr:y>
    </cdr:from>
    <cdr:to>
      <cdr:x>0.34457</cdr:x>
      <cdr:y>0.89491</cdr:y>
    </cdr:to>
    <cdr:sp macro="" textlink="">
      <cdr:nvSpPr>
        <cdr:cNvPr id="757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3539" y="5468413"/>
          <a:ext cx="223138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#16</a:t>
          </a:r>
        </a:p>
      </cdr:txBody>
    </cdr:sp>
  </cdr:relSizeAnchor>
  <cdr:relSizeAnchor xmlns:cdr="http://schemas.openxmlformats.org/drawingml/2006/chartDrawing">
    <cdr:from>
      <cdr:x>0.20009</cdr:x>
      <cdr:y>0.86695</cdr:y>
    </cdr:from>
    <cdr:to>
      <cdr:x>0.23406</cdr:x>
      <cdr:y>0.89331</cdr:y>
    </cdr:to>
    <cdr:sp macro="" textlink="">
      <cdr:nvSpPr>
        <cdr:cNvPr id="757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4330" y="5458339"/>
          <a:ext cx="294440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#100</a:t>
          </a:r>
        </a:p>
      </cdr:txBody>
    </cdr:sp>
  </cdr:relSizeAnchor>
  <cdr:relSizeAnchor xmlns:cdr="http://schemas.openxmlformats.org/drawingml/2006/chartDrawing">
    <cdr:from>
      <cdr:x>0.16279</cdr:x>
      <cdr:y>0.86695</cdr:y>
    </cdr:from>
    <cdr:to>
      <cdr:x>0.19676</cdr:x>
      <cdr:y>0.89331</cdr:y>
    </cdr:to>
    <cdr:sp macro="" textlink="">
      <cdr:nvSpPr>
        <cdr:cNvPr id="757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1023" y="5458339"/>
          <a:ext cx="294440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#200</a:t>
          </a:r>
        </a:p>
      </cdr:txBody>
    </cdr:sp>
  </cdr:relSizeAnchor>
  <cdr:relSizeAnchor xmlns:cdr="http://schemas.openxmlformats.org/drawingml/2006/chartDrawing">
    <cdr:from>
      <cdr:x>0.85024</cdr:x>
      <cdr:y>0.17441</cdr:y>
    </cdr:from>
    <cdr:to>
      <cdr:x>0.85097</cdr:x>
      <cdr:y>0.86698</cdr:y>
    </cdr:to>
    <cdr:sp macro="" textlink="">
      <cdr:nvSpPr>
        <cdr:cNvPr id="1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70400" y="536575"/>
          <a:ext cx="3838" cy="21307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0.94776</cdr:x>
      <cdr:y>0.8715</cdr:y>
    </cdr:from>
    <cdr:to>
      <cdr:x>0.9623</cdr:x>
      <cdr:y>0.89786</cdr:y>
    </cdr:to>
    <cdr:sp macro="" textlink="">
      <cdr:nvSpPr>
        <cdr:cNvPr id="1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14947" y="5486986"/>
          <a:ext cx="126060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1"</a:t>
          </a:r>
        </a:p>
      </cdr:txBody>
    </cdr:sp>
  </cdr:relSizeAnchor>
  <cdr:relSizeAnchor xmlns:cdr="http://schemas.openxmlformats.org/drawingml/2006/chartDrawing">
    <cdr:from>
      <cdr:x>0.2338</cdr:x>
      <cdr:y>0.17014</cdr:y>
    </cdr:from>
    <cdr:to>
      <cdr:x>0.2338</cdr:x>
      <cdr:y>0.86295</cdr:y>
    </cdr:to>
    <cdr:sp macro="" textlink="">
      <cdr:nvSpPr>
        <cdr:cNvPr id="17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26534" y="1071632"/>
          <a:ext cx="0" cy="43635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0.27638</cdr:x>
      <cdr:y>0.17203</cdr:y>
    </cdr:from>
    <cdr:to>
      <cdr:x>0.27638</cdr:x>
      <cdr:y>0.86484</cdr:y>
    </cdr:to>
    <cdr:sp macro="" textlink="">
      <cdr:nvSpPr>
        <cdr:cNvPr id="18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395628" y="1083539"/>
          <a:ext cx="0" cy="43635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0.40688</cdr:x>
      <cdr:y>0.16825</cdr:y>
    </cdr:from>
    <cdr:to>
      <cdr:x>0.40688</cdr:x>
      <cdr:y>0.86106</cdr:y>
    </cdr:to>
    <cdr:sp macro="" textlink="">
      <cdr:nvSpPr>
        <cdr:cNvPr id="19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26721" y="1059726"/>
          <a:ext cx="0" cy="43635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0.3946</cdr:x>
      <cdr:y>0.87574</cdr:y>
    </cdr:from>
    <cdr:to>
      <cdr:x>0.41211</cdr:x>
      <cdr:y>0.90209</cdr:y>
    </cdr:to>
    <cdr:sp macro="" textlink="">
      <cdr:nvSpPr>
        <cdr:cNvPr id="21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0269" y="5515769"/>
          <a:ext cx="151836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#8</a:t>
          </a:r>
        </a:p>
      </cdr:txBody>
    </cdr:sp>
  </cdr:relSizeAnchor>
  <cdr:relSizeAnchor xmlns:cdr="http://schemas.openxmlformats.org/drawingml/2006/chartDrawing">
    <cdr:from>
      <cdr:x>0.22564</cdr:x>
      <cdr:y>0.89086</cdr:y>
    </cdr:from>
    <cdr:to>
      <cdr:x>0.2555</cdr:x>
      <cdr:y>0.91721</cdr:y>
    </cdr:to>
    <cdr:sp macro="" textlink="">
      <cdr:nvSpPr>
        <cdr:cNvPr id="22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5800" y="5611019"/>
          <a:ext cx="258789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 50</a:t>
          </a:r>
        </a:p>
      </cdr:txBody>
    </cdr:sp>
  </cdr:relSizeAnchor>
  <cdr:relSizeAnchor xmlns:cdr="http://schemas.openxmlformats.org/drawingml/2006/chartDrawing">
    <cdr:from>
      <cdr:x>0.2696</cdr:x>
      <cdr:y>0.87385</cdr:y>
    </cdr:from>
    <cdr:to>
      <cdr:x>0.29945</cdr:x>
      <cdr:y>0.9002</cdr:y>
    </cdr:to>
    <cdr:sp macro="" textlink="">
      <cdr:nvSpPr>
        <cdr:cNvPr id="2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6800" y="5503863"/>
          <a:ext cx="258789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 30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65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0.94125</cdr:x>
      <cdr:y>0.12375</cdr:y>
    </cdr:from>
    <cdr:to>
      <cdr:x>0.942</cdr:x>
      <cdr:y>0.90025</cdr:y>
    </cdr:to>
    <cdr:sp macro="" textlink="">
      <cdr:nvSpPr>
        <cdr:cNvPr id="2048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077831" y="722555"/>
          <a:ext cx="6437" cy="45338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0.7275</cdr:x>
      <cdr:y>0.12375</cdr:y>
    </cdr:from>
    <cdr:to>
      <cdr:x>0.7275</cdr:x>
      <cdr:y>0.90025</cdr:y>
    </cdr:to>
    <cdr:sp macro="" textlink="">
      <cdr:nvSpPr>
        <cdr:cNvPr id="204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43423" y="722555"/>
          <a:ext cx="0" cy="45338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0.51375</cdr:x>
      <cdr:y>0.12375</cdr:y>
    </cdr:from>
    <cdr:to>
      <cdr:x>0.51375</cdr:x>
      <cdr:y>0.90025</cdr:y>
    </cdr:to>
    <cdr:sp macro="" textlink="">
      <cdr:nvSpPr>
        <cdr:cNvPr id="2048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09015" y="722555"/>
          <a:ext cx="0" cy="45338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0.40625</cdr:x>
      <cdr:y>0.12375</cdr:y>
    </cdr:from>
    <cdr:to>
      <cdr:x>0.40625</cdr:x>
      <cdr:y>0.90025</cdr:y>
    </cdr:to>
    <cdr:sp macro="" textlink="">
      <cdr:nvSpPr>
        <cdr:cNvPr id="2048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486448" y="722555"/>
          <a:ext cx="0" cy="45338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0.246</cdr:x>
      <cdr:y>0.12375</cdr:y>
    </cdr:from>
    <cdr:to>
      <cdr:x>0.24775</cdr:x>
      <cdr:y>0.90025</cdr:y>
    </cdr:to>
    <cdr:sp macro="" textlink="">
      <cdr:nvSpPr>
        <cdr:cNvPr id="20486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11178" y="722555"/>
          <a:ext cx="15019" cy="45338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0.93325</cdr:x>
      <cdr:y>0.0745</cdr:y>
    </cdr:from>
    <cdr:to>
      <cdr:x>0.94903</cdr:x>
      <cdr:y>0.10381</cdr:y>
    </cdr:to>
    <cdr:sp macro="" textlink="">
      <cdr:nvSpPr>
        <cdr:cNvPr id="20487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00286" y="433573"/>
          <a:ext cx="135293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1"</a:t>
          </a:r>
        </a:p>
      </cdr:txBody>
    </cdr:sp>
  </cdr:relSizeAnchor>
  <cdr:relSizeAnchor xmlns:cdr="http://schemas.openxmlformats.org/drawingml/2006/chartDrawing">
    <cdr:from>
      <cdr:x>0.7125</cdr:x>
      <cdr:y>0.08325</cdr:y>
    </cdr:from>
    <cdr:to>
      <cdr:x>0.74076</cdr:x>
      <cdr:y>0.11256</cdr:y>
    </cdr:to>
    <cdr:sp macro="" textlink="">
      <cdr:nvSpPr>
        <cdr:cNvPr id="2048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7906" y="484496"/>
          <a:ext cx="242246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3/4"</a:t>
          </a:r>
        </a:p>
      </cdr:txBody>
    </cdr:sp>
  </cdr:relSizeAnchor>
  <cdr:relSizeAnchor xmlns:cdr="http://schemas.openxmlformats.org/drawingml/2006/chartDrawing">
    <cdr:from>
      <cdr:x>0.49725</cdr:x>
      <cdr:y>0.08325</cdr:y>
    </cdr:from>
    <cdr:to>
      <cdr:x>0.52551</cdr:x>
      <cdr:y>0.11256</cdr:y>
    </cdr:to>
    <cdr:sp macro="" textlink="">
      <cdr:nvSpPr>
        <cdr:cNvPr id="2048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2676" y="484496"/>
          <a:ext cx="242246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1/2"</a:t>
          </a:r>
        </a:p>
      </cdr:txBody>
    </cdr:sp>
  </cdr:relSizeAnchor>
  <cdr:relSizeAnchor xmlns:cdr="http://schemas.openxmlformats.org/drawingml/2006/chartDrawing">
    <cdr:from>
      <cdr:x>0.3895</cdr:x>
      <cdr:y>0.0825</cdr:y>
    </cdr:from>
    <cdr:to>
      <cdr:x>0.42275</cdr:x>
      <cdr:y>0.11675</cdr:y>
    </cdr:to>
    <cdr:sp macro="" textlink="">
      <cdr:nvSpPr>
        <cdr:cNvPr id="2049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42699" y="481703"/>
          <a:ext cx="285352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3/8"</a:t>
          </a:r>
        </a:p>
      </cdr:txBody>
    </cdr:sp>
  </cdr:relSizeAnchor>
  <cdr:relSizeAnchor xmlns:cdr="http://schemas.openxmlformats.org/drawingml/2006/chartDrawing">
    <cdr:from>
      <cdr:x>0.2275</cdr:x>
      <cdr:y>0.08325</cdr:y>
    </cdr:from>
    <cdr:to>
      <cdr:x>0.25045</cdr:x>
      <cdr:y>0.11256</cdr:y>
    </cdr:to>
    <cdr:sp macro="" textlink="">
      <cdr:nvSpPr>
        <cdr:cNvPr id="20491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0244" y="484496"/>
          <a:ext cx="196721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 4</a:t>
          </a:r>
        </a:p>
      </cdr:txBody>
    </cdr:sp>
  </cdr:relSizeAnchor>
  <cdr:relSizeAnchor xmlns:cdr="http://schemas.openxmlformats.org/drawingml/2006/chartDrawing">
    <cdr:from>
      <cdr:x>0.12425</cdr:x>
      <cdr:y>0.12375</cdr:y>
    </cdr:from>
    <cdr:to>
      <cdr:x>0.125</cdr:x>
      <cdr:y>0.90025</cdr:y>
    </cdr:to>
    <cdr:sp macro="" textlink="">
      <cdr:nvSpPr>
        <cdr:cNvPr id="20492" name="Line 1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066317" y="722555"/>
          <a:ext cx="6436" cy="45338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0.10925</cdr:x>
      <cdr:y>0.08325</cdr:y>
    </cdr:from>
    <cdr:to>
      <cdr:x>0.13636</cdr:x>
      <cdr:y>0.11256</cdr:y>
    </cdr:to>
    <cdr:sp macro="" textlink="">
      <cdr:nvSpPr>
        <cdr:cNvPr id="20493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6546" y="484496"/>
          <a:ext cx="232371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#16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95250</xdr:rowOff>
    </xdr:from>
    <xdr:to>
      <xdr:col>12</xdr:col>
      <xdr:colOff>295275</xdr:colOff>
      <xdr:row>2</xdr:row>
      <xdr:rowOff>209550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6505575" y="95250"/>
          <a:ext cx="933450" cy="466725"/>
        </a:xfrm>
        <a:prstGeom prst="wedgeRectCallout">
          <a:avLst>
            <a:gd name="adj1" fmla="val -117347"/>
            <a:gd name="adj2" fmla="val 15408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Goes with power 45 chart.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T/REPORTS/LAB/6200-6299/6261/6100-6199/6171/6131/TES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eport"/>
      <sheetName val="Sheet1"/>
      <sheetName val="M-D Input Sheet"/>
      <sheetName val="line data"/>
    </sheetNames>
    <sheetDataSet>
      <sheetData sheetId="0" refreshError="1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 fitToPage="1"/>
  </sheetPr>
  <dimension ref="A1:BL93"/>
  <sheetViews>
    <sheetView showGridLines="0" tabSelected="1" zoomScale="85" zoomScaleNormal="85" zoomScaleSheetLayoutView="25" workbookViewId="0">
      <pane xSplit="2" topLeftCell="C1" activePane="topRight" state="frozen"/>
      <selection pane="topRight" activeCell="N10" sqref="N10"/>
    </sheetView>
  </sheetViews>
  <sheetFormatPr defaultColWidth="6.7109375" defaultRowHeight="15" customHeight="1"/>
  <cols>
    <col min="1" max="1" width="9.28515625" style="8" customWidth="1"/>
    <col min="2" max="2" width="11.85546875" style="8" customWidth="1"/>
    <col min="3" max="3" width="10.85546875" style="8" customWidth="1"/>
    <col min="4" max="12" width="8" style="8" customWidth="1"/>
    <col min="13" max="17" width="7.7109375" style="8" customWidth="1"/>
    <col min="18" max="18" width="8.140625" style="8" customWidth="1"/>
    <col min="19" max="19" width="7.7109375" style="8" customWidth="1"/>
    <col min="20" max="21" width="6.28515625" style="8" customWidth="1"/>
    <col min="22" max="22" width="7.28515625" style="8" customWidth="1"/>
    <col min="23" max="23" width="6.85546875" style="8" customWidth="1"/>
    <col min="24" max="24" width="9.42578125" style="8" customWidth="1"/>
    <col min="25" max="29" width="11.28515625" style="8" customWidth="1"/>
    <col min="30" max="30" width="11.5703125" style="8" customWidth="1"/>
    <col min="31" max="32" width="10.42578125" style="8" customWidth="1"/>
    <col min="33" max="35" width="10.28515625" style="8" customWidth="1"/>
    <col min="36" max="42" width="6.28515625" style="8" customWidth="1"/>
    <col min="43" max="43" width="9.28515625" style="8" customWidth="1"/>
    <col min="44" max="45" width="8.28515625" style="8" customWidth="1"/>
    <col min="46" max="46" width="5.85546875" style="8" customWidth="1"/>
    <col min="47" max="47" width="6.5703125" style="8" customWidth="1"/>
    <col min="48" max="48" width="8" style="8" bestFit="1" customWidth="1"/>
    <col min="49" max="49" width="8" style="8" customWidth="1"/>
    <col min="50" max="50" width="8.42578125" style="8" customWidth="1"/>
    <col min="51" max="59" width="6.28515625" style="8" customWidth="1"/>
    <col min="60" max="67" width="11.7109375" style="8" customWidth="1"/>
    <col min="68" max="16384" width="6.7109375" style="8"/>
  </cols>
  <sheetData>
    <row r="1" spans="1:58" s="4" customFormat="1" ht="14.25" customHeight="1">
      <c r="A1" s="84" t="s">
        <v>124</v>
      </c>
      <c r="B1" s="7"/>
      <c r="C1" s="7"/>
      <c r="D1" s="7"/>
      <c r="E1" s="7"/>
      <c r="F1" s="2"/>
      <c r="G1" s="2"/>
      <c r="H1" s="2"/>
      <c r="I1" s="2"/>
      <c r="J1" s="3"/>
      <c r="K1" s="3"/>
      <c r="L1" s="3"/>
      <c r="M1" s="11"/>
      <c r="N1" s="47" t="s">
        <v>102</v>
      </c>
      <c r="O1" s="11"/>
      <c r="P1" s="11"/>
      <c r="Q1" s="11"/>
      <c r="R1" s="11"/>
      <c r="T1" s="38"/>
      <c r="U1" s="38"/>
      <c r="V1" s="11"/>
      <c r="W1" s="11"/>
      <c r="X1" s="11"/>
      <c r="Y1" s="11"/>
      <c r="Z1" s="11"/>
      <c r="AA1" s="11"/>
      <c r="AB1" s="11"/>
      <c r="AC1" s="11"/>
      <c r="AD1" s="11"/>
      <c r="AE1" s="32"/>
      <c r="AF1" s="32"/>
      <c r="AG1" s="32"/>
      <c r="AH1" s="32"/>
      <c r="AI1" s="32"/>
      <c r="AJ1" s="36"/>
      <c r="AK1" s="36"/>
      <c r="AL1" s="37"/>
      <c r="AM1" s="37"/>
      <c r="AN1" s="36"/>
      <c r="AO1" s="36"/>
      <c r="AQ1" s="5"/>
      <c r="AR1" s="5"/>
      <c r="AS1" s="5"/>
      <c r="AT1" s="5"/>
    </row>
    <row r="2" spans="1:58" s="4" customFormat="1" ht="10.5" customHeight="1">
      <c r="F2" s="1"/>
      <c r="G2" s="1"/>
      <c r="H2" s="1"/>
      <c r="I2" s="1"/>
      <c r="J2" s="1"/>
      <c r="K2" s="1"/>
      <c r="L2" s="35"/>
      <c r="M2" s="11"/>
      <c r="N2" s="595" t="s">
        <v>243</v>
      </c>
      <c r="O2" s="32"/>
      <c r="P2" s="32"/>
      <c r="Q2" s="32"/>
      <c r="R2" s="48"/>
      <c r="S2" s="48"/>
      <c r="T2" s="48"/>
      <c r="U2" s="48"/>
      <c r="V2" s="48"/>
      <c r="W2"/>
      <c r="X2"/>
      <c r="Y2"/>
      <c r="Z2"/>
      <c r="AA2"/>
      <c r="AB2"/>
      <c r="AC2"/>
      <c r="AD2"/>
      <c r="AE2"/>
      <c r="AF2"/>
      <c r="AG2"/>
      <c r="AH2"/>
      <c r="AI2"/>
      <c r="AL2" s="5"/>
      <c r="AM2" s="5"/>
      <c r="AN2" s="6"/>
      <c r="AO2" s="6"/>
      <c r="AP2" s="5"/>
      <c r="AQ2" s="5"/>
      <c r="AR2" s="5"/>
      <c r="AS2" s="5"/>
      <c r="AT2" s="5"/>
      <c r="AU2" s="5"/>
      <c r="AV2" s="5"/>
    </row>
    <row r="3" spans="1:58" s="4" customFormat="1" ht="15" customHeight="1">
      <c r="A3" s="426" t="s">
        <v>103</v>
      </c>
      <c r="B3" s="427"/>
      <c r="C3" s="428"/>
      <c r="D3" s="430"/>
      <c r="E3" s="431"/>
      <c r="F3" s="432"/>
      <c r="G3" s="443" t="s">
        <v>108</v>
      </c>
      <c r="H3" s="443"/>
      <c r="I3" s="443"/>
      <c r="J3" s="437"/>
      <c r="K3" s="441"/>
      <c r="L3" s="442"/>
      <c r="M3" s="12"/>
      <c r="N3" s="591" t="s">
        <v>244</v>
      </c>
      <c r="O3" s="12"/>
      <c r="P3" s="12"/>
      <c r="Q3" s="12"/>
      <c r="R3" s="12"/>
      <c r="S3" s="12"/>
      <c r="T3" s="8"/>
      <c r="U3" s="8"/>
      <c r="V3" s="8"/>
      <c r="W3" s="8"/>
      <c r="X3" s="8"/>
      <c r="AK3" s="5"/>
      <c r="AL3" s="5"/>
      <c r="AM3" s="5"/>
      <c r="AN3" s="5"/>
      <c r="AO3" s="5"/>
      <c r="AP3" s="5"/>
      <c r="AQ3" s="5"/>
    </row>
    <row r="4" spans="1:58" s="4" customFormat="1" ht="15" customHeight="1">
      <c r="A4" s="426" t="s">
        <v>104</v>
      </c>
      <c r="B4" s="427"/>
      <c r="C4" s="428"/>
      <c r="D4" s="433"/>
      <c r="E4" s="431"/>
      <c r="F4" s="432"/>
      <c r="G4" s="443" t="s">
        <v>46</v>
      </c>
      <c r="H4" s="443"/>
      <c r="I4" s="443"/>
      <c r="J4" s="437"/>
      <c r="K4" s="431"/>
      <c r="L4" s="432"/>
      <c r="N4" s="592" t="s">
        <v>245</v>
      </c>
      <c r="AK4" s="5"/>
      <c r="AL4" s="5"/>
      <c r="AM4" s="5"/>
      <c r="AN4" s="5"/>
      <c r="AO4" s="5"/>
      <c r="AP4" s="5"/>
      <c r="AQ4" s="5"/>
    </row>
    <row r="5" spans="1:58" s="4" customFormat="1" ht="15" customHeight="1">
      <c r="A5" s="426" t="s">
        <v>105</v>
      </c>
      <c r="B5" s="427"/>
      <c r="C5" s="428"/>
      <c r="D5" s="437"/>
      <c r="E5" s="431"/>
      <c r="F5" s="432"/>
      <c r="G5" s="426" t="s">
        <v>107</v>
      </c>
      <c r="H5" s="427"/>
      <c r="I5" s="428"/>
      <c r="J5" s="437"/>
      <c r="K5" s="441"/>
      <c r="L5" s="442"/>
      <c r="N5" s="594" t="s">
        <v>246</v>
      </c>
      <c r="O5" s="392"/>
      <c r="P5" s="391"/>
      <c r="Q5" s="391"/>
      <c r="AK5" s="5"/>
      <c r="AL5" s="5"/>
      <c r="AM5" s="5"/>
      <c r="AN5" s="5"/>
      <c r="AO5" s="5"/>
      <c r="AP5" s="5"/>
      <c r="AQ5" s="5"/>
    </row>
    <row r="6" spans="1:58" s="4" customFormat="1" ht="15" customHeight="1">
      <c r="A6" s="426" t="s">
        <v>47</v>
      </c>
      <c r="B6" s="427"/>
      <c r="C6" s="428"/>
      <c r="D6" s="433"/>
      <c r="E6" s="431"/>
      <c r="F6" s="432"/>
      <c r="G6" s="443" t="s">
        <v>121</v>
      </c>
      <c r="H6" s="443"/>
      <c r="I6" s="443"/>
      <c r="J6" s="437"/>
      <c r="K6" s="441"/>
      <c r="L6" s="442"/>
      <c r="N6" s="592" t="s">
        <v>247</v>
      </c>
      <c r="P6" s="8"/>
      <c r="Q6" s="8"/>
      <c r="R6" s="8"/>
      <c r="S6" s="8"/>
      <c r="T6" s="8"/>
      <c r="U6" s="8"/>
      <c r="V6" s="8"/>
    </row>
    <row r="7" spans="1:58" s="4" customFormat="1" ht="15" customHeight="1">
      <c r="A7" s="426" t="s">
        <v>106</v>
      </c>
      <c r="B7" s="427"/>
      <c r="C7" s="428"/>
      <c r="D7" s="433"/>
      <c r="E7" s="431"/>
      <c r="F7" s="432"/>
      <c r="G7" s="443" t="s">
        <v>122</v>
      </c>
      <c r="H7" s="443"/>
      <c r="I7" s="443"/>
      <c r="J7" s="437"/>
      <c r="K7" s="441"/>
      <c r="L7" s="442"/>
      <c r="N7" s="592" t="s">
        <v>248</v>
      </c>
    </row>
    <row r="8" spans="1:58" ht="15" customHeight="1">
      <c r="A8" s="426" t="s">
        <v>109</v>
      </c>
      <c r="B8" s="427"/>
      <c r="C8" s="428"/>
      <c r="D8" s="433"/>
      <c r="E8" s="431"/>
      <c r="F8" s="432"/>
      <c r="G8" s="444" t="s">
        <v>123</v>
      </c>
      <c r="H8" s="444"/>
      <c r="I8" s="444"/>
      <c r="J8" s="433"/>
      <c r="K8" s="441"/>
      <c r="L8" s="442"/>
      <c r="N8" s="75" t="s">
        <v>249</v>
      </c>
    </row>
    <row r="9" spans="1:58" ht="15" customHeight="1">
      <c r="A9" s="426" t="s">
        <v>0</v>
      </c>
      <c r="B9" s="427"/>
      <c r="C9" s="428"/>
      <c r="D9" s="434"/>
      <c r="E9" s="435"/>
      <c r="F9" s="436"/>
      <c r="G9" s="424"/>
      <c r="H9" s="425"/>
      <c r="I9" s="425"/>
      <c r="J9" s="419"/>
      <c r="K9" s="419"/>
      <c r="L9" s="419"/>
      <c r="N9" s="75" t="s">
        <v>250</v>
      </c>
    </row>
    <row r="10" spans="1:58" s="4" customFormat="1" ht="18.75" customHeight="1">
      <c r="D10" s="188"/>
      <c r="E10" s="189"/>
      <c r="F10" s="189"/>
      <c r="G10" s="189"/>
      <c r="H10" s="9"/>
      <c r="I10" s="9"/>
      <c r="J10" s="9"/>
      <c r="K10" s="9"/>
      <c r="L10" s="10"/>
      <c r="M10" s="10"/>
      <c r="N10" s="10"/>
      <c r="O10" s="10"/>
      <c r="P10" s="10"/>
      <c r="Q10" s="10"/>
      <c r="R10"/>
      <c r="S10"/>
      <c r="T10"/>
      <c r="U10"/>
      <c r="V10"/>
      <c r="W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58" customFormat="1" ht="15" customHeight="1">
      <c r="D11" s="448" t="s">
        <v>57</v>
      </c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50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58" customFormat="1" ht="15" customHeight="1">
      <c r="A12" s="438" t="s">
        <v>188</v>
      </c>
      <c r="B12" s="439"/>
      <c r="C12" s="440"/>
      <c r="D12" s="420" t="s">
        <v>50</v>
      </c>
      <c r="E12" s="421"/>
      <c r="F12" s="420" t="s">
        <v>51</v>
      </c>
      <c r="G12" s="421"/>
      <c r="H12" s="420" t="s">
        <v>52</v>
      </c>
      <c r="I12" s="421"/>
      <c r="J12" s="420" t="s">
        <v>53</v>
      </c>
      <c r="K12" s="421"/>
      <c r="L12" s="420" t="s">
        <v>54</v>
      </c>
      <c r="M12" s="421"/>
      <c r="N12" s="420" t="s">
        <v>55</v>
      </c>
      <c r="O12" s="421"/>
      <c r="P12" s="420" t="s">
        <v>56</v>
      </c>
      <c r="Q12" s="421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 ht="15" customHeight="1">
      <c r="A13" s="429" t="s">
        <v>168</v>
      </c>
      <c r="B13" s="429"/>
      <c r="C13" s="429"/>
      <c r="D13" s="396" t="s">
        <v>237</v>
      </c>
      <c r="E13" s="396"/>
      <c r="F13" s="396" t="s">
        <v>237</v>
      </c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/>
      <c r="S13"/>
      <c r="T13"/>
      <c r="U13"/>
      <c r="V13"/>
      <c r="W13"/>
    </row>
    <row r="14" spans="1:58" ht="15" customHeight="1">
      <c r="A14" s="429" t="s">
        <v>169</v>
      </c>
      <c r="B14" s="429"/>
      <c r="C14" s="429"/>
      <c r="D14" s="422" t="s">
        <v>238</v>
      </c>
      <c r="E14" s="423"/>
      <c r="F14" s="422" t="s">
        <v>238</v>
      </c>
      <c r="G14" s="423"/>
      <c r="H14" s="422"/>
      <c r="I14" s="423"/>
      <c r="J14" s="422"/>
      <c r="K14" s="423"/>
      <c r="L14" s="422"/>
      <c r="M14" s="423"/>
      <c r="N14" s="422"/>
      <c r="O14" s="423"/>
      <c r="P14" s="422"/>
      <c r="Q14" s="423"/>
      <c r="R14"/>
      <c r="S14"/>
      <c r="T14"/>
      <c r="U14"/>
      <c r="V14"/>
      <c r="W14"/>
    </row>
    <row r="15" spans="1:58" ht="15" customHeight="1">
      <c r="A15" s="429" t="s">
        <v>166</v>
      </c>
      <c r="B15" s="429"/>
      <c r="C15" s="429"/>
      <c r="D15" s="396" t="s">
        <v>239</v>
      </c>
      <c r="E15" s="396"/>
      <c r="F15" s="396" t="s">
        <v>242</v>
      </c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/>
      <c r="S15"/>
      <c r="T15"/>
      <c r="U15"/>
      <c r="V15"/>
      <c r="W15"/>
    </row>
    <row r="16" spans="1:58" ht="15" customHeight="1">
      <c r="A16" s="429" t="s">
        <v>167</v>
      </c>
      <c r="B16" s="429"/>
      <c r="C16" s="429"/>
      <c r="D16" s="422" t="s">
        <v>240</v>
      </c>
      <c r="E16" s="423"/>
      <c r="F16" s="422" t="s">
        <v>241</v>
      </c>
      <c r="G16" s="423"/>
      <c r="H16" s="422"/>
      <c r="I16" s="423"/>
      <c r="J16" s="422"/>
      <c r="K16" s="423"/>
      <c r="L16" s="396"/>
      <c r="M16" s="396"/>
      <c r="N16" s="396"/>
      <c r="O16" s="396"/>
      <c r="P16" s="396"/>
      <c r="Q16" s="396"/>
      <c r="T16" s="454" t="s">
        <v>165</v>
      </c>
      <c r="U16" s="454"/>
      <c r="AU16" s="251"/>
    </row>
    <row r="17" spans="1:59" ht="24" customHeight="1">
      <c r="A17" s="457" t="s">
        <v>177</v>
      </c>
      <c r="B17" s="429"/>
      <c r="C17" s="429"/>
      <c r="D17" s="452"/>
      <c r="E17" s="453"/>
      <c r="F17" s="451"/>
      <c r="G17" s="451"/>
      <c r="H17" s="451"/>
      <c r="I17" s="451"/>
      <c r="J17" s="452"/>
      <c r="K17" s="453"/>
      <c r="L17" s="451"/>
      <c r="M17" s="451"/>
      <c r="N17" s="451"/>
      <c r="O17" s="451"/>
      <c r="P17" s="451"/>
      <c r="Q17" s="451"/>
      <c r="R17" s="455" t="s">
        <v>45</v>
      </c>
      <c r="S17" s="456"/>
      <c r="T17" s="593">
        <v>34</v>
      </c>
      <c r="U17" s="593"/>
      <c r="AJ17" s="403">
        <v>12</v>
      </c>
      <c r="AK17" s="403"/>
      <c r="AL17" s="403">
        <v>1</v>
      </c>
      <c r="AM17" s="403"/>
      <c r="AN17" s="403">
        <v>34</v>
      </c>
      <c r="AO17" s="403"/>
      <c r="AU17" s="251"/>
      <c r="AV17" s="502"/>
      <c r="AW17" s="503"/>
      <c r="AX17" s="503"/>
      <c r="AY17" s="503"/>
      <c r="AZ17" s="503"/>
      <c r="BA17" s="503"/>
      <c r="BB17" s="503"/>
      <c r="BC17" s="503"/>
      <c r="BD17" s="503"/>
      <c r="BE17" s="503"/>
      <c r="BF17" s="503"/>
      <c r="BG17" s="252"/>
    </row>
    <row r="18" spans="1:59" ht="13.5" customHeight="1">
      <c r="D18" s="452"/>
      <c r="E18" s="453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R18" s="109" t="s">
        <v>61</v>
      </c>
      <c r="T18" s="404" t="str">
        <f>"Lower &amp; Upper "&amp;Grade &amp; " Specification Limits"</f>
        <v>Lower &amp; Upper  Specification Limits</v>
      </c>
      <c r="U18" s="405"/>
      <c r="V18" s="445" t="s">
        <v>60</v>
      </c>
      <c r="W18" s="445" t="s">
        <v>64</v>
      </c>
      <c r="X18" s="488" t="s">
        <v>10</v>
      </c>
      <c r="Y18" s="410" t="s">
        <v>110</v>
      </c>
      <c r="Z18" s="410" t="s">
        <v>143</v>
      </c>
      <c r="AA18" s="410" t="s">
        <v>111</v>
      </c>
      <c r="AB18" s="411" t="s">
        <v>205</v>
      </c>
      <c r="AC18" s="411" t="s">
        <v>204</v>
      </c>
      <c r="AD18" s="410" t="s">
        <v>112</v>
      </c>
      <c r="AE18" s="418" t="s">
        <v>199</v>
      </c>
      <c r="AF18" s="410" t="s">
        <v>135</v>
      </c>
      <c r="AG18" s="410" t="s">
        <v>144</v>
      </c>
      <c r="AH18" s="414" t="s">
        <v>212</v>
      </c>
      <c r="AI18" s="415"/>
      <c r="AJ18" s="404" t="str">
        <f>"Lower &amp; Upper "&amp;Grade &amp; " Specification Limits 1/2 in"</f>
        <v>Lower &amp; Upper  Specification Limits 1/2 in</v>
      </c>
      <c r="AK18" s="405"/>
      <c r="AL18" s="404" t="str">
        <f>"Lower &amp; Upper "&amp;Grade &amp; " Specification Limits 1 in"</f>
        <v>Lower &amp; Upper  Specification Limits 1 in</v>
      </c>
      <c r="AM18" s="405"/>
      <c r="AN18" s="404" t="str">
        <f>"Lower &amp; Upper "&amp;Grade &amp; " Specification Limits 3/4 in"</f>
        <v>Lower &amp; Upper  Specification Limits 3/4 in</v>
      </c>
      <c r="AO18" s="405"/>
      <c r="AP18" s="470" t="s">
        <v>189</v>
      </c>
      <c r="AQ18" s="418" t="s">
        <v>200</v>
      </c>
      <c r="AR18" s="418" t="s">
        <v>201</v>
      </c>
      <c r="AS18" s="418" t="s">
        <v>202</v>
      </c>
      <c r="AU18" s="504"/>
      <c r="AV18" s="505"/>
      <c r="AW18" s="506"/>
      <c r="AX18" s="504"/>
      <c r="AY18" s="504"/>
      <c r="AZ18" s="458"/>
      <c r="BA18" s="458"/>
      <c r="BB18" s="458"/>
      <c r="BC18" s="458"/>
      <c r="BD18" s="458"/>
      <c r="BE18" s="458"/>
      <c r="BF18" s="458"/>
      <c r="BG18" s="458"/>
    </row>
    <row r="19" spans="1:59" ht="17.25" customHeight="1">
      <c r="A19" s="465" t="s">
        <v>65</v>
      </c>
      <c r="B19" s="465"/>
      <c r="C19" s="465"/>
      <c r="D19" s="225">
        <f>HLOOKUP($G$37,$D$39:$J$46,2)</f>
        <v>25</v>
      </c>
      <c r="E19" s="39" t="s">
        <v>44</v>
      </c>
      <c r="F19" s="225">
        <f>HLOOKUP($G$37,$D$39:$J$46,3)</f>
        <v>30</v>
      </c>
      <c r="G19" s="39" t="s">
        <v>44</v>
      </c>
      <c r="H19" s="225">
        <f>HLOOKUP($G$37,$D$39:$J$46,4)</f>
        <v>0</v>
      </c>
      <c r="I19" s="39" t="s">
        <v>44</v>
      </c>
      <c r="J19" s="225">
        <f>HLOOKUP($G$37,$D$39:$J$46,5)</f>
        <v>0</v>
      </c>
      <c r="K19" s="39" t="s">
        <v>44</v>
      </c>
      <c r="L19" s="225">
        <f>HLOOKUP($G$37,$D$39:$J$46,6)</f>
        <v>45</v>
      </c>
      <c r="M19" s="39" t="s">
        <v>44</v>
      </c>
      <c r="N19" s="225">
        <f>HLOOKUP($G$37,$D$39:$J$46,7)</f>
        <v>0</v>
      </c>
      <c r="O19" s="39" t="s">
        <v>44</v>
      </c>
      <c r="P19" s="225">
        <f>HLOOKUP($G$37,$D$39:$J$46,8)</f>
        <v>0</v>
      </c>
      <c r="Q19" s="39" t="s">
        <v>44</v>
      </c>
      <c r="R19" s="45">
        <f>SUM(D19,F19,H19,J19,L19,N19,P19)/100</f>
        <v>1</v>
      </c>
      <c r="S19" s="34"/>
      <c r="T19" s="406"/>
      <c r="U19" s="407"/>
      <c r="V19" s="446"/>
      <c r="W19" s="446"/>
      <c r="X19" s="489"/>
      <c r="Y19" s="410"/>
      <c r="Z19" s="410"/>
      <c r="AA19" s="410"/>
      <c r="AB19" s="412"/>
      <c r="AC19" s="412"/>
      <c r="AD19" s="410"/>
      <c r="AE19" s="410"/>
      <c r="AF19" s="410"/>
      <c r="AG19" s="410"/>
      <c r="AH19" s="416"/>
      <c r="AI19" s="417"/>
      <c r="AJ19" s="406"/>
      <c r="AK19" s="407"/>
      <c r="AL19" s="406"/>
      <c r="AM19" s="407"/>
      <c r="AN19" s="406"/>
      <c r="AO19" s="407"/>
      <c r="AP19" s="471"/>
      <c r="AQ19" s="410"/>
      <c r="AR19" s="410"/>
      <c r="AS19" s="410"/>
      <c r="AU19" s="504"/>
      <c r="AV19" s="505"/>
      <c r="AW19" s="506"/>
      <c r="AX19" s="504"/>
      <c r="AY19" s="504"/>
      <c r="AZ19" s="458"/>
      <c r="BA19" s="458"/>
      <c r="BB19" s="458"/>
      <c r="BC19" s="458"/>
      <c r="BD19" s="458"/>
      <c r="BE19" s="458"/>
      <c r="BF19" s="458"/>
      <c r="BG19" s="458"/>
    </row>
    <row r="20" spans="1:59" ht="3.75" customHeight="1">
      <c r="A20"/>
      <c r="D20"/>
      <c r="E20"/>
      <c r="F20"/>
      <c r="G20"/>
      <c r="H20"/>
      <c r="I20"/>
      <c r="J20" s="44"/>
      <c r="K20"/>
      <c r="L20"/>
      <c r="M20"/>
      <c r="N20"/>
      <c r="O20"/>
      <c r="P20"/>
      <c r="Q20"/>
      <c r="R20"/>
      <c r="S20"/>
      <c r="T20" s="406"/>
      <c r="U20" s="407"/>
      <c r="V20" s="446"/>
      <c r="W20" s="446"/>
      <c r="X20" s="489"/>
      <c r="Y20" s="410"/>
      <c r="Z20" s="410"/>
      <c r="AA20" s="410"/>
      <c r="AB20" s="412"/>
      <c r="AC20" s="412"/>
      <c r="AD20" s="410"/>
      <c r="AE20" s="410"/>
      <c r="AF20" s="410"/>
      <c r="AG20" s="410"/>
      <c r="AH20" s="416"/>
      <c r="AI20" s="417"/>
      <c r="AJ20" s="406"/>
      <c r="AK20" s="407"/>
      <c r="AL20" s="406"/>
      <c r="AM20" s="407"/>
      <c r="AN20" s="406"/>
      <c r="AO20" s="407"/>
      <c r="AP20" s="471"/>
      <c r="AQ20" s="410"/>
      <c r="AR20" s="410"/>
      <c r="AS20" s="410"/>
      <c r="AU20" s="504"/>
      <c r="AV20" s="505"/>
      <c r="AW20" s="506"/>
      <c r="AX20" s="504"/>
      <c r="AY20" s="504"/>
      <c r="AZ20" s="458"/>
      <c r="BA20" s="458"/>
      <c r="BB20" s="458"/>
      <c r="BC20" s="458"/>
      <c r="BD20" s="458"/>
      <c r="BE20" s="458"/>
      <c r="BF20" s="458"/>
      <c r="BG20" s="458"/>
    </row>
    <row r="21" spans="1:59" ht="33.75" customHeight="1">
      <c r="A21" s="486" t="s">
        <v>1</v>
      </c>
      <c r="B21" s="487"/>
      <c r="C21" s="40" t="str">
        <f>"Sieve Size:" &amp; CHAR(10) &amp; "(mm)"</f>
        <v>Sieve Size:
(mm)</v>
      </c>
      <c r="D21" s="40" t="s">
        <v>62</v>
      </c>
      <c r="E21" s="41" t="s">
        <v>58</v>
      </c>
      <c r="F21" s="40" t="s">
        <v>62</v>
      </c>
      <c r="G21" s="41" t="s">
        <v>58</v>
      </c>
      <c r="H21" s="40" t="s">
        <v>62</v>
      </c>
      <c r="I21" s="41" t="s">
        <v>58</v>
      </c>
      <c r="J21" s="40" t="s">
        <v>62</v>
      </c>
      <c r="K21" s="41" t="s">
        <v>58</v>
      </c>
      <c r="L21" s="40" t="s">
        <v>62</v>
      </c>
      <c r="M21" s="41" t="s">
        <v>58</v>
      </c>
      <c r="N21" s="40" t="s">
        <v>62</v>
      </c>
      <c r="O21" s="41" t="s">
        <v>58</v>
      </c>
      <c r="P21" s="40" t="s">
        <v>62</v>
      </c>
      <c r="Q21" s="41" t="s">
        <v>58</v>
      </c>
      <c r="R21" s="217" t="s">
        <v>59</v>
      </c>
      <c r="S21" s="40" t="s">
        <v>63</v>
      </c>
      <c r="T21" s="408"/>
      <c r="U21" s="409"/>
      <c r="V21" s="447"/>
      <c r="W21" s="447"/>
      <c r="X21" s="490"/>
      <c r="Y21" s="410"/>
      <c r="Z21" s="410"/>
      <c r="AA21" s="410"/>
      <c r="AB21" s="413"/>
      <c r="AC21" s="413"/>
      <c r="AD21" s="410"/>
      <c r="AE21" s="410"/>
      <c r="AF21" s="410"/>
      <c r="AG21" s="410"/>
      <c r="AH21" s="273" t="s">
        <v>213</v>
      </c>
      <c r="AI21" s="273" t="s">
        <v>214</v>
      </c>
      <c r="AJ21" s="408"/>
      <c r="AK21" s="409"/>
      <c r="AL21" s="408"/>
      <c r="AM21" s="409"/>
      <c r="AN21" s="408"/>
      <c r="AO21" s="409"/>
      <c r="AP21" s="472"/>
      <c r="AQ21" s="410"/>
      <c r="AR21" s="410"/>
      <c r="AS21" s="410"/>
      <c r="AU21" s="504"/>
      <c r="AV21" s="505"/>
      <c r="AW21" s="506"/>
      <c r="AX21" s="504"/>
      <c r="AY21" s="504"/>
      <c r="AZ21" s="458"/>
      <c r="BA21" s="458"/>
      <c r="BB21" s="458"/>
      <c r="BC21" s="458"/>
      <c r="BD21" s="458"/>
      <c r="BE21" s="458"/>
      <c r="BF21" s="458"/>
      <c r="BG21" s="458"/>
    </row>
    <row r="22" spans="1:59" ht="15" customHeight="1">
      <c r="A22" s="400" t="s">
        <v>31</v>
      </c>
      <c r="B22" s="401"/>
      <c r="C22" s="50">
        <v>25</v>
      </c>
      <c r="D22" s="373">
        <v>100</v>
      </c>
      <c r="E22" s="43">
        <f>D22*(Bin1Frac/100)</f>
        <v>25</v>
      </c>
      <c r="F22" s="373">
        <v>100</v>
      </c>
      <c r="G22" s="43">
        <f>F22*(Bin2Frac/100)</f>
        <v>30</v>
      </c>
      <c r="H22" s="373"/>
      <c r="I22" s="43">
        <f t="shared" ref="I22:I32" si="0">H22*(Bin3Frac/100)</f>
        <v>0</v>
      </c>
      <c r="J22" s="388"/>
      <c r="K22" s="43">
        <f t="shared" ref="K22:K32" si="1">J22*(Bin4Frac/100)</f>
        <v>0</v>
      </c>
      <c r="L22" s="91"/>
      <c r="M22" s="43">
        <f t="shared" ref="M22:M32" si="2">L22*(Bin5Frac/100)</f>
        <v>0</v>
      </c>
      <c r="N22" s="373"/>
      <c r="O22" s="43">
        <f t="shared" ref="O22:O32" si="3">N22*(Bin6Frac/100)</f>
        <v>0</v>
      </c>
      <c r="P22" s="373"/>
      <c r="Q22" s="43">
        <f t="shared" ref="Q22:Q32" si="4">P22*(Bin7Frac/100)</f>
        <v>0</v>
      </c>
      <c r="R22" s="218">
        <f t="shared" ref="R22:R32" si="5">SUM(E22,G22,I22,K22,M22,O22,Q22)</f>
        <v>55</v>
      </c>
      <c r="S22" s="33" t="str">
        <f t="shared" ref="S22:S32" si="6">IF(OR(R22&lt;T22,R22&gt;U22),"No","Yes")</f>
        <v>No</v>
      </c>
      <c r="T22" s="93">
        <f t="shared" ref="T22:U26" si="7">IF($T$17=$AJ$17,AJ22,IF($T$17=$AL$17,AL22,IF($T$17=$AN$17,AN22)))</f>
        <v>100</v>
      </c>
      <c r="U22" s="93">
        <f t="shared" si="7"/>
        <v>100</v>
      </c>
      <c r="V22" s="42">
        <f>W22</f>
        <v>45</v>
      </c>
      <c r="W22" s="42">
        <f t="shared" ref="W22:W30" si="8">100-R22</f>
        <v>45</v>
      </c>
      <c r="X22" s="42" t="str">
        <f t="shared" ref="X22:X32" si="9">$A22</f>
        <v>1"</v>
      </c>
      <c r="Y22" s="68">
        <f>SSize1^0.45</f>
        <v>4.2566996126039234</v>
      </c>
      <c r="Z22" s="110">
        <v>100</v>
      </c>
      <c r="AA22" s="69">
        <v>100</v>
      </c>
      <c r="AB22" s="256">
        <f>100-AA22</f>
        <v>0</v>
      </c>
      <c r="AC22" s="256">
        <f>AB22</f>
        <v>0</v>
      </c>
      <c r="AD22" s="97">
        <f>100*(SSize1/SSize1)^0.45</f>
        <v>100</v>
      </c>
      <c r="AE22" s="100">
        <f>ABS(AD22-R22)</f>
        <v>45</v>
      </c>
      <c r="AF22" s="100">
        <f t="shared" ref="AF22:AF32" si="10">ABS(AA22-R22)</f>
        <v>45</v>
      </c>
      <c r="AG22" s="111">
        <f>Z22-R22</f>
        <v>45</v>
      </c>
      <c r="AH22" s="271">
        <v>16</v>
      </c>
      <c r="AI22" s="271">
        <v>0</v>
      </c>
      <c r="AJ22" s="93">
        <v>100</v>
      </c>
      <c r="AK22" s="93">
        <v>100</v>
      </c>
      <c r="AL22" s="93">
        <v>82</v>
      </c>
      <c r="AM22" s="93">
        <v>100</v>
      </c>
      <c r="AN22" s="93">
        <v>100</v>
      </c>
      <c r="AO22" s="93">
        <v>100</v>
      </c>
      <c r="AP22" s="99">
        <f>LOG(SSize1)</f>
        <v>1.3979400086720377</v>
      </c>
      <c r="AQ22" s="249">
        <f>(R22-AD22)^2</f>
        <v>2025</v>
      </c>
      <c r="AR22" s="249">
        <f>(R22-AA22)^2</f>
        <v>2025</v>
      </c>
      <c r="AS22" s="249">
        <f>(R22-Z22)^2</f>
        <v>2025</v>
      </c>
      <c r="AU22" s="383"/>
      <c r="AV22" s="252"/>
      <c r="AW22" s="384"/>
      <c r="AX22" s="385"/>
      <c r="AY22" s="113"/>
      <c r="AZ22" s="112"/>
      <c r="BA22" s="112"/>
      <c r="BB22" s="180"/>
      <c r="BC22" s="180"/>
      <c r="BD22" s="180"/>
      <c r="BE22" s="180"/>
      <c r="BF22" s="180"/>
      <c r="BG22" s="180"/>
    </row>
    <row r="23" spans="1:59" ht="15" customHeight="1">
      <c r="A23" s="485" t="s">
        <v>73</v>
      </c>
      <c r="B23" s="401"/>
      <c r="C23" s="51">
        <v>19</v>
      </c>
      <c r="D23" s="374">
        <v>93</v>
      </c>
      <c r="E23" s="43">
        <f t="shared" ref="E23:E32" si="11">D23*(Bin1Frac/100)</f>
        <v>23.25</v>
      </c>
      <c r="F23" s="374">
        <v>100</v>
      </c>
      <c r="G23" s="43">
        <f t="shared" ref="G23:G32" si="12">F23*(Bin2Frac/100)</f>
        <v>30</v>
      </c>
      <c r="H23" s="376"/>
      <c r="I23" s="43">
        <f t="shared" si="0"/>
        <v>0</v>
      </c>
      <c r="J23" s="388"/>
      <c r="K23" s="43">
        <f t="shared" si="1"/>
        <v>0</v>
      </c>
      <c r="L23" s="92"/>
      <c r="M23" s="43">
        <f t="shared" si="2"/>
        <v>0</v>
      </c>
      <c r="N23" s="374"/>
      <c r="O23" s="43">
        <f t="shared" si="3"/>
        <v>0</v>
      </c>
      <c r="P23" s="374"/>
      <c r="Q23" s="43">
        <f t="shared" si="4"/>
        <v>0</v>
      </c>
      <c r="R23" s="218">
        <f t="shared" si="5"/>
        <v>53.25</v>
      </c>
      <c r="S23" s="33" t="str">
        <f t="shared" si="6"/>
        <v>No</v>
      </c>
      <c r="T23" s="93">
        <f t="shared" si="7"/>
        <v>90</v>
      </c>
      <c r="U23" s="93">
        <f t="shared" si="7"/>
        <v>100</v>
      </c>
      <c r="V23" s="42">
        <f t="shared" ref="V23:V32" si="13">100-R23-W22</f>
        <v>1.75</v>
      </c>
      <c r="W23" s="42">
        <f>100-R23</f>
        <v>46.75</v>
      </c>
      <c r="X23" s="42" t="str">
        <f t="shared" si="9"/>
        <v>3/4"</v>
      </c>
      <c r="Y23" s="68">
        <f>SSize2^0.45</f>
        <v>3.7621761023862978</v>
      </c>
      <c r="Z23" s="68">
        <v>100</v>
      </c>
      <c r="AA23" s="66">
        <f>100*(SSize2/SSize2)^0.45</f>
        <v>100</v>
      </c>
      <c r="AB23" s="256">
        <f t="shared" ref="AB23:AB32" si="14">100-AA23</f>
        <v>0</v>
      </c>
      <c r="AC23" s="257">
        <f>AB23-AB22</f>
        <v>0</v>
      </c>
      <c r="AD23" s="98">
        <f>100*(SSize2/SSize1)^0.45</f>
        <v>88.382466341919923</v>
      </c>
      <c r="AE23" s="100">
        <f>ABS(AD23-R23)</f>
        <v>35.132466341919923</v>
      </c>
      <c r="AF23" s="100">
        <f t="shared" si="10"/>
        <v>46.75</v>
      </c>
      <c r="AG23" s="111">
        <f>Z23-R23</f>
        <v>46.75</v>
      </c>
      <c r="AH23" s="272">
        <v>20</v>
      </c>
      <c r="AI23" s="272">
        <v>0</v>
      </c>
      <c r="AJ23" s="94">
        <v>100</v>
      </c>
      <c r="AK23" s="95">
        <v>100</v>
      </c>
      <c r="AL23" s="94">
        <v>72</v>
      </c>
      <c r="AM23" s="95">
        <v>91</v>
      </c>
      <c r="AN23" s="94">
        <v>90</v>
      </c>
      <c r="AO23" s="95">
        <v>100</v>
      </c>
      <c r="AP23" s="99">
        <f>LOG(SSize2)</f>
        <v>1.2787536009528289</v>
      </c>
      <c r="AQ23" s="249">
        <f>(R23-AD23)^2</f>
        <v>1234.2901912661362</v>
      </c>
      <c r="AR23" s="249">
        <f>(R23-AA23)^2</f>
        <v>2185.5625</v>
      </c>
      <c r="AS23" s="249">
        <f>(R23-Z23)^2</f>
        <v>2185.5625</v>
      </c>
      <c r="AT23" s="248"/>
      <c r="AU23" s="383"/>
      <c r="AV23" s="252"/>
      <c r="AW23" s="384"/>
      <c r="AX23" s="385"/>
      <c r="AY23" s="113"/>
      <c r="AZ23" s="112"/>
      <c r="BA23" s="112"/>
      <c r="BB23" s="180"/>
      <c r="BC23" s="180"/>
      <c r="BD23" s="180"/>
      <c r="BE23" s="180"/>
      <c r="BF23" s="180"/>
      <c r="BG23" s="180"/>
    </row>
    <row r="24" spans="1:59" ht="15" customHeight="1">
      <c r="A24" s="485" t="s">
        <v>18</v>
      </c>
      <c r="B24" s="401"/>
      <c r="C24" s="51">
        <v>12.5</v>
      </c>
      <c r="D24" s="374">
        <v>50</v>
      </c>
      <c r="E24" s="43">
        <f t="shared" si="11"/>
        <v>12.5</v>
      </c>
      <c r="F24" s="374">
        <v>100</v>
      </c>
      <c r="G24" s="43">
        <f t="shared" si="12"/>
        <v>30</v>
      </c>
      <c r="H24" s="376"/>
      <c r="I24" s="43">
        <f t="shared" si="0"/>
        <v>0</v>
      </c>
      <c r="J24" s="388"/>
      <c r="K24" s="43">
        <f t="shared" si="1"/>
        <v>0</v>
      </c>
      <c r="L24" s="92"/>
      <c r="M24" s="43">
        <f t="shared" si="2"/>
        <v>0</v>
      </c>
      <c r="N24" s="374"/>
      <c r="O24" s="43">
        <f t="shared" si="3"/>
        <v>0</v>
      </c>
      <c r="P24" s="374"/>
      <c r="Q24" s="43">
        <f t="shared" si="4"/>
        <v>0</v>
      </c>
      <c r="R24" s="218">
        <f t="shared" si="5"/>
        <v>42.5</v>
      </c>
      <c r="S24" s="33" t="str">
        <f t="shared" si="6"/>
        <v>No</v>
      </c>
      <c r="T24" s="93">
        <f t="shared" si="7"/>
        <v>70</v>
      </c>
      <c r="U24" s="93">
        <f t="shared" si="7"/>
        <v>90</v>
      </c>
      <c r="V24" s="42">
        <f t="shared" si="13"/>
        <v>10.75</v>
      </c>
      <c r="W24" s="42">
        <f t="shared" si="8"/>
        <v>57.5</v>
      </c>
      <c r="X24" s="42" t="str">
        <f t="shared" si="9"/>
        <v>1/2"</v>
      </c>
      <c r="Y24" s="68">
        <f>SSize3^0.45</f>
        <v>3.116086507375345</v>
      </c>
      <c r="Z24" s="70">
        <f>100*(SSize3/SSize3)^0.45</f>
        <v>100</v>
      </c>
      <c r="AA24" s="70">
        <f>100*(SSize3/SSize2)^0.45</f>
        <v>82.826705145430395</v>
      </c>
      <c r="AB24" s="256">
        <f t="shared" si="14"/>
        <v>17.173294854569605</v>
      </c>
      <c r="AC24" s="257">
        <f>AB24-AB23</f>
        <v>17.173294854569605</v>
      </c>
      <c r="AD24" s="98">
        <f>100*(SSize3/SSize1)^0.45</f>
        <v>73.204284797281275</v>
      </c>
      <c r="AE24" s="100">
        <f>ABS(AD24-R24)</f>
        <v>30.704284797281275</v>
      </c>
      <c r="AF24" s="100">
        <f t="shared" si="10"/>
        <v>40.326705145430395</v>
      </c>
      <c r="AG24" s="111">
        <f t="shared" ref="AG24:AG32" si="15">Z24-R24</f>
        <v>57.5</v>
      </c>
      <c r="AH24" s="272">
        <v>20</v>
      </c>
      <c r="AI24" s="272">
        <v>4</v>
      </c>
      <c r="AJ24" s="94">
        <v>81</v>
      </c>
      <c r="AK24" s="95">
        <v>100</v>
      </c>
      <c r="AL24" s="254">
        <v>61</v>
      </c>
      <c r="AM24" s="255">
        <v>81</v>
      </c>
      <c r="AN24" s="94">
        <v>70</v>
      </c>
      <c r="AO24" s="95">
        <v>90</v>
      </c>
      <c r="AP24" s="99">
        <f>LOG(SSize3)</f>
        <v>1.0969100130080565</v>
      </c>
      <c r="AQ24" s="249">
        <f>(R24-AD24)^2</f>
        <v>942.753104912558</v>
      </c>
      <c r="AR24" s="249">
        <f>(R24-AA24)^2</f>
        <v>1626.2431478864823</v>
      </c>
      <c r="AS24" s="249">
        <f>(R24-Z24)^2</f>
        <v>3306.25</v>
      </c>
      <c r="AU24" s="383"/>
      <c r="AV24" s="252"/>
      <c r="AW24" s="384"/>
      <c r="AX24" s="385"/>
      <c r="AY24" s="113"/>
      <c r="AZ24" s="112"/>
      <c r="BA24" s="112"/>
      <c r="BB24" s="180"/>
      <c r="BC24" s="180"/>
      <c r="BD24" s="180"/>
      <c r="BE24" s="180"/>
      <c r="BF24" s="180"/>
      <c r="BG24" s="180"/>
    </row>
    <row r="25" spans="1:59" ht="15" customHeight="1">
      <c r="A25" s="485" t="s">
        <v>35</v>
      </c>
      <c r="B25" s="401"/>
      <c r="C25" s="51">
        <v>9.5</v>
      </c>
      <c r="D25" s="374">
        <v>23</v>
      </c>
      <c r="E25" s="43">
        <f t="shared" si="11"/>
        <v>5.75</v>
      </c>
      <c r="F25" s="374">
        <v>98</v>
      </c>
      <c r="G25" s="43">
        <f t="shared" si="12"/>
        <v>29.4</v>
      </c>
      <c r="H25" s="376"/>
      <c r="I25" s="43">
        <f t="shared" si="0"/>
        <v>0</v>
      </c>
      <c r="J25" s="388"/>
      <c r="K25" s="43">
        <f t="shared" si="1"/>
        <v>0</v>
      </c>
      <c r="L25" s="92"/>
      <c r="M25" s="43">
        <f t="shared" si="2"/>
        <v>0</v>
      </c>
      <c r="N25" s="374"/>
      <c r="O25" s="43">
        <f t="shared" si="3"/>
        <v>0</v>
      </c>
      <c r="P25" s="374"/>
      <c r="Q25" s="43">
        <f t="shared" si="4"/>
        <v>0</v>
      </c>
      <c r="R25" s="218">
        <f t="shared" si="5"/>
        <v>35.15</v>
      </c>
      <c r="S25" s="33" t="str">
        <f t="shared" si="6"/>
        <v>No</v>
      </c>
      <c r="T25" s="93">
        <f t="shared" si="7"/>
        <v>60</v>
      </c>
      <c r="U25" s="93">
        <f t="shared" si="7"/>
        <v>85</v>
      </c>
      <c r="V25" s="42">
        <f t="shared" si="13"/>
        <v>7.3499999999999943</v>
      </c>
      <c r="W25" s="42">
        <f t="shared" si="8"/>
        <v>64.849999999999994</v>
      </c>
      <c r="X25" s="42" t="str">
        <f t="shared" si="9"/>
        <v>3/8"</v>
      </c>
      <c r="Y25" s="68">
        <f>SSize4^0.45</f>
        <v>2.754074108566122</v>
      </c>
      <c r="Z25" s="70">
        <f>100*(SSize4/SSize3)^0.45</f>
        <v>88.382466341919923</v>
      </c>
      <c r="AA25" s="70">
        <f>100*(SSize4/SSize2)^0.45</f>
        <v>73.204284797281275</v>
      </c>
      <c r="AB25" s="256">
        <f t="shared" si="14"/>
        <v>26.795715202718725</v>
      </c>
      <c r="AC25" s="257">
        <f t="shared" ref="AC25:AC32" si="16">AB25-AB24</f>
        <v>9.6224203481491202</v>
      </c>
      <c r="AD25" s="98">
        <f>100*(SSize4/SSize1)^0.45</f>
        <v>64.699752371800329</v>
      </c>
      <c r="AE25" s="100">
        <f>ABS(AD25-R25)</f>
        <v>29.549752371800331</v>
      </c>
      <c r="AF25" s="100">
        <f t="shared" si="10"/>
        <v>38.054284797281277</v>
      </c>
      <c r="AG25" s="111">
        <f t="shared" si="15"/>
        <v>53.232466341919924</v>
      </c>
      <c r="AH25" s="272">
        <v>20</v>
      </c>
      <c r="AI25" s="272">
        <v>4</v>
      </c>
      <c r="AJ25" s="94">
        <v>71</v>
      </c>
      <c r="AK25" s="95">
        <v>91</v>
      </c>
      <c r="AL25" s="94">
        <v>50</v>
      </c>
      <c r="AM25" s="95">
        <v>71</v>
      </c>
      <c r="AN25" s="254">
        <v>60</v>
      </c>
      <c r="AO25" s="255">
        <v>85</v>
      </c>
      <c r="AP25" s="99">
        <f>LOG(SSize4)</f>
        <v>0.97772360528884772</v>
      </c>
      <c r="AQ25" s="249">
        <f>(R25-AD25)^2</f>
        <v>873.18786523471931</v>
      </c>
      <c r="AR25" s="249">
        <f>(R25-AA25)^2</f>
        <v>1448.1285914325929</v>
      </c>
      <c r="AS25" s="249">
        <f>(R25-Z25)^2</f>
        <v>2833.6954728436376</v>
      </c>
      <c r="AU25" s="383"/>
      <c r="AV25" s="252"/>
      <c r="AW25" s="384"/>
      <c r="AX25" s="385"/>
      <c r="AY25" s="113"/>
      <c r="AZ25" s="112"/>
      <c r="BA25" s="112"/>
      <c r="BB25" s="180"/>
      <c r="BC25" s="180"/>
      <c r="BD25" s="180"/>
      <c r="BE25" s="180"/>
      <c r="BF25" s="180"/>
      <c r="BG25" s="180"/>
    </row>
    <row r="26" spans="1:59" ht="15" customHeight="1">
      <c r="A26" s="400" t="s">
        <v>20</v>
      </c>
      <c r="B26" s="401"/>
      <c r="C26" s="51">
        <v>4.75</v>
      </c>
      <c r="D26" s="374">
        <v>9</v>
      </c>
      <c r="E26" s="43">
        <f t="shared" si="11"/>
        <v>2.25</v>
      </c>
      <c r="F26" s="374">
        <v>53</v>
      </c>
      <c r="G26" s="43">
        <f t="shared" si="12"/>
        <v>15.899999999999999</v>
      </c>
      <c r="H26" s="376"/>
      <c r="I26" s="43">
        <f t="shared" si="0"/>
        <v>0</v>
      </c>
      <c r="J26" s="388"/>
      <c r="K26" s="43">
        <f t="shared" si="1"/>
        <v>0</v>
      </c>
      <c r="L26" s="92"/>
      <c r="M26" s="43">
        <f t="shared" si="2"/>
        <v>0</v>
      </c>
      <c r="N26" s="374"/>
      <c r="O26" s="43">
        <f t="shared" si="3"/>
        <v>0</v>
      </c>
      <c r="P26" s="374"/>
      <c r="Q26" s="43">
        <f t="shared" si="4"/>
        <v>0</v>
      </c>
      <c r="R26" s="218">
        <f t="shared" si="5"/>
        <v>18.149999999999999</v>
      </c>
      <c r="S26" s="33" t="str">
        <f t="shared" si="6"/>
        <v>No</v>
      </c>
      <c r="T26" s="93">
        <f t="shared" si="7"/>
        <v>40</v>
      </c>
      <c r="U26" s="93">
        <f t="shared" si="7"/>
        <v>65</v>
      </c>
      <c r="V26" s="42">
        <f t="shared" si="13"/>
        <v>17</v>
      </c>
      <c r="W26" s="42">
        <f t="shared" si="8"/>
        <v>81.849999999999994</v>
      </c>
      <c r="X26" s="42" t="str">
        <f t="shared" si="9"/>
        <v>No. 4</v>
      </c>
      <c r="Y26" s="68">
        <f>SSize5^0.45</f>
        <v>2.0161002539629291</v>
      </c>
      <c r="Z26" s="70">
        <f>100*(SSize5/SSize3)^0.45</f>
        <v>64.699752371800329</v>
      </c>
      <c r="AA26" s="70">
        <f>100*(SSize5/SSize2)^0.45</f>
        <v>53.588673126814655</v>
      </c>
      <c r="AB26" s="256">
        <f t="shared" si="14"/>
        <v>46.411326873185345</v>
      </c>
      <c r="AC26" s="257">
        <f t="shared" si="16"/>
        <v>19.61561167046662</v>
      </c>
      <c r="AD26" s="98">
        <f>100*(SSize5/SSize1)^0.45</f>
        <v>47.36299098938845</v>
      </c>
      <c r="AE26" s="100">
        <f>ABS(AD26-R26)</f>
        <v>29.212990989388452</v>
      </c>
      <c r="AF26" s="100">
        <f t="shared" si="10"/>
        <v>35.438673126814656</v>
      </c>
      <c r="AG26" s="111">
        <f t="shared" si="15"/>
        <v>46.549752371800331</v>
      </c>
      <c r="AH26" s="272">
        <v>20</v>
      </c>
      <c r="AI26" s="272">
        <v>4</v>
      </c>
      <c r="AJ26" s="94">
        <v>49</v>
      </c>
      <c r="AK26" s="95">
        <v>70</v>
      </c>
      <c r="AL26" s="254">
        <v>36</v>
      </c>
      <c r="AM26" s="255">
        <v>55</v>
      </c>
      <c r="AN26" s="94">
        <v>40</v>
      </c>
      <c r="AO26" s="95">
        <v>65</v>
      </c>
      <c r="AP26" s="99">
        <f>LOG(SSize5)</f>
        <v>0.67669360962486658</v>
      </c>
      <c r="AQ26" s="249">
        <f>(R26-AD26)^2</f>
        <v>853.39884254609092</v>
      </c>
      <c r="AR26" s="249">
        <f>(R26-AA26)^2</f>
        <v>1255.8995529892152</v>
      </c>
      <c r="AS26" s="249">
        <f>(R26-Z26)^2</f>
        <v>2166.8794458759307</v>
      </c>
      <c r="AU26" s="252"/>
      <c r="AV26" s="252"/>
      <c r="AW26" s="252"/>
      <c r="AX26" s="253"/>
      <c r="AY26" s="252"/>
      <c r="AZ26" s="252"/>
      <c r="BA26" s="252"/>
      <c r="BB26" s="252"/>
      <c r="BC26" s="252"/>
      <c r="BD26" s="252"/>
      <c r="BE26" s="252"/>
      <c r="BF26" s="252"/>
      <c r="BG26" s="252"/>
    </row>
    <row r="27" spans="1:59" ht="15" customHeight="1">
      <c r="A27" s="400" t="s">
        <v>81</v>
      </c>
      <c r="B27" s="401"/>
      <c r="C27" s="51">
        <v>2.36</v>
      </c>
      <c r="D27" s="374">
        <v>6</v>
      </c>
      <c r="E27" s="43">
        <f t="shared" si="11"/>
        <v>1.5</v>
      </c>
      <c r="F27" s="374">
        <v>10</v>
      </c>
      <c r="G27" s="43">
        <f t="shared" si="12"/>
        <v>3</v>
      </c>
      <c r="H27" s="376"/>
      <c r="I27" s="43">
        <f t="shared" si="0"/>
        <v>0</v>
      </c>
      <c r="J27" s="388"/>
      <c r="K27" s="43">
        <f t="shared" si="1"/>
        <v>0</v>
      </c>
      <c r="L27" s="92"/>
      <c r="M27" s="43">
        <f t="shared" si="2"/>
        <v>0</v>
      </c>
      <c r="N27" s="374"/>
      <c r="O27" s="43">
        <f t="shared" si="3"/>
        <v>0</v>
      </c>
      <c r="P27" s="374"/>
      <c r="Q27" s="43">
        <f t="shared" si="4"/>
        <v>0</v>
      </c>
      <c r="R27" s="218">
        <f t="shared" si="5"/>
        <v>4.5</v>
      </c>
      <c r="S27" s="33" t="str">
        <f t="shared" si="6"/>
        <v>No</v>
      </c>
      <c r="T27" s="93">
        <f t="shared" ref="T27:T30" si="17">IF($T$17=$AJ$17,AJ27,IF($T$17=$AL$17,AL27,IF($T$17=$AN$17,AN27)))</f>
        <v>30</v>
      </c>
      <c r="U27" s="93">
        <f t="shared" ref="U27:U30" si="18">IF($T$17=$AJ$17,AK27,IF($T$17=$AL$17,AM27,IF($T$17=$AN$17,AO27)))</f>
        <v>52</v>
      </c>
      <c r="V27" s="42">
        <f t="shared" si="13"/>
        <v>13.650000000000006</v>
      </c>
      <c r="W27" s="42">
        <f>100-R27</f>
        <v>95.5</v>
      </c>
      <c r="X27" s="42" t="str">
        <f t="shared" si="9"/>
        <v>No. 8</v>
      </c>
      <c r="Y27" s="68">
        <f>SSize6^0.45</f>
        <v>1.4716698795820382</v>
      </c>
      <c r="Z27" s="70">
        <f>100*(SSize6/SSize3)^0.45</f>
        <v>47.228145820047033</v>
      </c>
      <c r="AA27" s="70">
        <f>100*(SSize6/SSize2)^0.45</f>
        <v>39.117517084024257</v>
      </c>
      <c r="AB27" s="256">
        <f t="shared" si="14"/>
        <v>60.882482915975743</v>
      </c>
      <c r="AC27" s="257">
        <f t="shared" si="16"/>
        <v>14.471156042790398</v>
      </c>
      <c r="AD27" s="98">
        <f>100*(SSize6/SSize1)^0.45</f>
        <v>34.573026370582518</v>
      </c>
      <c r="AE27" s="100">
        <f t="shared" ref="AE27:AE30" si="19">ABS(AD27-R27)</f>
        <v>30.073026370582518</v>
      </c>
      <c r="AF27" s="100">
        <f t="shared" si="10"/>
        <v>34.617517084024257</v>
      </c>
      <c r="AG27" s="111">
        <f t="shared" si="15"/>
        <v>42.728145820047033</v>
      </c>
      <c r="AH27" s="272">
        <v>12</v>
      </c>
      <c r="AI27" s="272">
        <v>0</v>
      </c>
      <c r="AJ27" s="94">
        <v>33</v>
      </c>
      <c r="AK27" s="95">
        <v>54</v>
      </c>
      <c r="AL27" s="94">
        <v>23</v>
      </c>
      <c r="AM27" s="95">
        <v>42</v>
      </c>
      <c r="AN27" s="254">
        <v>30</v>
      </c>
      <c r="AO27" s="255">
        <v>52</v>
      </c>
      <c r="AP27" s="99">
        <f>LOG(SSize6)</f>
        <v>0.37291200297010657</v>
      </c>
      <c r="AQ27" s="249">
        <f t="shared" ref="AQ27:AQ30" si="20">(R27-AD27)^2</f>
        <v>904.38691508575153</v>
      </c>
      <c r="AR27" s="249">
        <f t="shared" ref="AR27:AR30" si="21">(R27-AA27)^2</f>
        <v>1198.3724890627113</v>
      </c>
      <c r="AS27" s="249">
        <f t="shared" ref="AS27:AS30" si="22">(R27-Z27)^2</f>
        <v>1825.6944452192026</v>
      </c>
      <c r="AU27" s="252"/>
      <c r="AV27" s="252"/>
      <c r="AW27" s="252"/>
      <c r="AX27" s="253"/>
      <c r="AY27" s="252"/>
      <c r="AZ27" s="252"/>
      <c r="BA27" s="252"/>
      <c r="BB27" s="252"/>
      <c r="BC27" s="252"/>
      <c r="BD27" s="252"/>
      <c r="BE27" s="252"/>
      <c r="BF27" s="252"/>
      <c r="BG27" s="252"/>
    </row>
    <row r="28" spans="1:59" ht="15" customHeight="1">
      <c r="A28" s="400" t="s">
        <v>85</v>
      </c>
      <c r="B28" s="401"/>
      <c r="C28" s="51">
        <v>1.18</v>
      </c>
      <c r="D28" s="375">
        <v>2.5</v>
      </c>
      <c r="E28" s="43">
        <f t="shared" si="11"/>
        <v>0.625</v>
      </c>
      <c r="F28" s="375">
        <v>8</v>
      </c>
      <c r="G28" s="43">
        <f t="shared" si="12"/>
        <v>2.4</v>
      </c>
      <c r="H28" s="376"/>
      <c r="I28" s="43">
        <f t="shared" si="0"/>
        <v>0</v>
      </c>
      <c r="J28" s="388"/>
      <c r="K28" s="43">
        <f t="shared" si="1"/>
        <v>0</v>
      </c>
      <c r="L28" s="258"/>
      <c r="M28" s="43">
        <f t="shared" si="2"/>
        <v>0</v>
      </c>
      <c r="N28" s="374"/>
      <c r="O28" s="43">
        <f t="shared" si="3"/>
        <v>0</v>
      </c>
      <c r="P28" s="374"/>
      <c r="Q28" s="43">
        <f t="shared" si="4"/>
        <v>0</v>
      </c>
      <c r="R28" s="218">
        <f t="shared" si="5"/>
        <v>3.0249999999999999</v>
      </c>
      <c r="S28" s="33" t="str">
        <f t="shared" si="6"/>
        <v>No</v>
      </c>
      <c r="T28" s="93">
        <f t="shared" si="17"/>
        <v>20</v>
      </c>
      <c r="U28" s="93">
        <f t="shared" si="18"/>
        <v>40</v>
      </c>
      <c r="V28" s="42">
        <f t="shared" si="13"/>
        <v>1.4749999999999943</v>
      </c>
      <c r="W28" s="42">
        <f t="shared" si="8"/>
        <v>96.974999999999994</v>
      </c>
      <c r="X28" s="42" t="str">
        <f t="shared" si="9"/>
        <v>No. 16</v>
      </c>
      <c r="Y28" s="68">
        <f>SSize7^0.45</f>
        <v>1.0773254099250416</v>
      </c>
      <c r="Z28" s="70">
        <f>100*(SSize7/SSize3)^0.45</f>
        <v>34.573026370582518</v>
      </c>
      <c r="AA28" s="70">
        <f>100*(SSize7/SSize2)^0.45</f>
        <v>28.635698611814277</v>
      </c>
      <c r="AB28" s="256">
        <f t="shared" si="14"/>
        <v>71.364301388185723</v>
      </c>
      <c r="AC28" s="257">
        <f t="shared" si="16"/>
        <v>10.48181847220998</v>
      </c>
      <c r="AD28" s="98">
        <f>100*(SSize7/SSize1)^0.45</f>
        <v>25.308936687360383</v>
      </c>
      <c r="AE28" s="100">
        <f t="shared" si="19"/>
        <v>22.283936687360384</v>
      </c>
      <c r="AF28" s="100">
        <f t="shared" si="10"/>
        <v>25.610698611814279</v>
      </c>
      <c r="AG28" s="111">
        <f t="shared" si="15"/>
        <v>31.548026370582519</v>
      </c>
      <c r="AH28" s="272">
        <v>12</v>
      </c>
      <c r="AI28" s="272">
        <v>0</v>
      </c>
      <c r="AJ28" s="254">
        <v>24</v>
      </c>
      <c r="AK28" s="255">
        <v>40</v>
      </c>
      <c r="AL28" s="254">
        <v>15</v>
      </c>
      <c r="AM28" s="255">
        <v>32</v>
      </c>
      <c r="AN28" s="94">
        <v>20</v>
      </c>
      <c r="AO28" s="95">
        <v>40</v>
      </c>
      <c r="AP28" s="99">
        <f>LOG(SSize7)</f>
        <v>7.1882007306125359E-2</v>
      </c>
      <c r="AQ28" s="249">
        <f t="shared" si="20"/>
        <v>496.57383428628611</v>
      </c>
      <c r="AR28" s="249">
        <f t="shared" si="21"/>
        <v>655.90788338518587</v>
      </c>
      <c r="AS28" s="249">
        <f t="shared" si="22"/>
        <v>995.27796787897</v>
      </c>
    </row>
    <row r="29" spans="1:59" ht="15" customHeight="1">
      <c r="A29" s="400" t="s">
        <v>89</v>
      </c>
      <c r="B29" s="401"/>
      <c r="C29" s="51">
        <v>0.6</v>
      </c>
      <c r="D29" s="375">
        <v>1.5</v>
      </c>
      <c r="E29" s="43">
        <f t="shared" si="11"/>
        <v>0.375</v>
      </c>
      <c r="F29" s="375">
        <v>6</v>
      </c>
      <c r="G29" s="43">
        <f t="shared" si="12"/>
        <v>1.7999999999999998</v>
      </c>
      <c r="H29" s="376"/>
      <c r="I29" s="43">
        <f t="shared" si="0"/>
        <v>0</v>
      </c>
      <c r="J29" s="388"/>
      <c r="K29" s="43">
        <f t="shared" si="1"/>
        <v>0</v>
      </c>
      <c r="L29" s="258"/>
      <c r="M29" s="43">
        <f t="shared" si="2"/>
        <v>0</v>
      </c>
      <c r="N29" s="374"/>
      <c r="O29" s="43">
        <f t="shared" si="3"/>
        <v>0</v>
      </c>
      <c r="P29" s="374"/>
      <c r="Q29" s="43">
        <f t="shared" si="4"/>
        <v>0</v>
      </c>
      <c r="R29" s="218">
        <f t="shared" si="5"/>
        <v>2.1749999999999998</v>
      </c>
      <c r="S29" s="33" t="str">
        <f t="shared" si="6"/>
        <v>No</v>
      </c>
      <c r="T29" s="93">
        <f t="shared" si="17"/>
        <v>14</v>
      </c>
      <c r="U29" s="93">
        <f t="shared" si="18"/>
        <v>31</v>
      </c>
      <c r="V29" s="42">
        <f t="shared" si="13"/>
        <v>0.85000000000000853</v>
      </c>
      <c r="W29" s="42">
        <f t="shared" si="8"/>
        <v>97.825000000000003</v>
      </c>
      <c r="X29" s="42" t="str">
        <f t="shared" si="9"/>
        <v>No. 30</v>
      </c>
      <c r="Y29" s="68">
        <f>SSize8^0.45</f>
        <v>0.79463568224020453</v>
      </c>
      <c r="Z29" s="70">
        <f>100*(SSize8/SSize3)^0.45</f>
        <v>25.501079009180653</v>
      </c>
      <c r="AA29" s="70">
        <f>100*(SSize8/SSize2)^0.45</f>
        <v>21.1217035198373</v>
      </c>
      <c r="AB29" s="256">
        <f t="shared" si="14"/>
        <v>78.878296480162703</v>
      </c>
      <c r="AC29" s="257">
        <f t="shared" si="16"/>
        <v>7.5139950919769802</v>
      </c>
      <c r="AD29" s="98">
        <f>100*(SSize8/SSize1)^0.45</f>
        <v>18.667882504260316</v>
      </c>
      <c r="AE29" s="100">
        <f t="shared" si="19"/>
        <v>16.492882504260315</v>
      </c>
      <c r="AF29" s="100">
        <f t="shared" si="10"/>
        <v>18.9467035198373</v>
      </c>
      <c r="AG29" s="111">
        <f t="shared" si="15"/>
        <v>23.326079009180653</v>
      </c>
      <c r="AH29" s="272">
        <v>20</v>
      </c>
      <c r="AI29" s="274">
        <v>4</v>
      </c>
      <c r="AJ29" s="94">
        <v>12</v>
      </c>
      <c r="AK29" s="95">
        <v>28</v>
      </c>
      <c r="AL29" s="94">
        <v>8</v>
      </c>
      <c r="AM29" s="95">
        <v>22</v>
      </c>
      <c r="AN29" s="254">
        <v>14</v>
      </c>
      <c r="AO29" s="255">
        <v>31</v>
      </c>
      <c r="AP29" s="99">
        <f>LOG(SSize8)</f>
        <v>-0.22184874961635639</v>
      </c>
      <c r="AQ29" s="249">
        <f t="shared" si="20"/>
        <v>272.01517329933603</v>
      </c>
      <c r="AR29" s="249">
        <f t="shared" si="21"/>
        <v>358.97757426861511</v>
      </c>
      <c r="AS29" s="249">
        <f t="shared" si="22"/>
        <v>544.10596194253822</v>
      </c>
    </row>
    <row r="30" spans="1:59" ht="15" customHeight="1">
      <c r="A30" s="400" t="s">
        <v>92</v>
      </c>
      <c r="B30" s="401"/>
      <c r="C30" s="51">
        <v>0.3</v>
      </c>
      <c r="D30" s="375">
        <v>0.5</v>
      </c>
      <c r="E30" s="43">
        <f t="shared" si="11"/>
        <v>0.125</v>
      </c>
      <c r="F30" s="375">
        <v>5</v>
      </c>
      <c r="G30" s="43">
        <f t="shared" si="12"/>
        <v>1.5</v>
      </c>
      <c r="H30" s="376"/>
      <c r="I30" s="43">
        <f t="shared" si="0"/>
        <v>0</v>
      </c>
      <c r="J30" s="388"/>
      <c r="K30" s="43">
        <f t="shared" si="1"/>
        <v>0</v>
      </c>
      <c r="L30" s="258"/>
      <c r="M30" s="43">
        <f t="shared" si="2"/>
        <v>0</v>
      </c>
      <c r="N30" s="374"/>
      <c r="O30" s="43">
        <f t="shared" si="3"/>
        <v>0</v>
      </c>
      <c r="P30" s="374"/>
      <c r="Q30" s="43">
        <f t="shared" si="4"/>
        <v>0</v>
      </c>
      <c r="R30" s="218">
        <f t="shared" si="5"/>
        <v>1.625</v>
      </c>
      <c r="S30" s="33" t="str">
        <f t="shared" si="6"/>
        <v>No</v>
      </c>
      <c r="T30" s="93">
        <f t="shared" si="17"/>
        <v>8</v>
      </c>
      <c r="U30" s="93">
        <f t="shared" si="18"/>
        <v>22</v>
      </c>
      <c r="V30" s="42">
        <f t="shared" si="13"/>
        <v>0.54999999999999716</v>
      </c>
      <c r="W30" s="42">
        <f t="shared" si="8"/>
        <v>98.375</v>
      </c>
      <c r="X30" s="42" t="str">
        <f t="shared" si="9"/>
        <v>No. 50</v>
      </c>
      <c r="Y30" s="68">
        <f>SSize9^0.45</f>
        <v>0.58170736792793831</v>
      </c>
      <c r="Z30" s="70">
        <f>100*(SSize9/SSize3)^0.45</f>
        <v>18.667882504260316</v>
      </c>
      <c r="AA30" s="70">
        <f>100*(SSize9/SSize2)^0.45</f>
        <v>15.461991998699082</v>
      </c>
      <c r="AB30" s="256">
        <f t="shared" si="14"/>
        <v>84.538008001300923</v>
      </c>
      <c r="AC30" s="257">
        <f t="shared" si="16"/>
        <v>5.6597115211382203</v>
      </c>
      <c r="AD30" s="98">
        <f>100*(SSize9/SSize1)^0.45</f>
        <v>13.665689874040565</v>
      </c>
      <c r="AE30" s="100">
        <f t="shared" si="19"/>
        <v>12.040689874040565</v>
      </c>
      <c r="AF30" s="100">
        <f t="shared" si="10"/>
        <v>13.836991998699082</v>
      </c>
      <c r="AG30" s="111">
        <f t="shared" si="15"/>
        <v>17.042882504260316</v>
      </c>
      <c r="AH30" s="272">
        <v>20</v>
      </c>
      <c r="AI30" s="272">
        <v>4</v>
      </c>
      <c r="AJ30" s="254">
        <v>7.5</v>
      </c>
      <c r="AK30" s="255">
        <v>22</v>
      </c>
      <c r="AL30" s="254">
        <v>4.5</v>
      </c>
      <c r="AM30" s="255">
        <v>17</v>
      </c>
      <c r="AN30" s="386">
        <v>8</v>
      </c>
      <c r="AO30" s="387">
        <v>22</v>
      </c>
      <c r="AP30" s="99">
        <f>LOG(SSize9)</f>
        <v>-0.52287874528033762</v>
      </c>
      <c r="AQ30" s="249">
        <f t="shared" si="20"/>
        <v>144.978212642823</v>
      </c>
      <c r="AR30" s="249">
        <f t="shared" si="21"/>
        <v>191.46234757206241</v>
      </c>
      <c r="AS30" s="249">
        <f t="shared" si="22"/>
        <v>290.45984405402237</v>
      </c>
    </row>
    <row r="31" spans="1:59" ht="15" customHeight="1">
      <c r="A31" s="400" t="s">
        <v>95</v>
      </c>
      <c r="B31" s="401"/>
      <c r="C31" s="51">
        <v>0.15</v>
      </c>
      <c r="D31" s="375">
        <v>0.3</v>
      </c>
      <c r="E31" s="43">
        <f t="shared" si="11"/>
        <v>7.4999999999999997E-2</v>
      </c>
      <c r="F31" s="375">
        <v>3</v>
      </c>
      <c r="G31" s="43">
        <f t="shared" si="12"/>
        <v>0.89999999999999991</v>
      </c>
      <c r="H31" s="376"/>
      <c r="I31" s="43">
        <f t="shared" si="0"/>
        <v>0</v>
      </c>
      <c r="J31" s="388"/>
      <c r="K31" s="43">
        <f t="shared" si="1"/>
        <v>0</v>
      </c>
      <c r="L31" s="258"/>
      <c r="M31" s="43">
        <f t="shared" si="2"/>
        <v>0</v>
      </c>
      <c r="N31" s="374"/>
      <c r="O31" s="43">
        <f t="shared" si="3"/>
        <v>0</v>
      </c>
      <c r="P31" s="374"/>
      <c r="Q31" s="43">
        <f t="shared" si="4"/>
        <v>0</v>
      </c>
      <c r="R31" s="218">
        <f t="shared" si="5"/>
        <v>0.97499999999999987</v>
      </c>
      <c r="S31" s="33" t="str">
        <f t="shared" si="6"/>
        <v>No</v>
      </c>
      <c r="T31" s="93">
        <f>IF($T$17=$AJ$17,AJ31,IF($T$17=$AL$17,AL31,IF($T$17=$AN$17,AN31)))</f>
        <v>6</v>
      </c>
      <c r="U31" s="93">
        <f>IF($T$17=$AJ$17,AK31,IF($T$17=$AL$17,AM31,IF($T$17=$AN$17,AO31)))</f>
        <v>18</v>
      </c>
      <c r="V31" s="42">
        <f t="shared" si="13"/>
        <v>0.65000000000000568</v>
      </c>
      <c r="W31" s="42">
        <f>100-R31</f>
        <v>99.025000000000006</v>
      </c>
      <c r="X31" s="42" t="str">
        <f t="shared" si="9"/>
        <v>No. 100</v>
      </c>
      <c r="Y31" s="68">
        <f>SSize10^0.45</f>
        <v>0.42583471830473674</v>
      </c>
      <c r="Z31" s="70">
        <f>100*(SSize10/SSize3)^0.45</f>
        <v>13.665689874040565</v>
      </c>
      <c r="AA31" s="70">
        <f>100*(SSize10/SSize2)^0.45</f>
        <v>11.31884065806052</v>
      </c>
      <c r="AB31" s="256">
        <f t="shared" si="14"/>
        <v>88.681159341939477</v>
      </c>
      <c r="AC31" s="257">
        <f t="shared" si="16"/>
        <v>4.1431513406385534</v>
      </c>
      <c r="AD31" s="98">
        <f>100*(SSize10/SSize1)^0.45</f>
        <v>10.003870534905881</v>
      </c>
      <c r="AE31" s="100">
        <f>ABS(AD31-R31)</f>
        <v>9.0288705349058809</v>
      </c>
      <c r="AF31" s="100">
        <f t="shared" si="10"/>
        <v>10.34384065806052</v>
      </c>
      <c r="AG31" s="111">
        <f t="shared" si="15"/>
        <v>12.690689874040565</v>
      </c>
      <c r="AH31" s="272">
        <v>10</v>
      </c>
      <c r="AI31" s="272">
        <v>0</v>
      </c>
      <c r="AJ31" s="94">
        <v>3</v>
      </c>
      <c r="AK31" s="95">
        <v>16</v>
      </c>
      <c r="AL31" s="94">
        <v>1</v>
      </c>
      <c r="AM31" s="95">
        <v>12</v>
      </c>
      <c r="AN31" s="94">
        <v>6</v>
      </c>
      <c r="AO31" s="95">
        <v>18</v>
      </c>
      <c r="AP31" s="99">
        <f>LOG(SSize10)</f>
        <v>-0.82390874094431876</v>
      </c>
      <c r="AQ31" s="249">
        <f>(R31-AD31)^2</f>
        <v>81.520503136091605</v>
      </c>
      <c r="AR31" s="249">
        <f>(R31-AA31)^2</f>
        <v>106.9950395593459</v>
      </c>
      <c r="AS31" s="249">
        <f>(R31-Z31)^2</f>
        <v>161.05360947907573</v>
      </c>
    </row>
    <row r="32" spans="1:59" ht="15" customHeight="1">
      <c r="A32" s="400" t="s">
        <v>28</v>
      </c>
      <c r="B32" s="401"/>
      <c r="C32" s="51">
        <v>7.4999999999999997E-2</v>
      </c>
      <c r="D32" s="374">
        <v>0.2</v>
      </c>
      <c r="E32" s="43">
        <f t="shared" si="11"/>
        <v>0.05</v>
      </c>
      <c r="F32" s="375">
        <v>1</v>
      </c>
      <c r="G32" s="43">
        <f t="shared" si="12"/>
        <v>0.3</v>
      </c>
      <c r="H32" s="376"/>
      <c r="I32" s="43">
        <f t="shared" si="0"/>
        <v>0</v>
      </c>
      <c r="J32" s="388"/>
      <c r="K32" s="43">
        <f t="shared" si="1"/>
        <v>0</v>
      </c>
      <c r="L32" s="92"/>
      <c r="M32" s="43">
        <f t="shared" si="2"/>
        <v>0</v>
      </c>
      <c r="N32" s="374"/>
      <c r="O32" s="43">
        <f t="shared" si="3"/>
        <v>0</v>
      </c>
      <c r="P32" s="374"/>
      <c r="Q32" s="43">
        <f t="shared" si="4"/>
        <v>0</v>
      </c>
      <c r="R32" s="218">
        <f t="shared" si="5"/>
        <v>0.35</v>
      </c>
      <c r="S32" s="33" t="str">
        <f t="shared" si="6"/>
        <v>No</v>
      </c>
      <c r="T32" s="93">
        <f>IF($T$17=$AJ$17,AJ32,IF($T$17=$AL$17,AL32,IF($T$17=$AN$17,AN32)))</f>
        <v>2</v>
      </c>
      <c r="U32" s="93">
        <f>IF($T$17=$AJ$17,AK32,IF($T$17=$AL$17,AM32,IF($T$17=$AN$17,AO32)))</f>
        <v>8</v>
      </c>
      <c r="V32" s="42">
        <f t="shared" si="13"/>
        <v>0.625</v>
      </c>
      <c r="W32" s="42">
        <f>100-R32</f>
        <v>99.65</v>
      </c>
      <c r="X32" s="42" t="str">
        <f t="shared" si="9"/>
        <v>No. 200</v>
      </c>
      <c r="Y32" s="68">
        <f>SSize11^0.45</f>
        <v>0.31172925995349998</v>
      </c>
      <c r="Z32" s="70">
        <f>100*(SSize11/SSize3)^0.45</f>
        <v>10.003870534905881</v>
      </c>
      <c r="AA32" s="70">
        <f>100*(SSize11/SSize2)^0.45</f>
        <v>8.2858763510770874</v>
      </c>
      <c r="AB32" s="256">
        <f t="shared" si="14"/>
        <v>91.714123648922907</v>
      </c>
      <c r="AC32" s="257">
        <f t="shared" si="16"/>
        <v>3.0329643069834304</v>
      </c>
      <c r="AD32" s="98">
        <f>100*(SSize11/SSize1)^0.45</f>
        <v>7.3232618771238061</v>
      </c>
      <c r="AE32" s="100">
        <f>ABS(AD32-R32)</f>
        <v>6.9732618771238064</v>
      </c>
      <c r="AF32" s="100">
        <f t="shared" si="10"/>
        <v>7.9358763510770878</v>
      </c>
      <c r="AG32" s="111">
        <f t="shared" si="15"/>
        <v>9.6538705349058809</v>
      </c>
      <c r="AH32" s="272">
        <v>2</v>
      </c>
      <c r="AI32" s="272">
        <v>0</v>
      </c>
      <c r="AJ32" s="94">
        <v>0</v>
      </c>
      <c r="AK32" s="95">
        <v>10</v>
      </c>
      <c r="AL32" s="94">
        <v>0</v>
      </c>
      <c r="AM32" s="95">
        <v>8</v>
      </c>
      <c r="AN32" s="94">
        <v>2</v>
      </c>
      <c r="AO32" s="95">
        <v>8</v>
      </c>
      <c r="AP32" s="99">
        <f>LOG(SSize11)</f>
        <v>-1.1249387366082999</v>
      </c>
      <c r="AQ32" s="249">
        <f>(R32-AD32)^2</f>
        <v>48.626381206948231</v>
      </c>
      <c r="AR32" s="249">
        <f>(R32-AA32)^2</f>
        <v>62.978133459584591</v>
      </c>
      <c r="AS32" s="249">
        <f>(R32-Z32)^2</f>
        <v>93.197216304723952</v>
      </c>
    </row>
    <row r="33" spans="1:64" s="67" customFormat="1" ht="15" customHeight="1">
      <c r="A33" s="468" t="s">
        <v>170</v>
      </c>
      <c r="B33" s="468"/>
      <c r="C33" s="468"/>
      <c r="D33" s="396"/>
      <c r="E33" s="396"/>
      <c r="F33" s="396"/>
      <c r="G33" s="396"/>
      <c r="H33" s="396"/>
      <c r="I33" s="396"/>
      <c r="J33" s="396"/>
      <c r="K33" s="396"/>
      <c r="L33" s="396"/>
      <c r="M33" s="396"/>
      <c r="N33" s="396"/>
      <c r="O33" s="396"/>
      <c r="P33" s="396"/>
      <c r="Q33" s="396"/>
      <c r="R33" s="115"/>
      <c r="S33" s="113"/>
      <c r="T33" s="112"/>
      <c r="U33" s="112"/>
      <c r="V33" s="116"/>
      <c r="W33" s="116"/>
      <c r="X33" s="116"/>
      <c r="Y33" s="117"/>
      <c r="Z33" s="83"/>
      <c r="AA33" s="83"/>
      <c r="AB33" s="83"/>
      <c r="AC33" s="83"/>
      <c r="AD33" s="13"/>
      <c r="AE33" s="190"/>
      <c r="AF33" s="190"/>
      <c r="AG33" s="191"/>
      <c r="AH33" s="191"/>
      <c r="AI33" s="191"/>
      <c r="AQ33" s="245">
        <f>SUM(AQ22:AQ32)</f>
        <v>7876.7310236167423</v>
      </c>
      <c r="AR33" s="245">
        <f>SUM(AR22:AR32)</f>
        <v>11115.527259615792</v>
      </c>
      <c r="AS33" s="245">
        <f>SUM(AS22:AS32)</f>
        <v>16427.176463598102</v>
      </c>
    </row>
    <row r="34" spans="1:64" s="67" customFormat="1" ht="15" customHeight="1">
      <c r="A34" s="468" t="s">
        <v>171</v>
      </c>
      <c r="B34" s="468"/>
      <c r="C34" s="468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115"/>
      <c r="S34" s="397" t="s">
        <v>185</v>
      </c>
      <c r="T34" s="398"/>
      <c r="U34" s="398"/>
      <c r="V34" s="201" t="s">
        <v>131</v>
      </c>
      <c r="W34" s="201" t="s">
        <v>145</v>
      </c>
      <c r="X34" s="201" t="s">
        <v>9</v>
      </c>
      <c r="Y34" s="202" t="s">
        <v>203</v>
      </c>
      <c r="Z34" s="399" t="s">
        <v>178</v>
      </c>
      <c r="AA34" s="399"/>
      <c r="AB34" s="212"/>
      <c r="AC34" s="212"/>
      <c r="AD34" s="214">
        <f>R27</f>
        <v>4.5</v>
      </c>
    </row>
    <row r="35" spans="1:64" s="67" customFormat="1" ht="15" customHeight="1">
      <c r="A35" s="468" t="s">
        <v>172</v>
      </c>
      <c r="B35" s="468"/>
      <c r="C35" s="468"/>
      <c r="D35" s="396"/>
      <c r="E35" s="396"/>
      <c r="F35" s="499"/>
      <c r="G35" s="499"/>
      <c r="H35" s="396"/>
      <c r="I35" s="396"/>
      <c r="J35" s="396"/>
      <c r="K35" s="396"/>
      <c r="L35" s="396"/>
      <c r="M35" s="396"/>
      <c r="N35" s="396"/>
      <c r="O35" s="396"/>
      <c r="P35" s="396"/>
      <c r="Q35" s="396"/>
      <c r="R35" s="115"/>
      <c r="S35" s="484" t="s">
        <v>198</v>
      </c>
      <c r="T35" s="484"/>
      <c r="U35" s="484"/>
      <c r="V35" s="250">
        <f>SUM(AE22:AE32)</f>
        <v>266.4921623486635</v>
      </c>
      <c r="W35" s="250">
        <f>AVERAGE(AE22:AE32)</f>
        <v>24.226560213514862</v>
      </c>
      <c r="X35" s="250">
        <f>MAX(AE22:AE32)</f>
        <v>45</v>
      </c>
      <c r="Y35" s="246">
        <f>SUM(AQ22:AQ32)</f>
        <v>7876.7310236167423</v>
      </c>
      <c r="Z35" s="400" t="s">
        <v>179</v>
      </c>
      <c r="AA35" s="401"/>
      <c r="AB35" s="213"/>
      <c r="AC35" s="213"/>
      <c r="AD35" s="215">
        <f>100-R27</f>
        <v>95.5</v>
      </c>
    </row>
    <row r="36" spans="1:64" s="67" customFormat="1" ht="15" customHeight="1" thickBot="1">
      <c r="A36" s="468" t="s">
        <v>173</v>
      </c>
      <c r="B36" s="468"/>
      <c r="C36" s="469"/>
      <c r="D36" s="402"/>
      <c r="E36" s="402"/>
      <c r="F36" s="402"/>
      <c r="G36" s="402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S36" s="494" t="s">
        <v>175</v>
      </c>
      <c r="T36" s="495"/>
      <c r="U36" s="495"/>
      <c r="V36" s="111">
        <f>SUM(AF22:AF32)</f>
        <v>316.86129129303879</v>
      </c>
      <c r="W36" s="111">
        <f>AVERAGE(AF23:AF32)</f>
        <v>27.186129129303886</v>
      </c>
      <c r="X36" s="111">
        <f>MAX(AF23:AF32)</f>
        <v>46.75</v>
      </c>
      <c r="Y36" s="246">
        <f>SUM(AR22:AR32)</f>
        <v>11115.527259615792</v>
      </c>
      <c r="Z36" s="400" t="s">
        <v>180</v>
      </c>
      <c r="AA36" s="401"/>
      <c r="AB36" s="213"/>
      <c r="AC36" s="213"/>
      <c r="AD36" s="216">
        <f>W25/AD35</f>
        <v>0.67905759162303658</v>
      </c>
      <c r="AU36" s="8"/>
    </row>
    <row r="37" spans="1:64" s="67" customFormat="1" ht="15" customHeight="1" thickBot="1">
      <c r="C37" s="473" t="s">
        <v>187</v>
      </c>
      <c r="D37" s="474"/>
      <c r="E37" s="474"/>
      <c r="F37" s="475"/>
      <c r="G37" s="226">
        <v>1</v>
      </c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180"/>
      <c r="S37" s="496" t="s">
        <v>174</v>
      </c>
      <c r="T37" s="497"/>
      <c r="U37" s="498"/>
      <c r="V37" s="111">
        <f>SUM(AG24:AG32)</f>
        <v>294.27191282673726</v>
      </c>
      <c r="W37" s="111">
        <f>AVERAGE(AG24:AG32)</f>
        <v>32.696879202970806</v>
      </c>
      <c r="X37" s="111">
        <f>MAX(AG24:AG32)</f>
        <v>57.5</v>
      </c>
      <c r="Y37" s="247">
        <f>SUM(AS22:AS32)</f>
        <v>16427.176463598102</v>
      </c>
      <c r="AA37" s="83"/>
      <c r="AB37" s="83"/>
      <c r="AC37" s="83"/>
      <c r="AU37" s="244"/>
    </row>
    <row r="38" spans="1:64" s="67" customFormat="1" ht="15" customHeight="1" thickTop="1" thickBot="1">
      <c r="C38" s="236"/>
      <c r="D38" s="481" t="s">
        <v>186</v>
      </c>
      <c r="E38" s="482"/>
      <c r="F38" s="482"/>
      <c r="G38" s="482"/>
      <c r="H38" s="482"/>
      <c r="I38" s="482"/>
      <c r="J38" s="483"/>
      <c r="K38" s="209"/>
      <c r="L38" s="209"/>
      <c r="M38" s="209"/>
      <c r="N38" s="209"/>
      <c r="O38" s="209"/>
      <c r="P38" s="209"/>
      <c r="Q38" s="209"/>
      <c r="R38" s="180"/>
      <c r="Z38" s="83"/>
      <c r="AA38" s="83"/>
      <c r="AB38" s="83"/>
      <c r="AC38" s="83"/>
      <c r="AU38" s="8"/>
    </row>
    <row r="39" spans="1:64" s="67" customFormat="1" ht="15" customHeight="1" thickTop="1">
      <c r="A39" s="237" t="s">
        <v>190</v>
      </c>
      <c r="B39" s="479" t="s">
        <v>183</v>
      </c>
      <c r="C39" s="480"/>
      <c r="D39" s="262">
        <v>1</v>
      </c>
      <c r="E39" s="263">
        <v>2</v>
      </c>
      <c r="F39" s="263">
        <v>3</v>
      </c>
      <c r="G39" s="263">
        <v>4</v>
      </c>
      <c r="H39" s="263">
        <v>5</v>
      </c>
      <c r="I39" s="211">
        <v>6</v>
      </c>
      <c r="J39" s="233">
        <v>7</v>
      </c>
      <c r="K39" s="209"/>
      <c r="L39" s="209"/>
      <c r="M39" s="209"/>
      <c r="N39" s="209"/>
      <c r="O39" s="209"/>
      <c r="P39" s="209"/>
      <c r="Q39" s="209"/>
      <c r="W39" s="199"/>
      <c r="AU39" s="244"/>
    </row>
    <row r="40" spans="1:64" s="67" customFormat="1" ht="15" customHeight="1">
      <c r="A40" s="238" t="s">
        <v>191</v>
      </c>
      <c r="B40" s="476" t="str">
        <f>Bin1Aggr</f>
        <v>3/4 L</v>
      </c>
      <c r="C40" s="476"/>
      <c r="D40" s="219">
        <v>25</v>
      </c>
      <c r="E40" s="219"/>
      <c r="F40" s="219"/>
      <c r="G40" s="219"/>
      <c r="H40" s="228"/>
      <c r="I40" s="228"/>
      <c r="J40" s="234"/>
      <c r="K40" s="209"/>
      <c r="L40" s="209"/>
      <c r="M40" s="209"/>
      <c r="N40" s="209"/>
      <c r="O40" s="209"/>
      <c r="P40" s="209"/>
      <c r="Q40" s="209"/>
      <c r="W40" s="199"/>
      <c r="AU40" s="244"/>
    </row>
    <row r="41" spans="1:64" s="67" customFormat="1" ht="15" customHeight="1">
      <c r="A41" s="238" t="s">
        <v>192</v>
      </c>
      <c r="B41" s="476" t="str">
        <f>Bin2Aggr</f>
        <v>3/8 L</v>
      </c>
      <c r="C41" s="476"/>
      <c r="D41" s="219">
        <v>30</v>
      </c>
      <c r="E41" s="219"/>
      <c r="F41" s="219"/>
      <c r="G41" s="219"/>
      <c r="H41" s="228"/>
      <c r="I41" s="228"/>
      <c r="J41" s="234"/>
      <c r="K41" s="209"/>
      <c r="L41" s="209"/>
      <c r="M41" s="209"/>
      <c r="N41" s="209"/>
      <c r="O41" s="209"/>
      <c r="P41" s="209"/>
      <c r="Q41" s="209"/>
      <c r="W41" s="199"/>
      <c r="AU41" s="244"/>
    </row>
    <row r="42" spans="1:64" s="67" customFormat="1" ht="15" customHeight="1">
      <c r="A42" s="238" t="s">
        <v>193</v>
      </c>
      <c r="B42" s="476">
        <f>Bin3Aggr</f>
        <v>0</v>
      </c>
      <c r="C42" s="476"/>
      <c r="D42" s="219"/>
      <c r="E42" s="219"/>
      <c r="F42" s="219"/>
      <c r="G42" s="219"/>
      <c r="H42" s="219"/>
      <c r="I42" s="219"/>
      <c r="J42" s="234"/>
      <c r="K42" s="207"/>
      <c r="L42" s="207"/>
      <c r="M42" s="207"/>
      <c r="N42" s="207"/>
      <c r="O42" s="207"/>
      <c r="P42" s="207"/>
      <c r="Q42" s="207"/>
      <c r="W42" s="199"/>
    </row>
    <row r="43" spans="1:64" s="67" customFormat="1" ht="15" customHeight="1">
      <c r="A43" s="238" t="s">
        <v>194</v>
      </c>
      <c r="B43" s="476">
        <f>Bin4Aggr</f>
        <v>0</v>
      </c>
      <c r="C43" s="476"/>
      <c r="D43" s="220"/>
      <c r="E43" s="221"/>
      <c r="F43" s="219"/>
      <c r="G43" s="219"/>
      <c r="H43" s="219"/>
      <c r="I43" s="221"/>
      <c r="J43" s="234"/>
      <c r="K43" s="112"/>
      <c r="L43" s="114"/>
      <c r="M43" s="112"/>
    </row>
    <row r="44" spans="1:64" s="1" customFormat="1" ht="12.75" customHeight="1">
      <c r="A44" s="238" t="s">
        <v>195</v>
      </c>
      <c r="B44" s="477">
        <f>Bin5Aggr</f>
        <v>0</v>
      </c>
      <c r="C44" s="477"/>
      <c r="D44" s="219">
        <v>45</v>
      </c>
      <c r="E44" s="219"/>
      <c r="F44" s="222"/>
      <c r="G44" s="222"/>
      <c r="H44" s="229"/>
      <c r="I44" s="230"/>
      <c r="J44" s="235"/>
    </row>
    <row r="45" spans="1:64" s="1" customFormat="1" ht="15" customHeight="1">
      <c r="A45" s="238" t="s">
        <v>196</v>
      </c>
      <c r="B45" s="477">
        <f>Bin6Aggr</f>
        <v>0</v>
      </c>
      <c r="C45" s="477"/>
      <c r="D45" s="223"/>
      <c r="E45" s="223"/>
      <c r="F45" s="223"/>
      <c r="G45" s="227"/>
      <c r="H45" s="231"/>
      <c r="I45" s="232"/>
      <c r="J45" s="235"/>
      <c r="K45" s="210"/>
      <c r="L45" s="210"/>
      <c r="M45"/>
      <c r="Z45"/>
      <c r="AA45"/>
      <c r="AB45"/>
      <c r="AC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 s="8"/>
    </row>
    <row r="46" spans="1:64" s="1" customFormat="1" ht="15" customHeight="1" thickBot="1">
      <c r="A46" s="239" t="s">
        <v>197</v>
      </c>
      <c r="B46" s="478">
        <f>Bin7Aggr</f>
        <v>0</v>
      </c>
      <c r="C46" s="478"/>
      <c r="D46" s="224"/>
      <c r="E46" s="224"/>
      <c r="F46" s="224"/>
      <c r="G46" s="224"/>
      <c r="H46" s="240"/>
      <c r="I46" s="240"/>
      <c r="J46" s="241"/>
      <c r="K46" s="210"/>
      <c r="L46" s="210"/>
      <c r="M46"/>
      <c r="N46"/>
      <c r="O46"/>
      <c r="P46"/>
      <c r="Q46"/>
      <c r="R46"/>
      <c r="S46"/>
      <c r="T46"/>
      <c r="U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 s="8"/>
    </row>
    <row r="47" spans="1:64" s="1" customFormat="1" ht="15" customHeight="1" thickTop="1" thickBot="1">
      <c r="A47" s="210"/>
      <c r="B47" s="466" t="s">
        <v>131</v>
      </c>
      <c r="C47" s="467"/>
      <c r="D47" s="242">
        <f>SUM(D40:D46)</f>
        <v>100</v>
      </c>
      <c r="E47" s="242">
        <f t="shared" ref="E47:G47" si="23">SUM(E40:E46)</f>
        <v>0</v>
      </c>
      <c r="F47" s="242">
        <f t="shared" si="23"/>
        <v>0</v>
      </c>
      <c r="G47" s="242">
        <f t="shared" si="23"/>
        <v>0</v>
      </c>
      <c r="H47" s="242">
        <f t="shared" ref="H47" si="24">SUM(H40:H46)</f>
        <v>0</v>
      </c>
      <c r="I47" s="242">
        <f t="shared" ref="I47" si="25">SUM(I40:I46)</f>
        <v>0</v>
      </c>
      <c r="J47" s="243">
        <f t="shared" ref="J47" si="26">SUM(J40:J46)</f>
        <v>0</v>
      </c>
      <c r="K47" s="210"/>
      <c r="L47" s="210"/>
      <c r="M47"/>
      <c r="N47"/>
      <c r="O47"/>
      <c r="P47"/>
      <c r="Q47"/>
      <c r="R47"/>
      <c r="S47"/>
      <c r="T47"/>
      <c r="U47"/>
      <c r="V47"/>
      <c r="W47"/>
      <c r="X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 s="8"/>
    </row>
    <row r="48" spans="1:64" ht="15" customHeight="1" thickTop="1"/>
    <row r="49" spans="1:26" ht="15" customHeight="1">
      <c r="A49" s="510" t="s">
        <v>210</v>
      </c>
      <c r="B49" s="510"/>
      <c r="C49" s="265" t="s">
        <v>209</v>
      </c>
      <c r="D49" s="260"/>
      <c r="E49" s="261"/>
      <c r="F49" s="261"/>
      <c r="I49" s="53"/>
    </row>
    <row r="50" spans="1:26" ht="15" customHeight="1">
      <c r="A50" s="492" t="s">
        <v>206</v>
      </c>
      <c r="B50" s="493"/>
      <c r="C50" s="264"/>
      <c r="D50" s="507"/>
      <c r="E50" s="508"/>
      <c r="F50" s="508"/>
      <c r="G50" s="508"/>
      <c r="H50" s="508"/>
      <c r="I50" s="508"/>
      <c r="J50" s="509"/>
    </row>
    <row r="51" spans="1:26" ht="15" customHeight="1">
      <c r="A51" s="492" t="s">
        <v>207</v>
      </c>
      <c r="B51" s="493"/>
      <c r="C51" s="264"/>
      <c r="D51" s="507"/>
      <c r="E51" s="508"/>
      <c r="F51" s="508"/>
      <c r="G51" s="508"/>
      <c r="H51" s="508"/>
      <c r="I51" s="508"/>
      <c r="J51" s="509"/>
    </row>
    <row r="52" spans="1:26" ht="15" customHeight="1">
      <c r="A52" s="500" t="s">
        <v>208</v>
      </c>
      <c r="B52" s="501"/>
      <c r="C52" s="377"/>
      <c r="D52" s="393"/>
      <c r="E52" s="394"/>
      <c r="F52" s="394"/>
      <c r="G52" s="394"/>
      <c r="H52" s="394"/>
      <c r="I52" s="394"/>
      <c r="J52" s="395"/>
    </row>
    <row r="53" spans="1:26" ht="15" customHeight="1">
      <c r="A53"/>
      <c r="B53"/>
      <c r="C53"/>
      <c r="D53"/>
      <c r="E53"/>
      <c r="F53"/>
      <c r="G53"/>
      <c r="H53"/>
      <c r="I53"/>
      <c r="J53"/>
    </row>
    <row r="54" spans="1:26" ht="15" customHeight="1">
      <c r="A54" s="54" t="s">
        <v>130</v>
      </c>
      <c r="B54" s="46"/>
      <c r="C54" s="46"/>
      <c r="E54" s="46"/>
      <c r="G54" s="459" t="s">
        <v>66</v>
      </c>
      <c r="H54" s="460"/>
    </row>
    <row r="55" spans="1:26" ht="15" customHeight="1">
      <c r="A55" s="461"/>
      <c r="B55" s="462"/>
      <c r="C55" s="462"/>
      <c r="D55" s="462"/>
      <c r="E55" s="462"/>
      <c r="F55" s="462"/>
      <c r="G55" s="463"/>
      <c r="H55" s="464"/>
    </row>
    <row r="61" spans="1:26" ht="15" customHeight="1">
      <c r="W61" s="180"/>
      <c r="X61" s="180"/>
      <c r="Y61" s="180"/>
      <c r="Z61" s="180"/>
    </row>
    <row r="62" spans="1:26" ht="15" customHeight="1">
      <c r="W62" s="180"/>
      <c r="X62" s="458"/>
      <c r="Y62" s="458"/>
      <c r="Z62" s="180"/>
    </row>
    <row r="63" spans="1:26" ht="15" customHeight="1">
      <c r="W63" s="180"/>
      <c r="X63" s="458"/>
      <c r="Y63" s="458"/>
      <c r="Z63" s="180"/>
    </row>
    <row r="64" spans="1:26" ht="15" customHeight="1">
      <c r="W64" s="180"/>
      <c r="X64" s="458"/>
      <c r="Y64" s="458"/>
      <c r="Z64" s="180"/>
    </row>
    <row r="65" spans="1:27" ht="15" customHeight="1">
      <c r="W65" s="180"/>
      <c r="X65" s="458"/>
      <c r="Y65" s="458"/>
      <c r="Z65" s="180"/>
    </row>
    <row r="66" spans="1:27" ht="15" customHeight="1">
      <c r="W66" s="180"/>
      <c r="X66" s="112"/>
      <c r="Y66" s="112"/>
      <c r="Z66" s="180"/>
    </row>
    <row r="67" spans="1:27" ht="15" customHeight="1">
      <c r="W67" s="180"/>
      <c r="X67" s="112"/>
      <c r="Y67" s="112"/>
      <c r="Z67" s="180"/>
    </row>
    <row r="68" spans="1:27" ht="15" customHeight="1">
      <c r="W68" s="180"/>
      <c r="X68" s="112"/>
      <c r="Y68" s="112"/>
      <c r="Z68" s="180"/>
    </row>
    <row r="69" spans="1:27" ht="15" customHeight="1">
      <c r="W69" s="180"/>
      <c r="X69" s="112"/>
      <c r="Y69" s="112"/>
      <c r="Z69" s="180"/>
    </row>
    <row r="70" spans="1:27" ht="15" customHeight="1">
      <c r="W70" s="180"/>
      <c r="X70" s="112"/>
      <c r="Y70" s="112"/>
      <c r="Z70" s="180"/>
    </row>
    <row r="71" spans="1:27" ht="15" customHeight="1">
      <c r="W71" s="180"/>
      <c r="X71" s="112"/>
      <c r="Y71" s="112"/>
      <c r="Z71" s="180"/>
    </row>
    <row r="72" spans="1:27" ht="15" customHeight="1">
      <c r="W72" s="180"/>
      <c r="X72" s="112"/>
      <c r="Y72" s="112"/>
      <c r="Z72" s="180"/>
    </row>
    <row r="73" spans="1:27" ht="15" customHeight="1">
      <c r="W73" s="180"/>
      <c r="X73" s="112"/>
      <c r="Y73" s="112"/>
      <c r="Z73" s="180"/>
    </row>
    <row r="74" spans="1:27" ht="15" customHeight="1">
      <c r="W74" s="180"/>
      <c r="X74" s="180"/>
      <c r="Y74" s="180"/>
      <c r="Z74" s="180"/>
    </row>
    <row r="75" spans="1:27" ht="15" customHeight="1">
      <c r="A75" s="244"/>
    </row>
    <row r="76" spans="1:27" ht="15" customHeight="1">
      <c r="A76" s="491"/>
      <c r="B76" s="491"/>
      <c r="C76" s="491"/>
      <c r="D76" s="491"/>
      <c r="E76" s="491"/>
      <c r="F76" s="491"/>
      <c r="G76" s="491"/>
      <c r="H76" s="491"/>
      <c r="I76" s="491"/>
      <c r="J76" s="491"/>
      <c r="K76" s="491"/>
      <c r="L76" s="491"/>
      <c r="M76" s="491"/>
      <c r="N76" s="491"/>
      <c r="O76" s="491"/>
      <c r="P76" s="491"/>
      <c r="Q76" s="491"/>
      <c r="R76" s="491"/>
      <c r="S76" s="491"/>
      <c r="T76" s="491"/>
      <c r="U76" s="491"/>
    </row>
    <row r="77" spans="1:27" ht="15" customHeight="1">
      <c r="A77" s="491"/>
      <c r="B77" s="491"/>
      <c r="C77" s="491"/>
      <c r="D77" s="491"/>
      <c r="E77" s="491"/>
      <c r="F77" s="491"/>
      <c r="G77" s="491"/>
      <c r="H77" s="491"/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</row>
    <row r="78" spans="1:27" ht="15" customHeight="1">
      <c r="A78" s="491"/>
      <c r="B78" s="491"/>
      <c r="C78" s="491"/>
      <c r="D78" s="491"/>
      <c r="E78" s="491"/>
      <c r="F78" s="491"/>
      <c r="G78" s="491"/>
      <c r="H78" s="491"/>
      <c r="I78" s="491"/>
      <c r="J78" s="491"/>
      <c r="K78" s="491"/>
      <c r="L78" s="491"/>
      <c r="M78" s="491"/>
      <c r="N78" s="491"/>
      <c r="O78" s="491"/>
      <c r="P78" s="491"/>
      <c r="Q78" s="491"/>
      <c r="R78" s="491"/>
      <c r="S78" s="491"/>
      <c r="T78" s="491"/>
      <c r="U78" s="491"/>
      <c r="AA78" s="75"/>
    </row>
    <row r="79" spans="1:27" ht="15" customHeight="1">
      <c r="A79" s="491"/>
      <c r="B79" s="491"/>
      <c r="C79" s="491"/>
      <c r="D79" s="491"/>
      <c r="E79" s="491"/>
      <c r="F79" s="491"/>
      <c r="G79" s="491"/>
      <c r="H79" s="491"/>
      <c r="I79" s="491"/>
      <c r="J79" s="491"/>
      <c r="K79" s="491"/>
      <c r="L79" s="491"/>
      <c r="M79" s="491"/>
      <c r="N79" s="491"/>
      <c r="O79" s="491"/>
      <c r="P79" s="491"/>
      <c r="Q79" s="491"/>
      <c r="R79" s="491"/>
      <c r="S79" s="491"/>
      <c r="T79" s="491"/>
      <c r="U79" s="491"/>
    </row>
    <row r="80" spans="1:27" ht="15" customHeight="1">
      <c r="A80" s="491"/>
      <c r="B80" s="491"/>
      <c r="C80" s="491"/>
      <c r="D80" s="491"/>
      <c r="E80" s="491"/>
      <c r="F80" s="491"/>
      <c r="G80" s="491"/>
      <c r="H80" s="491"/>
      <c r="I80" s="491"/>
      <c r="J80" s="491"/>
      <c r="K80" s="491"/>
      <c r="L80" s="491"/>
      <c r="M80" s="491"/>
      <c r="N80" s="491"/>
      <c r="O80" s="491"/>
      <c r="P80" s="491"/>
      <c r="Q80" s="491"/>
      <c r="R80" s="491"/>
      <c r="S80" s="491"/>
      <c r="T80" s="491"/>
      <c r="U80" s="491"/>
    </row>
    <row r="83" spans="11:12" ht="15" customHeight="1">
      <c r="K83" s="278"/>
      <c r="L83" s="278"/>
    </row>
    <row r="84" spans="11:12" ht="15" customHeight="1">
      <c r="K84" s="278"/>
      <c r="L84" s="278"/>
    </row>
    <row r="85" spans="11:12" ht="15" customHeight="1">
      <c r="K85" s="278"/>
      <c r="L85" s="278"/>
    </row>
    <row r="86" spans="11:12" ht="15" customHeight="1">
      <c r="K86" s="278"/>
      <c r="L86" s="278"/>
    </row>
    <row r="87" spans="11:12" ht="15" customHeight="1">
      <c r="K87" s="278"/>
      <c r="L87" s="278"/>
    </row>
    <row r="88" spans="11:12" ht="15" customHeight="1">
      <c r="K88" s="278"/>
      <c r="L88" s="278"/>
    </row>
    <row r="89" spans="11:12" ht="15" customHeight="1">
      <c r="K89" s="278"/>
      <c r="L89" s="278"/>
    </row>
    <row r="90" spans="11:12" ht="15" customHeight="1">
      <c r="K90" s="278"/>
      <c r="L90" s="278"/>
    </row>
    <row r="91" spans="11:12" ht="15" customHeight="1">
      <c r="K91" s="278"/>
      <c r="L91" s="278"/>
    </row>
    <row r="92" spans="11:12" ht="15" customHeight="1">
      <c r="K92" s="278"/>
      <c r="L92" s="278"/>
    </row>
    <row r="93" spans="11:12" ht="15" customHeight="1">
      <c r="K93" s="278"/>
      <c r="L93" s="278"/>
    </row>
  </sheetData>
  <mergeCells count="194">
    <mergeCell ref="D17:E17"/>
    <mergeCell ref="D50:J50"/>
    <mergeCell ref="D51:J51"/>
    <mergeCell ref="A49:B49"/>
    <mergeCell ref="D34:E34"/>
    <mergeCell ref="D35:E35"/>
    <mergeCell ref="H34:I34"/>
    <mergeCell ref="J34:K34"/>
    <mergeCell ref="A28:B28"/>
    <mergeCell ref="AZ18:BA21"/>
    <mergeCell ref="AV17:BF17"/>
    <mergeCell ref="AU18:AU21"/>
    <mergeCell ref="AV18:AV21"/>
    <mergeCell ref="AX18:AX21"/>
    <mergeCell ref="AY18:AY21"/>
    <mergeCell ref="AW18:AW21"/>
    <mergeCell ref="AQ18:AQ21"/>
    <mergeCell ref="AR18:AR21"/>
    <mergeCell ref="AS18:AS21"/>
    <mergeCell ref="BB18:BC21"/>
    <mergeCell ref="BD18:BE21"/>
    <mergeCell ref="BF18:BG21"/>
    <mergeCell ref="X18:X21"/>
    <mergeCell ref="V18:V21"/>
    <mergeCell ref="A24:B24"/>
    <mergeCell ref="A76:U76"/>
    <mergeCell ref="A77:U77"/>
    <mergeCell ref="A78:U78"/>
    <mergeCell ref="A79:U79"/>
    <mergeCell ref="A80:U80"/>
    <mergeCell ref="A50:B50"/>
    <mergeCell ref="A51:B51"/>
    <mergeCell ref="S36:U36"/>
    <mergeCell ref="L36:M36"/>
    <mergeCell ref="A29:B29"/>
    <mergeCell ref="A30:B30"/>
    <mergeCell ref="S37:U37"/>
    <mergeCell ref="L34:M34"/>
    <mergeCell ref="N34:O34"/>
    <mergeCell ref="P34:Q34"/>
    <mergeCell ref="F35:G35"/>
    <mergeCell ref="H35:I35"/>
    <mergeCell ref="J35:K35"/>
    <mergeCell ref="L35:M35"/>
    <mergeCell ref="N35:O35"/>
    <mergeCell ref="A52:B52"/>
    <mergeCell ref="AP18:AP21"/>
    <mergeCell ref="C37:F37"/>
    <mergeCell ref="B40:C40"/>
    <mergeCell ref="B41:C41"/>
    <mergeCell ref="B42:C42"/>
    <mergeCell ref="B43:C43"/>
    <mergeCell ref="B44:C44"/>
    <mergeCell ref="B45:C45"/>
    <mergeCell ref="B46:C46"/>
    <mergeCell ref="B39:C39"/>
    <mergeCell ref="D38:J38"/>
    <mergeCell ref="S35:U35"/>
    <mergeCell ref="AF18:AF21"/>
    <mergeCell ref="D33:E33"/>
    <mergeCell ref="A27:B27"/>
    <mergeCell ref="Y18:Y21"/>
    <mergeCell ref="A22:B22"/>
    <mergeCell ref="AA18:AA21"/>
    <mergeCell ref="A26:B26"/>
    <mergeCell ref="A23:B23"/>
    <mergeCell ref="Z18:Z21"/>
    <mergeCell ref="A21:B21"/>
    <mergeCell ref="A25:B25"/>
    <mergeCell ref="D18:E18"/>
    <mergeCell ref="N14:O14"/>
    <mergeCell ref="P14:Q14"/>
    <mergeCell ref="A17:C17"/>
    <mergeCell ref="X62:Y65"/>
    <mergeCell ref="G54:H54"/>
    <mergeCell ref="A55:F55"/>
    <mergeCell ref="G55:H55"/>
    <mergeCell ref="A19:C19"/>
    <mergeCell ref="A14:C14"/>
    <mergeCell ref="D36:E36"/>
    <mergeCell ref="F33:G33"/>
    <mergeCell ref="H33:I33"/>
    <mergeCell ref="J33:K33"/>
    <mergeCell ref="L33:M33"/>
    <mergeCell ref="N33:O33"/>
    <mergeCell ref="B47:C47"/>
    <mergeCell ref="P33:Q33"/>
    <mergeCell ref="F34:G34"/>
    <mergeCell ref="A31:B31"/>
    <mergeCell ref="A32:B32"/>
    <mergeCell ref="A33:C33"/>
    <mergeCell ref="A34:C34"/>
    <mergeCell ref="A35:C35"/>
    <mergeCell ref="A36:C36"/>
    <mergeCell ref="P12:Q12"/>
    <mergeCell ref="T18:U21"/>
    <mergeCell ref="W18:W21"/>
    <mergeCell ref="J12:K12"/>
    <mergeCell ref="L12:M12"/>
    <mergeCell ref="D11:Q11"/>
    <mergeCell ref="P17:Q17"/>
    <mergeCell ref="N13:O13"/>
    <mergeCell ref="N12:O12"/>
    <mergeCell ref="H17:I17"/>
    <mergeCell ref="J17:K17"/>
    <mergeCell ref="L17:M17"/>
    <mergeCell ref="F17:G17"/>
    <mergeCell ref="P13:Q13"/>
    <mergeCell ref="N16:O16"/>
    <mergeCell ref="N17:O17"/>
    <mergeCell ref="J16:K16"/>
    <mergeCell ref="J13:K13"/>
    <mergeCell ref="T16:U16"/>
    <mergeCell ref="T17:U17"/>
    <mergeCell ref="P16:Q16"/>
    <mergeCell ref="N15:O15"/>
    <mergeCell ref="P15:Q15"/>
    <mergeCell ref="R17:S17"/>
    <mergeCell ref="J3:L3"/>
    <mergeCell ref="G6:I6"/>
    <mergeCell ref="G3:I3"/>
    <mergeCell ref="G4:I4"/>
    <mergeCell ref="G5:I5"/>
    <mergeCell ref="J4:L4"/>
    <mergeCell ref="J5:L5"/>
    <mergeCell ref="G8:I8"/>
    <mergeCell ref="G7:I7"/>
    <mergeCell ref="J6:L6"/>
    <mergeCell ref="J7:L7"/>
    <mergeCell ref="J8:L8"/>
    <mergeCell ref="A7:C7"/>
    <mergeCell ref="A8:C8"/>
    <mergeCell ref="A16:C16"/>
    <mergeCell ref="A3:C3"/>
    <mergeCell ref="A4:C4"/>
    <mergeCell ref="D3:F3"/>
    <mergeCell ref="D4:F4"/>
    <mergeCell ref="D6:F6"/>
    <mergeCell ref="A13:C13"/>
    <mergeCell ref="A15:C15"/>
    <mergeCell ref="A9:C9"/>
    <mergeCell ref="D7:F7"/>
    <mergeCell ref="D8:F8"/>
    <mergeCell ref="D9:F9"/>
    <mergeCell ref="A5:C5"/>
    <mergeCell ref="A6:C6"/>
    <mergeCell ref="D5:F5"/>
    <mergeCell ref="A12:C12"/>
    <mergeCell ref="D16:E16"/>
    <mergeCell ref="D13:E13"/>
    <mergeCell ref="D15:E15"/>
    <mergeCell ref="D14:E14"/>
    <mergeCell ref="F13:G13"/>
    <mergeCell ref="F15:G15"/>
    <mergeCell ref="J9:L9"/>
    <mergeCell ref="L16:M16"/>
    <mergeCell ref="D12:E12"/>
    <mergeCell ref="L13:M13"/>
    <mergeCell ref="J15:K15"/>
    <mergeCell ref="L15:M15"/>
    <mergeCell ref="J14:K14"/>
    <mergeCell ref="L14:M14"/>
    <mergeCell ref="F12:G12"/>
    <mergeCell ref="G9:I9"/>
    <mergeCell ref="H12:I12"/>
    <mergeCell ref="H13:I13"/>
    <mergeCell ref="F16:G16"/>
    <mergeCell ref="H16:I16"/>
    <mergeCell ref="H15:I15"/>
    <mergeCell ref="F14:G14"/>
    <mergeCell ref="H14:I14"/>
    <mergeCell ref="AN17:AO17"/>
    <mergeCell ref="AL18:AM21"/>
    <mergeCell ref="AN18:AO21"/>
    <mergeCell ref="AJ17:AK17"/>
    <mergeCell ref="AL17:AM17"/>
    <mergeCell ref="AG18:AG21"/>
    <mergeCell ref="AB18:AB21"/>
    <mergeCell ref="AC18:AC21"/>
    <mergeCell ref="AD18:AD21"/>
    <mergeCell ref="AH18:AI20"/>
    <mergeCell ref="AJ18:AK21"/>
    <mergeCell ref="AE18:AE21"/>
    <mergeCell ref="D52:J52"/>
    <mergeCell ref="P35:Q35"/>
    <mergeCell ref="S34:U34"/>
    <mergeCell ref="Z34:AA34"/>
    <mergeCell ref="Z35:AA35"/>
    <mergeCell ref="Z36:AA36"/>
    <mergeCell ref="F36:G36"/>
    <mergeCell ref="H36:I36"/>
    <mergeCell ref="J36:K36"/>
    <mergeCell ref="N36:O36"/>
    <mergeCell ref="P36:Q36"/>
  </mergeCells>
  <phoneticPr fontId="0" type="noConversion"/>
  <conditionalFormatting sqref="Q31:Q32 A28:C28 W31:X32 O31:O32 G31:G32 E31:E32 M31:M32 K31:K32 I31:I32 A31:C32 A29:A30 C29:C30">
    <cfRule type="expression" dxfId="150" priority="181" stopIfTrue="1">
      <formula>AND(SSize6=0,SUM($D28,$F28,$H28,$J28,$L28,$N28,$P28)=0)</formula>
    </cfRule>
  </conditionalFormatting>
  <conditionalFormatting sqref="A26:C26 A27 C27 G26:G30 I26:I30 K26:K30 M26:M30 O26:O30 Q26:Q30 W26:X30">
    <cfRule type="expression" dxfId="149" priority="182" stopIfTrue="1">
      <formula>AND(SSize5=0,SUM($D26,$F26,$H26,$J26,$L26,$N26,$P26)=0)</formula>
    </cfRule>
  </conditionalFormatting>
  <conditionalFormatting sqref="O25 M25 K25 I25 G25 A25:C25 Q25 W25:X25 E25:E30">
    <cfRule type="expression" dxfId="148" priority="183" stopIfTrue="1">
      <formula>AND(SSize4=0,SUM($D25,$F25,$H25,$J25,$L25,$N25,$P25)=0)</formula>
    </cfRule>
  </conditionalFormatting>
  <conditionalFormatting sqref="E24 O24 M24 K24 I24 G24 A24:C24 Q24 W24:X24">
    <cfRule type="expression" dxfId="147" priority="184" stopIfTrue="1">
      <formula>AND(SSize3=0,SUM($D24,$F24,$H24,$J24,$L24,$N24,$P24)=0)</formula>
    </cfRule>
  </conditionalFormatting>
  <conditionalFormatting sqref="E23 O23 M23 K23 I23 G23 A23:C23 Q23 V23:X23 V24:V32">
    <cfRule type="expression" dxfId="146" priority="185" stopIfTrue="1">
      <formula>AND(SSize2=0,SUM($D23,$F23,$H23,$J23,$L23,$N23,$P23)=0)</formula>
    </cfRule>
  </conditionalFormatting>
  <conditionalFormatting sqref="V22:X22 A22:C22 O22 E22 G22 I22 K22:M22 Q22">
    <cfRule type="expression" dxfId="145" priority="186" stopIfTrue="1">
      <formula>AND(SSize1=0,SUM($D22,$F22,$H22,$J22,$L22,$N22,$P22)=0)</formula>
    </cfRule>
  </conditionalFormatting>
  <conditionalFormatting sqref="L23">
    <cfRule type="expression" dxfId="144" priority="201" stopIfTrue="1">
      <formula>AND(SSize2=0,SUM($D23,$F23,$H23,$J23,$L23,$N23,$P23)=0)</formula>
    </cfRule>
    <cfRule type="cellIs" dxfId="143" priority="202" stopIfTrue="1" operator="greaterThan">
      <formula>L$22</formula>
    </cfRule>
  </conditionalFormatting>
  <conditionalFormatting sqref="L24">
    <cfRule type="expression" dxfId="142" priority="203" stopIfTrue="1">
      <formula>AND(SSize3=0,SUM($D24,$F24,$H24,$J24,$L24,$N24,$P24)=0)</formula>
    </cfRule>
    <cfRule type="cellIs" dxfId="141" priority="204" stopIfTrue="1" operator="greaterThan">
      <formula>L$23</formula>
    </cfRule>
  </conditionalFormatting>
  <conditionalFormatting sqref="L25">
    <cfRule type="expression" dxfId="140" priority="205" stopIfTrue="1">
      <formula>AND(SSize4=0,SUM($D25,$F25,$H25,$J25,$L25,$N25,$P25)=0)</formula>
    </cfRule>
    <cfRule type="cellIs" dxfId="139" priority="206" stopIfTrue="1" operator="greaterThan">
      <formula>L$24</formula>
    </cfRule>
  </conditionalFormatting>
  <conditionalFormatting sqref="L26:L27">
    <cfRule type="expression" dxfId="138" priority="207" stopIfTrue="1">
      <formula>AND(SSize5=0,SUM($D26,$F26,$H26,$J26,$L26,$N26,$P26)=0)</formula>
    </cfRule>
    <cfRule type="cellIs" dxfId="137" priority="208" stopIfTrue="1" operator="greaterThan">
      <formula>L$25</formula>
    </cfRule>
  </conditionalFormatting>
  <conditionalFormatting sqref="L28:L32">
    <cfRule type="expression" dxfId="136" priority="209" stopIfTrue="1">
      <formula>AND(SSize6=0,SUM($D28,$F28,$H28,$J28,$L28,$N28,$P28)=0)</formula>
    </cfRule>
    <cfRule type="cellIs" dxfId="135" priority="210" stopIfTrue="1" operator="greaterThan">
      <formula>L$26</formula>
    </cfRule>
  </conditionalFormatting>
  <conditionalFormatting sqref="R22">
    <cfRule type="expression" dxfId="134" priority="213" stopIfTrue="1">
      <formula>AND(SSize1=0,SUM($D22,$F22,$H22,$J22,$L22,$N22,$P22)=0)</formula>
    </cfRule>
    <cfRule type="cellIs" dxfId="133" priority="214" stopIfTrue="1" operator="notBetween">
      <formula>$T22</formula>
      <formula>$U22</formula>
    </cfRule>
  </conditionalFormatting>
  <conditionalFormatting sqref="R23">
    <cfRule type="expression" dxfId="132" priority="215" stopIfTrue="1">
      <formula>AND(SSize2=0,SUM($D23,$F23,$H23,$J23,$L23,$N23,$P23)=0)</formula>
    </cfRule>
    <cfRule type="cellIs" dxfId="131" priority="216" stopIfTrue="1" operator="notBetween">
      <formula>$T23</formula>
      <formula>$U23</formula>
    </cfRule>
  </conditionalFormatting>
  <conditionalFormatting sqref="R24">
    <cfRule type="expression" dxfId="130" priority="217" stopIfTrue="1">
      <formula>AND(SSize3=0,SUM($D24,$F24,$H24,$J24,$L24,$N24,$P24)=0)</formula>
    </cfRule>
    <cfRule type="cellIs" dxfId="129" priority="218" stopIfTrue="1" operator="notBetween">
      <formula>$T24</formula>
      <formula>$U24</formula>
    </cfRule>
  </conditionalFormatting>
  <conditionalFormatting sqref="R25">
    <cfRule type="expression" dxfId="128" priority="219" stopIfTrue="1">
      <formula>AND(SSize4=0,SUM($D25,$F25,$H25,$J25,$L25,$N25,$P25)=0)</formula>
    </cfRule>
    <cfRule type="cellIs" dxfId="127" priority="220" stopIfTrue="1" operator="notBetween">
      <formula>$T25</formula>
      <formula>$U25</formula>
    </cfRule>
  </conditionalFormatting>
  <conditionalFormatting sqref="R26:R30">
    <cfRule type="expression" dxfId="126" priority="221" stopIfTrue="1">
      <formula>AND(SSize5=0,SUM($D26,$F26,$H26,$J26,$L26,$N26,$P26)=0)</formula>
    </cfRule>
    <cfRule type="cellIs" dxfId="125" priority="222" stopIfTrue="1" operator="notBetween">
      <formula>$T26</formula>
      <formula>$U26</formula>
    </cfRule>
  </conditionalFormatting>
  <conditionalFormatting sqref="R31:R32">
    <cfRule type="expression" dxfId="124" priority="223" stopIfTrue="1">
      <formula>AND(SSize6=0,SUM($D31,$F31,$H31,$J31,$L31,$N31,$P31)=0)</formula>
    </cfRule>
    <cfRule type="cellIs" dxfId="123" priority="224" stopIfTrue="1" operator="notBetween">
      <formula>$T31</formula>
      <formula>$U31</formula>
    </cfRule>
  </conditionalFormatting>
  <conditionalFormatting sqref="S22">
    <cfRule type="expression" dxfId="122" priority="227" stopIfTrue="1">
      <formula>AND(SSize1=0,SUM($D22,$F22,$H22,$J22,$L22,$N22,$P22)=0)</formula>
    </cfRule>
    <cfRule type="cellIs" dxfId="121" priority="228" stopIfTrue="1" operator="equal">
      <formula>"No"</formula>
    </cfRule>
  </conditionalFormatting>
  <conditionalFormatting sqref="S23">
    <cfRule type="expression" dxfId="120" priority="229" stopIfTrue="1">
      <formula>AND(SSize2=0,SUM($D23,$F23,$H23,$J23,$L23,$N23,$P23)=0)</formula>
    </cfRule>
    <cfRule type="cellIs" dxfId="119" priority="230" stopIfTrue="1" operator="equal">
      <formula>"No"</formula>
    </cfRule>
  </conditionalFormatting>
  <conditionalFormatting sqref="S24">
    <cfRule type="expression" dxfId="118" priority="231" stopIfTrue="1">
      <formula>AND(SSize3=0,SUM($D24,$F24,$H24,$J24,$L24,$N24,$P24)=0)</formula>
    </cfRule>
    <cfRule type="cellIs" dxfId="117" priority="232" stopIfTrue="1" operator="equal">
      <formula>"No"</formula>
    </cfRule>
  </conditionalFormatting>
  <conditionalFormatting sqref="S25">
    <cfRule type="expression" dxfId="116" priority="233" stopIfTrue="1">
      <formula>AND(SSize4=0,SUM($D25,$F25,$H25,$J25,$L25,$N25,$P25)=0)</formula>
    </cfRule>
    <cfRule type="cellIs" dxfId="115" priority="234" stopIfTrue="1" operator="equal">
      <formula>"No"</formula>
    </cfRule>
  </conditionalFormatting>
  <conditionalFormatting sqref="S26:S30">
    <cfRule type="expression" dxfId="114" priority="235" stopIfTrue="1">
      <formula>AND(SSize5=0,SUM($D26,$F26,$H26,$J26,$L26,$N26,$P26)=0)</formula>
    </cfRule>
    <cfRule type="cellIs" dxfId="113" priority="236" stopIfTrue="1" operator="equal">
      <formula>"No"</formula>
    </cfRule>
  </conditionalFormatting>
  <conditionalFormatting sqref="S31:S32">
    <cfRule type="expression" dxfId="112" priority="237" stopIfTrue="1">
      <formula>AND(SSize6=0,SUM($D31,$F31,$H31,$J31,$L31,$N31,$P31)=0)</formula>
    </cfRule>
    <cfRule type="cellIs" dxfId="111" priority="238" stopIfTrue="1" operator="equal">
      <formula>"No"</formula>
    </cfRule>
  </conditionalFormatting>
  <conditionalFormatting sqref="AT26:AU32 AQ42:AU43 AT23:AT25 AQ33:AU33 AR34:AU35 AR36:AT41">
    <cfRule type="expression" dxfId="110" priority="177" stopIfTrue="1">
      <formula>(SUM(SSize1,MixDes1,JMFDes1)=0)</formula>
    </cfRule>
  </conditionalFormatting>
  <conditionalFormatting sqref="R19">
    <cfRule type="expression" dxfId="109" priority="187" stopIfTrue="1">
      <formula>AND($R$19&lt;&gt;0,$R$19&lt;&gt;1)</formula>
    </cfRule>
  </conditionalFormatting>
  <conditionalFormatting sqref="AJ28:AK32">
    <cfRule type="expression" dxfId="108" priority="152" stopIfTrue="1">
      <formula>AND(SSize6=0,SUM($D28,$F28,$H28,$J28,$L28,$N28,$P28)=0)</formula>
    </cfRule>
  </conditionalFormatting>
  <conditionalFormatting sqref="AJ26:AK27">
    <cfRule type="expression" dxfId="107" priority="153" stopIfTrue="1">
      <formula>AND(SSize5=0,SUM($D26,$F26,$H26,$J26,$L26,$N26,$P26)=0)</formula>
    </cfRule>
  </conditionalFormatting>
  <conditionalFormatting sqref="AJ25:AK25">
    <cfRule type="expression" dxfId="106" priority="154" stopIfTrue="1">
      <formula>AND(SSize4=0,SUM($D25,$F25,$H25,$J25,$L25,$N25,$P25)=0)</formula>
    </cfRule>
  </conditionalFormatting>
  <conditionalFormatting sqref="AJ24:AK24">
    <cfRule type="expression" dxfId="105" priority="155" stopIfTrue="1">
      <formula>AND(SSize3=0,SUM($D24,$F24,$H24,$J24,$L24,$N24,$P24)=0)</formula>
    </cfRule>
  </conditionalFormatting>
  <conditionalFormatting sqref="AJ23:AK23">
    <cfRule type="expression" dxfId="104" priority="156" stopIfTrue="1">
      <formula>AND(SSize2=0,SUM($D23,$F23,$H23,$J23,$L23,$N23,$P23)=0)</formula>
    </cfRule>
  </conditionalFormatting>
  <conditionalFormatting sqref="AJ22:AK22">
    <cfRule type="expression" dxfId="103" priority="157" stopIfTrue="1">
      <formula>AND(SSize1=0,SUM($D22,$F22,$H22,$J22,$L22,$N22,$P22)=0)</formula>
    </cfRule>
  </conditionalFormatting>
  <conditionalFormatting sqref="AL28:AM32">
    <cfRule type="expression" dxfId="102" priority="146" stopIfTrue="1">
      <formula>AND(SSize6=0,SUM($D28,$F28,$H28,$J28,$L28,$N28,$P28)=0)</formula>
    </cfRule>
  </conditionalFormatting>
  <conditionalFormatting sqref="AL26:AM27">
    <cfRule type="expression" dxfId="101" priority="147" stopIfTrue="1">
      <formula>AND(SSize5=0,SUM($D26,$F26,$H26,$J26,$L26,$N26,$P26)=0)</formula>
    </cfRule>
  </conditionalFormatting>
  <conditionalFormatting sqref="AL25:AM25">
    <cfRule type="expression" dxfId="100" priority="148" stopIfTrue="1">
      <formula>AND(SSize4=0,SUM($D25,$F25,$H25,$J25,$L25,$N25,$P25)=0)</formula>
    </cfRule>
  </conditionalFormatting>
  <conditionalFormatting sqref="AL24:AM24">
    <cfRule type="expression" dxfId="99" priority="149" stopIfTrue="1">
      <formula>AND(SSize3=0,SUM($D24,$F24,$H24,$J24,$L24,$N24,$P24)=0)</formula>
    </cfRule>
  </conditionalFormatting>
  <conditionalFormatting sqref="AL23:AM23">
    <cfRule type="expression" dxfId="98" priority="150" stopIfTrue="1">
      <formula>AND(SSize2=0,SUM($D23,$F23,$H23,$J23,$L23,$N23,$P23)=0)</formula>
    </cfRule>
  </conditionalFormatting>
  <conditionalFormatting sqref="AL22:AM22">
    <cfRule type="expression" dxfId="97" priority="151" stopIfTrue="1">
      <formula>AND(SSize1=0,SUM($D22,$F22,$H22,$J22,$L22,$N22,$P22)=0)</formula>
    </cfRule>
  </conditionalFormatting>
  <conditionalFormatting sqref="AN28:AO32">
    <cfRule type="expression" dxfId="96" priority="140" stopIfTrue="1">
      <formula>AND(SSize6=0,SUM($D28,$F28,$H28,$J28,$L28,$N28,$P28)=0)</formula>
    </cfRule>
  </conditionalFormatting>
  <conditionalFormatting sqref="AN26:AO27">
    <cfRule type="expression" dxfId="95" priority="141" stopIfTrue="1">
      <formula>AND(SSize5=0,SUM($D26,$F26,$H26,$J26,$L26,$N26,$P26)=0)</formula>
    </cfRule>
  </conditionalFormatting>
  <conditionalFormatting sqref="AN25:AO25">
    <cfRule type="expression" dxfId="94" priority="142" stopIfTrue="1">
      <formula>AND(SSize4=0,SUM($D25,$F25,$H25,$J25,$L25,$N25,$P25)=0)</formula>
    </cfRule>
  </conditionalFormatting>
  <conditionalFormatting sqref="AN24:AO24">
    <cfRule type="expression" dxfId="93" priority="143" stopIfTrue="1">
      <formula>AND(SSize3=0,SUM($D24,$F24,$H24,$J24,$L24,$N24,$P24)=0)</formula>
    </cfRule>
  </conditionalFormatting>
  <conditionalFormatting sqref="AN23:AO23">
    <cfRule type="expression" dxfId="92" priority="144" stopIfTrue="1">
      <formula>AND(SSize2=0,SUM($D23,$F23,$H23,$J23,$L23,$N23,$P23)=0)</formula>
    </cfRule>
  </conditionalFormatting>
  <conditionalFormatting sqref="AN22:AO22">
    <cfRule type="expression" dxfId="91" priority="145" stopIfTrue="1">
      <formula>AND(SSize1=0,SUM($D22,$F22,$H22,$J22,$L22,$N22,$P22)=0)</formula>
    </cfRule>
  </conditionalFormatting>
  <conditionalFormatting sqref="T22:U32">
    <cfRule type="expression" dxfId="90" priority="139" stopIfTrue="1">
      <formula>AND(SSize1=0,SUM($D22,$F22,$H22,$J22,$L22,$N22,$P22)=0)</formula>
    </cfRule>
  </conditionalFormatting>
  <conditionalFormatting sqref="T33:X33">
    <cfRule type="expression" dxfId="89" priority="283" stopIfTrue="1">
      <formula>AND(SSize6=0,SUM($D33,$F33,$H33,$J33,$L33,$N33,$A33)=0)</formula>
    </cfRule>
  </conditionalFormatting>
  <conditionalFormatting sqref="R33">
    <cfRule type="expression" dxfId="88" priority="323" stopIfTrue="1">
      <formula>AND(SSize6=0,SUM($D33,$F33,$H33,$J33,$L33,$N33,$A33)=0)</formula>
    </cfRule>
    <cfRule type="cellIs" dxfId="87" priority="324" stopIfTrue="1" operator="notBetween">
      <formula>$T33</formula>
      <formula>$U33</formula>
    </cfRule>
  </conditionalFormatting>
  <conditionalFormatting sqref="S33">
    <cfRule type="expression" dxfId="86" priority="327" stopIfTrue="1">
      <formula>AND(SSize6=0,SUM($D33,$F33,$H33,$J33,$L33,$N33,$A33)=0)</formula>
    </cfRule>
    <cfRule type="cellIs" dxfId="85" priority="328" stopIfTrue="1" operator="equal">
      <formula>"No"</formula>
    </cfRule>
  </conditionalFormatting>
  <conditionalFormatting sqref="A33">
    <cfRule type="expression" dxfId="84" priority="330" stopIfTrue="1">
      <formula>AND(SSize6=0,SUM($D33,$F33,$H33,$J33,$L33,$N33,$A33)=0)</formula>
    </cfRule>
  </conditionalFormatting>
  <conditionalFormatting sqref="A34">
    <cfRule type="expression" dxfId="83" priority="332" stopIfTrue="1">
      <formula>AND(SSize6=0,SUM($D36,$F36,$H36,$J36,$L36,$N36,$A34)=0)</formula>
    </cfRule>
  </conditionalFormatting>
  <conditionalFormatting sqref="R34:R35">
    <cfRule type="expression" dxfId="82" priority="335" stopIfTrue="1">
      <formula>AND(SSize6=0,SUM($D34,$F34,$H34,$J34,$L34,$N34,$P34)=0)</formula>
    </cfRule>
    <cfRule type="cellIs" dxfId="81" priority="336" stopIfTrue="1" operator="notBetween">
      <formula>#REF!</formula>
      <formula>#REF!</formula>
    </cfRule>
  </conditionalFormatting>
  <conditionalFormatting sqref="X66:Y66">
    <cfRule type="expression" dxfId="80" priority="396" stopIfTrue="1">
      <formula>AND(SSize1=0,SUM(#REF!,#REF!,#REF!,#REF!,$L66,$N66,$P66)=0)</formula>
    </cfRule>
  </conditionalFormatting>
  <conditionalFormatting sqref="X68:Y68">
    <cfRule type="expression" dxfId="79" priority="397" stopIfTrue="1">
      <formula>AND(SSize3=0,SUM(#REF!,#REF!,#REF!,#REF!,$L68,$N68,$P68)=0)</formula>
    </cfRule>
  </conditionalFormatting>
  <conditionalFormatting sqref="X67:Y67">
    <cfRule type="expression" dxfId="78" priority="398" stopIfTrue="1">
      <formula>AND(SSize2=0,SUM(#REF!,#REF!,#REF!,#REF!,$L67,$N67,$P67)=0)</formula>
    </cfRule>
  </conditionalFormatting>
  <conditionalFormatting sqref="X70:Y70">
    <cfRule type="expression" dxfId="77" priority="404" stopIfTrue="1">
      <formula>AND(SSize5=0,SUM(#REF!,#REF!,#REF!,#REF!,$L70,$N70,$P70)=0)</formula>
    </cfRule>
  </conditionalFormatting>
  <conditionalFormatting sqref="X69:Y69">
    <cfRule type="expression" dxfId="76" priority="405" stopIfTrue="1">
      <formula>AND(SSize4=0,SUM(#REF!,#REF!,#REF!,#REF!,$L69,$N69,$P69)=0)</formula>
    </cfRule>
  </conditionalFormatting>
  <conditionalFormatting sqref="AD34">
    <cfRule type="expression" dxfId="75" priority="408" stopIfTrue="1">
      <formula>AND(SSize6=0,SUM(#REF!,#REF!,$H37,$J37,$L37,$N37,$P37)=0)</formula>
    </cfRule>
    <cfRule type="cellIs" dxfId="74" priority="409" stopIfTrue="1" operator="notBetween">
      <formula>#REF!</formula>
      <formula>#REF!</formula>
    </cfRule>
  </conditionalFormatting>
  <conditionalFormatting sqref="F43 D43 M43 K43 H43">
    <cfRule type="expression" dxfId="73" priority="410" stopIfTrue="1">
      <formula>AND(SSize6=0,SUM($E43,$G43,#REF!,$I43,$L43,#REF!,#REF!)=0)</formula>
    </cfRule>
  </conditionalFormatting>
  <conditionalFormatting sqref="E43">
    <cfRule type="expression" dxfId="72" priority="415" stopIfTrue="1">
      <formula>AND(SSize6=0,SUM($E43,$G43,#REF!,$I43,$L43,#REF!,#REF!)=0)</formula>
    </cfRule>
    <cfRule type="cellIs" dxfId="71" priority="416" stopIfTrue="1" operator="greaterThan">
      <formula>D$26</formula>
    </cfRule>
  </conditionalFormatting>
  <conditionalFormatting sqref="L43">
    <cfRule type="expression" dxfId="70" priority="419" stopIfTrue="1">
      <formula>AND(SSize6=0,SUM($E43,$G43,#REF!,$I43,$L43,#REF!,#REF!)=0)</formula>
    </cfRule>
    <cfRule type="cellIs" dxfId="69" priority="420" stopIfTrue="1" operator="greaterThan">
      <formula>L$26</formula>
    </cfRule>
  </conditionalFormatting>
  <conditionalFormatting sqref="I43">
    <cfRule type="expression" dxfId="68" priority="421" stopIfTrue="1">
      <formula>AND(SSize6=0,SUM($E43,$G43,#REF!,$I43,$L43,#REF!,#REF!)=0)</formula>
    </cfRule>
    <cfRule type="cellIs" dxfId="67" priority="422" stopIfTrue="1" operator="greaterThan">
      <formula>J$26</formula>
    </cfRule>
  </conditionalFormatting>
  <conditionalFormatting sqref="A35:A36">
    <cfRule type="expression" dxfId="66" priority="427" stopIfTrue="1">
      <formula>AND(SSize6=0,SUM($E44,$G44,#REF!,$I44,$L44,$N44,$A35)=0)</formula>
    </cfRule>
  </conditionalFormatting>
  <conditionalFormatting sqref="Z36">
    <cfRule type="expression" dxfId="65" priority="438" stopIfTrue="1">
      <formula>AND(SSize6=0,SUM($D49,$F49,$H49,$J49,$L48,$N48,$Z36)=0)</formula>
    </cfRule>
  </conditionalFormatting>
  <conditionalFormatting sqref="AD35">
    <cfRule type="expression" dxfId="64" priority="439" stopIfTrue="1">
      <formula>AND(SSize6=0,SUM($E39,$G39,#REF!,$I39,$L39,$N39,$P39)=0)</formula>
    </cfRule>
    <cfRule type="cellIs" dxfId="63" priority="440" stopIfTrue="1" operator="notBetween">
      <formula>#REF!</formula>
      <formula>$AA35</formula>
    </cfRule>
  </conditionalFormatting>
  <conditionalFormatting sqref="Z34">
    <cfRule type="expression" dxfId="62" priority="441" stopIfTrue="1">
      <formula>AND(SSize6=0,SUM($E46,$G46,#REF!,$I46,$L46,$N46,$Z34)=0)</formula>
    </cfRule>
  </conditionalFormatting>
  <conditionalFormatting sqref="Z35">
    <cfRule type="expression" dxfId="61" priority="442" stopIfTrue="1">
      <formula>AND(SSize6=0,SUM(#REF!,$E47,$G47,$I47,$L47,$N47,$Z35)=0)</formula>
    </cfRule>
  </conditionalFormatting>
  <conditionalFormatting sqref="X73:Y73">
    <cfRule type="expression" dxfId="60" priority="444" stopIfTrue="1">
      <formula>AND(SSize6=0,SUM(#REF!,$F73,$H73,$J73,$L73,$N73,$P73)=0)</formula>
    </cfRule>
  </conditionalFormatting>
  <conditionalFormatting sqref="AZ22:BA25">
    <cfRule type="expression" dxfId="59" priority="102" stopIfTrue="1">
      <formula>AND(SSize1=0,SUM($D22,$F22,$H22,$J22,$L22,$N22,$P22)=0)</formula>
    </cfRule>
  </conditionalFormatting>
  <conditionalFormatting sqref="AY22:AY25">
    <cfRule type="expression" dxfId="58" priority="100" stopIfTrue="1">
      <formula>AND(SSize1=0,SUM($D22,$F22,$H22,$J22,$L22,$N22,$P22)=0)</formula>
    </cfRule>
    <cfRule type="cellIs" dxfId="57" priority="101" stopIfTrue="1" operator="equal">
      <formula>"No"</formula>
    </cfRule>
  </conditionalFormatting>
  <conditionalFormatting sqref="X72:Y72">
    <cfRule type="expression" dxfId="56" priority="476" stopIfTrue="1">
      <formula>AND(SSize6=0,SUM($BB22,$F72,$H72,$J72,$L72,$N72,$P72)=0)</formula>
    </cfRule>
  </conditionalFormatting>
  <conditionalFormatting sqref="X71:Y71">
    <cfRule type="expression" dxfId="55" priority="477" stopIfTrue="1">
      <formula>AND(SSize6=0,SUM($BD22,$F71,$H71,$J71,$L71,$N71,$P71)=0)</formula>
    </cfRule>
  </conditionalFormatting>
  <conditionalFormatting sqref="D22">
    <cfRule type="expression" dxfId="54" priority="45" stopIfTrue="1">
      <formula>AND(SSize1=0,SUM($D22,$F22,$H22,$J22,$L22,$N22,$P22)=0)</formula>
    </cfRule>
  </conditionalFormatting>
  <conditionalFormatting sqref="D23">
    <cfRule type="expression" dxfId="53" priority="46" stopIfTrue="1">
      <formula>AND(SSize2=0,SUM($D23,$F23,$H23,$J23,$L23,$N23,$P23)=0)</formula>
    </cfRule>
    <cfRule type="cellIs" dxfId="52" priority="47" stopIfTrue="1" operator="greaterThan">
      <formula>D$23</formula>
    </cfRule>
  </conditionalFormatting>
  <conditionalFormatting sqref="D24">
    <cfRule type="expression" dxfId="51" priority="48" stopIfTrue="1">
      <formula>AND(SSize3=0,SUM($D24,$F24,$H24,$J24,$L24,$N24,$P24)=0)</formula>
    </cfRule>
    <cfRule type="cellIs" dxfId="50" priority="49" stopIfTrue="1" operator="greaterThan">
      <formula>D$24</formula>
    </cfRule>
  </conditionalFormatting>
  <conditionalFormatting sqref="D25">
    <cfRule type="expression" dxfId="49" priority="50" stopIfTrue="1">
      <formula>AND(SSize4=0,SUM($D25,$F25,$H25,$J25,$L25,$N25,$P25)=0)</formula>
    </cfRule>
    <cfRule type="cellIs" dxfId="48" priority="51" stopIfTrue="1" operator="greaterThan">
      <formula>D$25</formula>
    </cfRule>
  </conditionalFormatting>
  <conditionalFormatting sqref="D26:D27">
    <cfRule type="expression" dxfId="47" priority="52" stopIfTrue="1">
      <formula>AND(SSize5=0,SUM($D26,$F26,$H26,$J26,$L26,$N26,$P26)=0)</formula>
    </cfRule>
    <cfRule type="cellIs" dxfId="46" priority="53" stopIfTrue="1" operator="greaterThan">
      <formula>D$26</formula>
    </cfRule>
  </conditionalFormatting>
  <conditionalFormatting sqref="D28:D32">
    <cfRule type="expression" dxfId="45" priority="54" stopIfTrue="1">
      <formula>AND(SSize6=0,SUM($D28,$F28,$H28,$J28,$L28,$N28,$P28)=0)</formula>
    </cfRule>
    <cfRule type="cellIs" dxfId="44" priority="55" stopIfTrue="1" operator="greaterThan">
      <formula>D$27</formula>
    </cfRule>
  </conditionalFormatting>
  <conditionalFormatting sqref="F22">
    <cfRule type="expression" dxfId="43" priority="34" stopIfTrue="1">
      <formula>AND(SSize1=0,SUM($D22,$F22,$H22,$J22,$L22,$N22,$P22)=0)</formula>
    </cfRule>
  </conditionalFormatting>
  <conditionalFormatting sqref="F23">
    <cfRule type="expression" dxfId="42" priority="35" stopIfTrue="1">
      <formula>AND(SSize2=0,SUM($D23,$F23,$H23,$J23,$L23,$N23,$P23)=0)</formula>
    </cfRule>
    <cfRule type="cellIs" dxfId="41" priority="36" stopIfTrue="1" operator="greaterThan">
      <formula>F$23</formula>
    </cfRule>
  </conditionalFormatting>
  <conditionalFormatting sqref="F24">
    <cfRule type="expression" dxfId="40" priority="37" stopIfTrue="1">
      <formula>AND(SSize3=0,SUM($D24,$F24,$H24,$J24,$L24,$N24,$P24)=0)</formula>
    </cfRule>
    <cfRule type="cellIs" dxfId="39" priority="38" stopIfTrue="1" operator="greaterThan">
      <formula>F$24</formula>
    </cfRule>
  </conditionalFormatting>
  <conditionalFormatting sqref="F25">
    <cfRule type="expression" dxfId="38" priority="39" stopIfTrue="1">
      <formula>AND(SSize4=0,SUM($D25,$F25,$H25,$J25,$L25,$N25,$P25)=0)</formula>
    </cfRule>
    <cfRule type="cellIs" dxfId="37" priority="40" stopIfTrue="1" operator="greaterThan">
      <formula>F$25</formula>
    </cfRule>
  </conditionalFormatting>
  <conditionalFormatting sqref="F26:F27">
    <cfRule type="expression" dxfId="36" priority="41" stopIfTrue="1">
      <formula>AND(SSize5=0,SUM($D26,$F26,$H26,$J26,$L26,$N26,$P26)=0)</formula>
    </cfRule>
    <cfRule type="cellIs" dxfId="35" priority="42" stopIfTrue="1" operator="greaterThan">
      <formula>F$26</formula>
    </cfRule>
  </conditionalFormatting>
  <conditionalFormatting sqref="F28:F32">
    <cfRule type="expression" dxfId="34" priority="43" stopIfTrue="1">
      <formula>AND(SSize6=0,SUM($D28,$F28,$H28,$J28,$L28,$N28,$P28)=0)</formula>
    </cfRule>
    <cfRule type="cellIs" dxfId="33" priority="44" stopIfTrue="1" operator="greaterThan">
      <formula>F$27</formula>
    </cfRule>
  </conditionalFormatting>
  <conditionalFormatting sqref="H22">
    <cfRule type="expression" dxfId="32" priority="23" stopIfTrue="1">
      <formula>AND(SSize1=0,SUM($D22,$F22,$H22,$J22,$L22,$N22,$P22)=0)</formula>
    </cfRule>
  </conditionalFormatting>
  <conditionalFormatting sqref="H23">
    <cfRule type="expression" dxfId="31" priority="24" stopIfTrue="1">
      <formula>AND(SSize2=0,SUM($D23,$F23,$H23,$J23,$L23,$N23,$P23)=0)</formula>
    </cfRule>
    <cfRule type="cellIs" dxfId="30" priority="25" stopIfTrue="1" operator="greaterThan">
      <formula>H$23</formula>
    </cfRule>
  </conditionalFormatting>
  <conditionalFormatting sqref="H24">
    <cfRule type="expression" dxfId="29" priority="26" stopIfTrue="1">
      <formula>AND(SSize3=0,SUM($D24,$F24,$H24,$J24,$L24,$N24,$P24)=0)</formula>
    </cfRule>
    <cfRule type="cellIs" dxfId="28" priority="27" stopIfTrue="1" operator="greaterThan">
      <formula>H$24</formula>
    </cfRule>
  </conditionalFormatting>
  <conditionalFormatting sqref="H25">
    <cfRule type="expression" dxfId="27" priority="28" stopIfTrue="1">
      <formula>AND(SSize4=0,SUM($D25,$F25,$H25,$J25,$L25,$N25,$P25)=0)</formula>
    </cfRule>
    <cfRule type="cellIs" dxfId="26" priority="29" stopIfTrue="1" operator="greaterThan">
      <formula>H$25</formula>
    </cfRule>
  </conditionalFormatting>
  <conditionalFormatting sqref="H26:H27">
    <cfRule type="expression" dxfId="25" priority="30" stopIfTrue="1">
      <formula>AND(SSize5=0,SUM($D26,$F26,$H26,$J26,$L26,$N26,$P26)=0)</formula>
    </cfRule>
    <cfRule type="cellIs" dxfId="24" priority="31" stopIfTrue="1" operator="greaterThan">
      <formula>H$26</formula>
    </cfRule>
  </conditionalFormatting>
  <conditionalFormatting sqref="H28:H32">
    <cfRule type="expression" dxfId="23" priority="32" stopIfTrue="1">
      <formula>AND(SSize6=0,SUM($D28,$F28,$H28,$J28,$L28,$N28,$P28)=0)</formula>
    </cfRule>
    <cfRule type="cellIs" dxfId="22" priority="33" stopIfTrue="1" operator="greaterThan">
      <formula>H$27</formula>
    </cfRule>
  </conditionalFormatting>
  <conditionalFormatting sqref="N22">
    <cfRule type="expression" dxfId="21" priority="12" stopIfTrue="1">
      <formula>AND(SSize1=0,SUM($D22,$F22,$H22,$J22,$L22,$N22,$P22)=0)</formula>
    </cfRule>
  </conditionalFormatting>
  <conditionalFormatting sqref="N23">
    <cfRule type="expression" dxfId="20" priority="13" stopIfTrue="1">
      <formula>AND(SSize2=0,SUM($D23,$F23,$H23,$J23,$L23,$N23,$P23)=0)</formula>
    </cfRule>
    <cfRule type="cellIs" dxfId="19" priority="14" stopIfTrue="1" operator="greaterThan">
      <formula>N$23</formula>
    </cfRule>
  </conditionalFormatting>
  <conditionalFormatting sqref="N24">
    <cfRule type="expression" dxfId="18" priority="15" stopIfTrue="1">
      <formula>AND(SSize3=0,SUM($D24,$F24,$H24,$J24,$L24,$N24,$P24)=0)</formula>
    </cfRule>
    <cfRule type="cellIs" dxfId="17" priority="16" stopIfTrue="1" operator="greaterThan">
      <formula>N$24</formula>
    </cfRule>
  </conditionalFormatting>
  <conditionalFormatting sqref="N25">
    <cfRule type="expression" dxfId="16" priority="17" stopIfTrue="1">
      <formula>AND(SSize4=0,SUM($D25,$F25,$H25,$J25,$L25,$N25,$P25)=0)</formula>
    </cfRule>
    <cfRule type="cellIs" dxfId="15" priority="18" stopIfTrue="1" operator="greaterThan">
      <formula>N$25</formula>
    </cfRule>
  </conditionalFormatting>
  <conditionalFormatting sqref="N26:N27">
    <cfRule type="expression" dxfId="14" priority="19" stopIfTrue="1">
      <formula>AND(SSize5=0,SUM($D26,$F26,$H26,$J26,$L26,$N26,$P26)=0)</formula>
    </cfRule>
    <cfRule type="cellIs" dxfId="13" priority="20" stopIfTrue="1" operator="greaterThan">
      <formula>N$26</formula>
    </cfRule>
  </conditionalFormatting>
  <conditionalFormatting sqref="N28:N32">
    <cfRule type="expression" dxfId="12" priority="21" stopIfTrue="1">
      <formula>AND(SSize6=0,SUM($D28,$F28,$H28,$J28,$L28,$N28,$P28)=0)</formula>
    </cfRule>
    <cfRule type="cellIs" dxfId="11" priority="22" stopIfTrue="1" operator="greaterThan">
      <formula>N$27</formula>
    </cfRule>
  </conditionalFormatting>
  <conditionalFormatting sqref="P22">
    <cfRule type="expression" dxfId="10" priority="1" stopIfTrue="1">
      <formula>AND(SSize1=0,SUM($D22,$F22,$H22,$J22,$L22,$N22,$P22)=0)</formula>
    </cfRule>
  </conditionalFormatting>
  <conditionalFormatting sqref="P23">
    <cfRule type="expression" dxfId="9" priority="2" stopIfTrue="1">
      <formula>AND(SSize2=0,SUM($D23,$F23,$H23,$J23,$L23,$N23,$P23)=0)</formula>
    </cfRule>
    <cfRule type="cellIs" dxfId="8" priority="3" stopIfTrue="1" operator="greaterThan">
      <formula>P$23</formula>
    </cfRule>
  </conditionalFormatting>
  <conditionalFormatting sqref="P24">
    <cfRule type="expression" dxfId="7" priority="4" stopIfTrue="1">
      <formula>AND(SSize3=0,SUM($D24,$F24,$H24,$J24,$L24,$N24,$P24)=0)</formula>
    </cfRule>
    <cfRule type="cellIs" dxfId="6" priority="5" stopIfTrue="1" operator="greaterThan">
      <formula>P$24</formula>
    </cfRule>
  </conditionalFormatting>
  <conditionalFormatting sqref="P25">
    <cfRule type="expression" dxfId="5" priority="6" stopIfTrue="1">
      <formula>AND(SSize4=0,SUM($D25,$F25,$H25,$J25,$L25,$N25,$P25)=0)</formula>
    </cfRule>
    <cfRule type="cellIs" dxfId="4" priority="7" stopIfTrue="1" operator="greaterThan">
      <formula>P$25</formula>
    </cfRule>
  </conditionalFormatting>
  <conditionalFormatting sqref="P26:P27">
    <cfRule type="expression" dxfId="3" priority="8" stopIfTrue="1">
      <formula>AND(SSize5=0,SUM($D26,$F26,$H26,$J26,$L26,$N26,$P26)=0)</formula>
    </cfRule>
    <cfRule type="cellIs" dxfId="2" priority="9" stopIfTrue="1" operator="greaterThan">
      <formula>P$26</formula>
    </cfRule>
  </conditionalFormatting>
  <conditionalFormatting sqref="P28:P32">
    <cfRule type="expression" dxfId="1" priority="10" stopIfTrue="1">
      <formula>AND(SSize6=0,SUM($D28,$F28,$H28,$J28,$L28,$N28,$P28)=0)</formula>
    </cfRule>
    <cfRule type="cellIs" dxfId="0" priority="11" stopIfTrue="1" operator="greaterThan">
      <formula>P$27</formula>
    </cfRule>
  </conditionalFormatting>
  <dataValidations xWindow="280" yWindow="155" count="8">
    <dataValidation type="list" allowBlank="1" sqref="G55">
      <formula1>TodaysDate</formula1>
    </dataValidation>
    <dataValidation type="custom" allowBlank="1" showInputMessage="1" showErrorMessage="1" sqref="N28:N32 I43 F28:F32 G43 L43 E43 H28:H32 L28:L32 D28:D32 P28:P32">
      <formula1>SSize6&lt;&gt;0</formula1>
    </dataValidation>
    <dataValidation type="custom" allowBlank="1" showInputMessage="1" showErrorMessage="1" sqref="H26:H27 D26:D27 N25:N27 F26:F27 L26:L27 P26:P27">
      <formula1>SSize5&lt;&gt;0</formula1>
    </dataValidation>
    <dataValidation type="custom" allowBlank="1" showInputMessage="1" showErrorMessage="1" sqref="H25 L25 F25 D25 P25">
      <formula1>SSize4&lt;&gt;0</formula1>
    </dataValidation>
    <dataValidation type="custom" allowBlank="1" showInputMessage="1" showErrorMessage="1" sqref="H24 D24 N24 F24 L24 P24">
      <formula1>SSize3&lt;&gt;0</formula1>
    </dataValidation>
    <dataValidation type="custom" allowBlank="1" showInputMessage="1" showErrorMessage="1" sqref="H23 D23 N23 F23 L23 P23">
      <formula1>SSize2&lt;&gt;0</formula1>
    </dataValidation>
    <dataValidation type="custom" allowBlank="1" showInputMessage="1" showErrorMessage="1" sqref="H22 D22 N22 F22 L22 P22">
      <formula1>SSize1&lt;&gt;0</formula1>
    </dataValidation>
    <dataValidation type="textLength" operator="lessThan" allowBlank="1" showInputMessage="1" showErrorMessage="1" errorTitle="Text Length" error="Please limit the text length to 200 characters." sqref="D45:D46 A40:A47 B47 A50:A52">
      <formula1>201</formula1>
    </dataValidation>
  </dataValidations>
  <printOptions horizontalCentered="1"/>
  <pageMargins left="0.28000000000000003" right="0.21" top="0.37" bottom="0.51" header="0.22" footer="0.24"/>
  <pageSetup scale="69" orientation="landscape" r:id="rId1"/>
  <headerFooter alignWithMargins="0">
    <oddFooter>Page &amp;P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231" r:id="rId5" name="Grade6Specifications">
              <controlPr defaultSize="0" print="0" autoFill="0" autoPict="0" macro="[0]!Sheet4.showGrade6specs">
                <anchor moveWithCells="1" sizeWithCells="1">
                  <from>
                    <xdr:col>9</xdr:col>
                    <xdr:colOff>190500</xdr:colOff>
                    <xdr:row>9</xdr:row>
                    <xdr:rowOff>28575</xdr:rowOff>
                  </from>
                  <to>
                    <xdr:col>12</xdr:col>
                    <xdr:colOff>76200</xdr:colOff>
                    <xdr:row>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Z66"/>
  <sheetViews>
    <sheetView zoomScale="80" zoomScaleNormal="80" workbookViewId="0">
      <selection activeCell="H10" sqref="H10"/>
    </sheetView>
  </sheetViews>
  <sheetFormatPr defaultColWidth="9.140625" defaultRowHeight="12.75"/>
  <cols>
    <col min="1" max="1" width="20.42578125" customWidth="1"/>
    <col min="2" max="2" width="16.7109375" customWidth="1"/>
    <col min="3" max="3" width="13.85546875" customWidth="1"/>
    <col min="4" max="4" width="15.140625" bestFit="1" customWidth="1"/>
    <col min="5" max="5" width="17.85546875" bestFit="1" customWidth="1"/>
    <col min="6" max="9" width="17.85546875" customWidth="1"/>
    <col min="10" max="10" width="13.85546875" customWidth="1"/>
    <col min="11" max="11" width="13.140625" bestFit="1" customWidth="1"/>
    <col min="12" max="12" width="12" customWidth="1"/>
    <col min="13" max="13" width="13.85546875" bestFit="1" customWidth="1"/>
    <col min="14" max="14" width="14.7109375" customWidth="1"/>
    <col min="15" max="15" width="15.7109375" customWidth="1"/>
    <col min="16" max="16" width="4" bestFit="1" customWidth="1"/>
    <col min="17" max="17" width="36.42578125" bestFit="1" customWidth="1"/>
    <col min="18" max="18" width="16.7109375" bestFit="1" customWidth="1"/>
    <col min="19" max="19" width="14" customWidth="1"/>
    <col min="20" max="20" width="14.28515625" customWidth="1"/>
    <col min="21" max="21" width="20.140625" customWidth="1"/>
    <col min="24" max="24" width="33.5703125" bestFit="1" customWidth="1"/>
    <col min="25" max="25" width="13.7109375" customWidth="1"/>
    <col min="26" max="26" width="17.42578125" bestFit="1" customWidth="1"/>
  </cols>
  <sheetData>
    <row r="2" spans="1:18" ht="15.75">
      <c r="A2" s="563" t="s">
        <v>129</v>
      </c>
      <c r="B2" s="563"/>
      <c r="C2" s="563"/>
      <c r="D2" s="563"/>
      <c r="E2" s="563"/>
      <c r="F2" s="563"/>
      <c r="G2" s="563"/>
      <c r="H2" s="563"/>
      <c r="I2" s="563"/>
      <c r="J2" s="563"/>
      <c r="K2" s="563"/>
      <c r="L2" s="563"/>
      <c r="M2" s="183"/>
      <c r="N2" s="183"/>
      <c r="O2" s="183"/>
      <c r="P2" s="183"/>
    </row>
    <row r="4" spans="1:18">
      <c r="A4" s="516" t="s">
        <v>103</v>
      </c>
      <c r="B4" s="517"/>
      <c r="C4" s="513"/>
      <c r="D4" s="514"/>
      <c r="E4" s="184"/>
      <c r="F4" s="185"/>
      <c r="G4" s="185"/>
      <c r="H4" s="185"/>
      <c r="I4" s="185"/>
      <c r="J4" s="185"/>
      <c r="K4" s="186"/>
      <c r="L4" s="187"/>
      <c r="N4" s="102"/>
      <c r="O4" s="102"/>
      <c r="P4" s="102"/>
    </row>
    <row r="5" spans="1:18">
      <c r="A5" s="516" t="s">
        <v>121</v>
      </c>
      <c r="B5" s="517"/>
      <c r="C5" s="515"/>
      <c r="D5" s="514"/>
      <c r="E5" s="184"/>
      <c r="F5" s="185"/>
      <c r="G5" s="185"/>
      <c r="H5" s="185"/>
      <c r="I5" s="185"/>
      <c r="J5" s="185"/>
      <c r="K5" s="185"/>
      <c r="L5" s="185"/>
      <c r="N5" s="102"/>
      <c r="O5" s="102"/>
      <c r="P5" s="102"/>
    </row>
    <row r="6" spans="1:18">
      <c r="A6" s="516" t="s">
        <v>122</v>
      </c>
      <c r="B6" s="516"/>
      <c r="C6" s="513"/>
      <c r="D6" s="513"/>
      <c r="E6" s="184"/>
      <c r="F6" s="185"/>
      <c r="G6" s="185"/>
      <c r="H6" s="185"/>
      <c r="I6" s="185"/>
      <c r="J6" s="185"/>
      <c r="K6" s="185"/>
      <c r="L6" s="185"/>
      <c r="P6" s="181"/>
      <c r="Q6" s="181"/>
      <c r="R6" s="181"/>
    </row>
    <row r="7" spans="1:18">
      <c r="A7" s="516" t="s">
        <v>123</v>
      </c>
      <c r="B7" s="516"/>
      <c r="C7" s="513"/>
      <c r="D7" s="514"/>
      <c r="E7" s="184"/>
      <c r="F7" s="185"/>
      <c r="G7" s="185"/>
      <c r="H7" s="185"/>
      <c r="I7" s="185"/>
      <c r="J7" s="185"/>
      <c r="Q7" s="182"/>
      <c r="R7" s="182"/>
    </row>
    <row r="8" spans="1:18">
      <c r="A8" s="564"/>
      <c r="B8" s="564"/>
      <c r="C8" s="566"/>
      <c r="D8" s="566"/>
      <c r="E8" s="185"/>
      <c r="F8" s="185"/>
      <c r="G8" s="185"/>
      <c r="H8" s="185"/>
      <c r="I8" s="185"/>
      <c r="J8" s="185"/>
      <c r="Q8" s="182"/>
      <c r="R8" s="182"/>
    </row>
    <row r="9" spans="1:18">
      <c r="Q9" s="182"/>
      <c r="R9" s="182"/>
    </row>
    <row r="10" spans="1:18" ht="13.5" thickBot="1">
      <c r="A10" s="518" t="s">
        <v>114</v>
      </c>
      <c r="B10" s="518"/>
      <c r="C10" s="518"/>
      <c r="D10" s="8"/>
      <c r="E10" s="101"/>
      <c r="F10" t="s">
        <v>139</v>
      </c>
      <c r="Q10" s="181"/>
      <c r="R10" s="181"/>
    </row>
    <row r="11" spans="1:18">
      <c r="A11" s="519" t="s">
        <v>126</v>
      </c>
      <c r="B11" s="520"/>
      <c r="C11" s="197">
        <v>145</v>
      </c>
      <c r="E11" s="87"/>
      <c r="F11" t="s">
        <v>140</v>
      </c>
      <c r="Q11" s="181"/>
      <c r="R11" s="181"/>
    </row>
    <row r="12" spans="1:18">
      <c r="A12" s="527" t="s">
        <v>125</v>
      </c>
      <c r="B12" s="522"/>
      <c r="C12" s="195">
        <f>C11*(1+C13)</f>
        <v>152.83000000000001</v>
      </c>
    </row>
    <row r="13" spans="1:18" ht="13.5" thickBot="1">
      <c r="A13" s="567" t="s">
        <v>132</v>
      </c>
      <c r="B13" s="559"/>
      <c r="C13" s="196">
        <v>5.3999999999999999E-2</v>
      </c>
      <c r="D13" s="86" t="s">
        <v>156</v>
      </c>
    </row>
    <row r="14" spans="1:18">
      <c r="A14" s="568" t="s">
        <v>228</v>
      </c>
      <c r="B14" s="529"/>
      <c r="C14" s="161">
        <v>1.0999999999999999E-2</v>
      </c>
      <c r="D14" s="313">
        <f>C35*C14</f>
        <v>9.5287499999999987</v>
      </c>
      <c r="G14" s="279" t="s">
        <v>190</v>
      </c>
      <c r="H14" s="204" t="s">
        <v>183</v>
      </c>
      <c r="I14" s="205" t="s">
        <v>184</v>
      </c>
      <c r="K14" s="167" t="s">
        <v>164</v>
      </c>
      <c r="L14" s="167" t="s">
        <v>136</v>
      </c>
    </row>
    <row r="15" spans="1:18">
      <c r="A15" s="521" t="s">
        <v>225</v>
      </c>
      <c r="B15" s="522"/>
      <c r="C15" s="162">
        <v>1.0999999999999999E-2</v>
      </c>
      <c r="D15" s="314">
        <f t="shared" ref="D15:D17" si="0">C36*C15</f>
        <v>11.4345</v>
      </c>
      <c r="G15" s="280">
        <v>1</v>
      </c>
      <c r="H15" s="55" t="str">
        <f>Bin1Aggr</f>
        <v>3/4 L</v>
      </c>
      <c r="I15" s="206">
        <f>Bin1Frac</f>
        <v>25</v>
      </c>
      <c r="K15" s="200">
        <v>98</v>
      </c>
      <c r="L15" s="70">
        <f>K15/100*$C$12</f>
        <v>149.77340000000001</v>
      </c>
      <c r="P15" s="96"/>
      <c r="Q15" s="88"/>
      <c r="R15" s="88"/>
    </row>
    <row r="16" spans="1:18">
      <c r="A16" s="521" t="s">
        <v>226</v>
      </c>
      <c r="B16" s="522"/>
      <c r="C16" s="276">
        <v>1.7000000000000001E-2</v>
      </c>
      <c r="D16" s="314">
        <f t="shared" si="0"/>
        <v>26.507250000000003</v>
      </c>
      <c r="G16" s="280">
        <v>2</v>
      </c>
      <c r="H16" s="55" t="str">
        <f>Bin2Aggr</f>
        <v>3/8 L</v>
      </c>
      <c r="I16" s="206">
        <f>Bin2Frac</f>
        <v>30</v>
      </c>
      <c r="K16" s="200">
        <v>97</v>
      </c>
      <c r="L16" s="70">
        <f t="shared" ref="L16:L22" si="1">K16/100*$C$12</f>
        <v>148.24510000000001</v>
      </c>
      <c r="P16" s="96"/>
      <c r="Q16" s="88"/>
      <c r="R16" s="88"/>
    </row>
    <row r="17" spans="1:20" ht="13.5" thickBot="1">
      <c r="A17" s="525" t="s">
        <v>227</v>
      </c>
      <c r="B17" s="565"/>
      <c r="C17" s="163">
        <v>0</v>
      </c>
      <c r="D17" s="315">
        <f t="shared" si="0"/>
        <v>0</v>
      </c>
      <c r="E17" s="86" t="s">
        <v>157</v>
      </c>
      <c r="F17" s="86"/>
      <c r="G17" s="280">
        <v>3</v>
      </c>
      <c r="H17" s="55">
        <f>Bin3Aggr</f>
        <v>0</v>
      </c>
      <c r="I17" s="206">
        <f>Bin3Frac</f>
        <v>0</v>
      </c>
      <c r="K17" s="200">
        <v>96</v>
      </c>
      <c r="L17" s="70">
        <f t="shared" si="1"/>
        <v>146.71680000000001</v>
      </c>
      <c r="Q17" s="88"/>
      <c r="R17" s="88"/>
    </row>
    <row r="18" spans="1:20">
      <c r="A18" s="568" t="s">
        <v>229</v>
      </c>
      <c r="B18" s="529"/>
      <c r="C18" s="378">
        <v>1.7999999999999999E-2</v>
      </c>
      <c r="D18" s="316">
        <f>C35*C18</f>
        <v>15.592499999999999</v>
      </c>
      <c r="E18" s="317">
        <f>C18*J35</f>
        <v>15.592499999999999</v>
      </c>
      <c r="F18" s="203"/>
      <c r="G18" s="280">
        <v>4</v>
      </c>
      <c r="H18" s="55">
        <f>Bin4Aggr</f>
        <v>0</v>
      </c>
      <c r="I18" s="206">
        <f>Bin4Frac</f>
        <v>0</v>
      </c>
      <c r="K18" s="23">
        <v>95</v>
      </c>
      <c r="L18" s="70">
        <f t="shared" si="1"/>
        <v>145.1885</v>
      </c>
      <c r="Q18" s="88"/>
      <c r="R18" s="88"/>
    </row>
    <row r="19" spans="1:20">
      <c r="A19" s="521" t="s">
        <v>230</v>
      </c>
      <c r="B19" s="522"/>
      <c r="C19" s="379">
        <v>1.7999999999999999E-2</v>
      </c>
      <c r="D19" s="318">
        <f>C36*C19</f>
        <v>18.710999999999999</v>
      </c>
      <c r="E19" s="319">
        <f>C19*J36</f>
        <v>18.710999999999999</v>
      </c>
      <c r="F19" s="203"/>
      <c r="G19" s="280">
        <v>5</v>
      </c>
      <c r="H19" s="55">
        <f>Bin5Aggr</f>
        <v>0</v>
      </c>
      <c r="I19" s="206">
        <f>Bin5Frac</f>
        <v>45</v>
      </c>
      <c r="K19" s="23">
        <v>94</v>
      </c>
      <c r="L19" s="70">
        <f t="shared" si="1"/>
        <v>143.6602</v>
      </c>
      <c r="Q19" s="88"/>
      <c r="R19" s="88"/>
    </row>
    <row r="20" spans="1:20">
      <c r="A20" s="521" t="s">
        <v>231</v>
      </c>
      <c r="B20" s="522"/>
      <c r="C20" s="380">
        <v>5.8000000000000003E-2</v>
      </c>
      <c r="D20" s="318">
        <f>C37*C20</f>
        <v>90.436500000000009</v>
      </c>
      <c r="E20" s="319">
        <f>C20*J37</f>
        <v>90.436500000000009</v>
      </c>
      <c r="F20" s="203"/>
      <c r="G20" s="280">
        <v>6</v>
      </c>
      <c r="H20" s="55">
        <f>Bin6Aggr</f>
        <v>0</v>
      </c>
      <c r="I20" s="206">
        <f>Bin6Frac</f>
        <v>0</v>
      </c>
      <c r="K20" s="23">
        <v>93</v>
      </c>
      <c r="L20" s="70">
        <f t="shared" si="1"/>
        <v>142.13190000000003</v>
      </c>
      <c r="P20" s="96"/>
      <c r="Q20" s="88"/>
      <c r="R20" s="88"/>
    </row>
    <row r="21" spans="1:20" ht="13.5" thickBot="1">
      <c r="A21" s="525" t="s">
        <v>232</v>
      </c>
      <c r="B21" s="565"/>
      <c r="C21" s="196">
        <v>0</v>
      </c>
      <c r="D21" s="320">
        <f>C38*C21</f>
        <v>0</v>
      </c>
      <c r="E21" s="321">
        <f>C21*J38</f>
        <v>0</v>
      </c>
      <c r="F21" s="203"/>
      <c r="G21" s="281">
        <v>7</v>
      </c>
      <c r="H21" s="81">
        <f>Bin7Aggr</f>
        <v>0</v>
      </c>
      <c r="I21" s="82">
        <f>Bin7Frac</f>
        <v>0</v>
      </c>
      <c r="K21" s="23">
        <v>92</v>
      </c>
      <c r="L21" s="70">
        <f t="shared" si="1"/>
        <v>140.60360000000003</v>
      </c>
      <c r="P21" s="96"/>
      <c r="Q21" s="88"/>
      <c r="R21" s="88"/>
    </row>
    <row r="22" spans="1:20">
      <c r="A22" s="552" t="s">
        <v>181</v>
      </c>
      <c r="B22" s="520"/>
      <c r="C22" s="267">
        <f>SUM(C33:C34)/SUM(C33:C38)</f>
        <v>0.11494252873563218</v>
      </c>
      <c r="D22" s="269">
        <f>SUM(C33:C34)/SUM(C35:C38)</f>
        <v>0.12987012987012986</v>
      </c>
      <c r="E22" s="203"/>
      <c r="F22" s="203"/>
      <c r="G22" s="203"/>
      <c r="H22" s="203"/>
      <c r="I22" s="203"/>
      <c r="K22" s="23">
        <v>91</v>
      </c>
      <c r="L22" s="70">
        <f t="shared" si="1"/>
        <v>139.07530000000003</v>
      </c>
      <c r="P22" s="96"/>
      <c r="Q22" s="88"/>
      <c r="R22" s="88"/>
    </row>
    <row r="23" spans="1:20">
      <c r="A23" s="523" t="s">
        <v>113</v>
      </c>
      <c r="B23" s="524"/>
      <c r="C23" s="268">
        <f>SUM(C33)/SUM(C33:C38)</f>
        <v>0.11494252873563218</v>
      </c>
      <c r="D23" s="270">
        <f>SUM(C33)/SUM(C35:C38)</f>
        <v>0.12987012987012986</v>
      </c>
      <c r="E23" s="106"/>
      <c r="F23" s="106"/>
      <c r="G23" s="106"/>
      <c r="H23" s="106"/>
      <c r="I23" s="106"/>
    </row>
    <row r="24" spans="1:20" ht="13.5" thickBot="1">
      <c r="A24" s="550" t="s">
        <v>182</v>
      </c>
      <c r="B24" s="551"/>
      <c r="C24" s="277">
        <f>C34/(C33+C34)</f>
        <v>0</v>
      </c>
      <c r="D24" s="381">
        <f>C34/(C33+C34)</f>
        <v>0</v>
      </c>
      <c r="E24" s="106"/>
      <c r="F24" s="106"/>
      <c r="G24" s="106"/>
      <c r="H24" s="106"/>
      <c r="I24" s="106"/>
    </row>
    <row r="25" spans="1:20">
      <c r="A25" s="348" t="s">
        <v>233</v>
      </c>
      <c r="B25" s="347" t="str">
        <f>LOOKUP(D25,$G$15:$G$21,$H$15:$H$21)</f>
        <v>3/4 L</v>
      </c>
      <c r="C25" s="282">
        <f>LOOKUP(D25,$G$15:$G$21,$I$15:$I$21)</f>
        <v>25</v>
      </c>
      <c r="D25" s="285">
        <v>1</v>
      </c>
      <c r="E25" s="359"/>
      <c r="F25" s="104"/>
      <c r="G25" s="104"/>
      <c r="H25" s="104"/>
      <c r="I25" s="360"/>
      <c r="R25" s="530"/>
      <c r="S25" s="530"/>
    </row>
    <row r="26" spans="1:20">
      <c r="A26" s="344" t="s">
        <v>234</v>
      </c>
      <c r="B26" s="345" t="str">
        <f>LOOKUP(D26,$G$15:$G$21,$H$15:$H$21)</f>
        <v>3/8 L</v>
      </c>
      <c r="C26" s="284">
        <f>LOOKUP(D26,$G$15:$G$21,$I$15:$I$21)</f>
        <v>30</v>
      </c>
      <c r="D26" s="286">
        <v>2</v>
      </c>
      <c r="E26" s="359"/>
      <c r="F26" s="359"/>
      <c r="G26" s="104"/>
      <c r="H26" s="104"/>
      <c r="I26" s="360"/>
      <c r="R26" s="288"/>
      <c r="S26" s="288"/>
    </row>
    <row r="27" spans="1:20" ht="13.5" thickBot="1">
      <c r="A27" s="344" t="s">
        <v>235</v>
      </c>
      <c r="B27" s="345">
        <f>LOOKUP(D27,$G$15:$G$21,$H$15:$H$21)</f>
        <v>0</v>
      </c>
      <c r="C27" s="284">
        <f>LOOKUP(D27,$G$15:$G$21,$I$15:$I$21)</f>
        <v>45</v>
      </c>
      <c r="D27" s="286">
        <v>5</v>
      </c>
      <c r="E27" s="104"/>
      <c r="F27" s="104"/>
      <c r="G27" s="104"/>
      <c r="H27" s="104"/>
      <c r="I27" s="360"/>
      <c r="R27" s="275"/>
      <c r="S27" s="275"/>
    </row>
    <row r="28" spans="1:20" ht="13.5" thickBot="1">
      <c r="A28" s="355" t="s">
        <v>236</v>
      </c>
      <c r="B28" s="346">
        <f>LOOKUP(D28,$G$15:$G$21,$H$15:$H$21)</f>
        <v>0</v>
      </c>
      <c r="C28" s="283">
        <f>LOOKUP(D28,$G$15:$G$21,$I$15:$I$21)</f>
        <v>0</v>
      </c>
      <c r="D28" s="287">
        <v>6</v>
      </c>
      <c r="E28" s="104"/>
      <c r="F28" s="104"/>
      <c r="G28" s="104"/>
      <c r="H28" s="104"/>
      <c r="I28" s="360"/>
      <c r="J28" s="543" t="s">
        <v>162</v>
      </c>
      <c r="K28" s="544"/>
      <c r="L28" s="545"/>
    </row>
    <row r="29" spans="1:20" ht="13.5" thickBot="1">
      <c r="A29" s="525" t="s">
        <v>218</v>
      </c>
      <c r="B29" s="526"/>
      <c r="C29" s="353">
        <f>(C36+C38)/SUM(C35:C38)</f>
        <v>0.3</v>
      </c>
      <c r="D29" s="354">
        <f>(D36+D38)/SUM(D35:D38)</f>
        <v>0.29920094702574729</v>
      </c>
      <c r="E29" s="104"/>
      <c r="F29" s="104"/>
      <c r="G29" s="104"/>
      <c r="H29" s="104"/>
      <c r="I29" s="361"/>
      <c r="J29" s="546">
        <v>1</v>
      </c>
      <c r="K29" s="547"/>
      <c r="L29" s="548"/>
    </row>
    <row r="30" spans="1:20" ht="13.5" thickBot="1">
      <c r="A30" s="102"/>
      <c r="B30" s="102"/>
      <c r="C30" s="72"/>
      <c r="D30" s="103"/>
      <c r="E30" s="104"/>
      <c r="F30" s="104"/>
      <c r="G30" s="104"/>
      <c r="H30" s="104"/>
      <c r="I30" s="104"/>
      <c r="J30" s="538" t="s">
        <v>147</v>
      </c>
      <c r="K30" s="539"/>
      <c r="L30" s="540"/>
      <c r="N30" s="382"/>
      <c r="O30" s="72"/>
      <c r="R30" s="89"/>
      <c r="S30" s="86"/>
    </row>
    <row r="31" spans="1:20">
      <c r="A31" s="80" t="s">
        <v>148</v>
      </c>
      <c r="B31" s="166">
        <v>27</v>
      </c>
      <c r="C31" s="549" t="s">
        <v>220</v>
      </c>
      <c r="D31" s="542"/>
      <c r="E31" s="542"/>
      <c r="F31" s="542"/>
      <c r="G31" s="541" t="s">
        <v>221</v>
      </c>
      <c r="H31" s="542"/>
      <c r="I31" s="542"/>
      <c r="J31" s="531">
        <f>J29*27</f>
        <v>27</v>
      </c>
      <c r="K31" s="532"/>
      <c r="L31" s="533"/>
      <c r="N31" s="389"/>
      <c r="O31" s="72"/>
      <c r="Q31" s="73"/>
      <c r="R31" s="78"/>
    </row>
    <row r="32" spans="1:20" ht="38.25">
      <c r="A32" s="536" t="s">
        <v>115</v>
      </c>
      <c r="B32" s="537"/>
      <c r="C32" s="71" t="s">
        <v>215</v>
      </c>
      <c r="D32" s="71" t="s">
        <v>216</v>
      </c>
      <c r="E32" s="71" t="s">
        <v>217</v>
      </c>
      <c r="F32" s="118" t="s">
        <v>118</v>
      </c>
      <c r="G32" s="312" t="s">
        <v>216</v>
      </c>
      <c r="H32" s="118" t="s">
        <v>118</v>
      </c>
      <c r="I32" s="118" t="s">
        <v>215</v>
      </c>
      <c r="J32" s="312" t="s">
        <v>149</v>
      </c>
      <c r="K32" s="118" t="s">
        <v>151</v>
      </c>
      <c r="L32" s="129" t="s">
        <v>150</v>
      </c>
      <c r="N32" s="382"/>
      <c r="O32" s="382"/>
      <c r="P32" s="96"/>
      <c r="Q32" s="266"/>
      <c r="R32" s="88"/>
      <c r="S32" s="88"/>
      <c r="T32" s="88"/>
    </row>
    <row r="33" spans="1:26">
      <c r="A33" s="527" t="s">
        <v>116</v>
      </c>
      <c r="B33" s="522"/>
      <c r="C33" s="85">
        <v>450</v>
      </c>
      <c r="D33" s="298">
        <f>C33</f>
        <v>450</v>
      </c>
      <c r="E33" s="295">
        <v>3.15</v>
      </c>
      <c r="F33" s="302">
        <f>D33/(E33*62.4)</f>
        <v>2.2893772893772892</v>
      </c>
      <c r="G33" s="350">
        <v>450</v>
      </c>
      <c r="H33" s="302">
        <f>G33/(E33*62.4)</f>
        <v>2.2893772893772892</v>
      </c>
      <c r="I33" s="362">
        <f>G33</f>
        <v>450</v>
      </c>
      <c r="J33" s="330">
        <f t="shared" ref="J33:J39" si="2">C33*$J$31/$B$31</f>
        <v>450</v>
      </c>
      <c r="K33" s="120">
        <f t="shared" ref="K33:K38" si="3">J33/(E33*62.4)</f>
        <v>2.2893772893772892</v>
      </c>
      <c r="L33" s="130">
        <f>J33</f>
        <v>450</v>
      </c>
      <c r="N33" s="390"/>
      <c r="O33" s="390"/>
      <c r="Q33" s="266"/>
      <c r="R33" s="88"/>
      <c r="S33" s="88"/>
      <c r="T33" s="88"/>
      <c r="U33" s="88"/>
    </row>
    <row r="34" spans="1:26">
      <c r="A34" s="527" t="s">
        <v>117</v>
      </c>
      <c r="B34" s="522"/>
      <c r="C34" s="85">
        <v>0</v>
      </c>
      <c r="D34" s="298">
        <f>C34</f>
        <v>0</v>
      </c>
      <c r="E34" s="295">
        <v>2.91</v>
      </c>
      <c r="F34" s="302">
        <f t="shared" ref="F34:F38" si="4">D34/(E34*62.4)</f>
        <v>0</v>
      </c>
      <c r="G34" s="350">
        <v>0</v>
      </c>
      <c r="H34" s="302">
        <f t="shared" ref="H34:H38" si="5">G34/(E34*62.4)</f>
        <v>0</v>
      </c>
      <c r="I34" s="362">
        <f>G34</f>
        <v>0</v>
      </c>
      <c r="J34" s="367">
        <f t="shared" si="2"/>
        <v>0</v>
      </c>
      <c r="K34" s="120">
        <f t="shared" si="3"/>
        <v>0</v>
      </c>
      <c r="L34" s="130">
        <f>J34</f>
        <v>0</v>
      </c>
      <c r="N34" s="390"/>
      <c r="O34" s="390"/>
      <c r="P34" s="178"/>
      <c r="Q34" s="266"/>
      <c r="R34" s="88"/>
      <c r="S34" s="89"/>
      <c r="T34" s="89"/>
      <c r="U34" s="89"/>
    </row>
    <row r="35" spans="1:26">
      <c r="A35" s="344" t="s">
        <v>211</v>
      </c>
      <c r="B35" s="345" t="str">
        <f>LOOKUP(D25,$G$15:$G$21,$H$15:$H$21)</f>
        <v>3/4 L</v>
      </c>
      <c r="C35" s="121">
        <f>(C11*B31-C33-C34)*C25/100</f>
        <v>866.25</v>
      </c>
      <c r="D35" s="121">
        <f>C35*(1+C14)</f>
        <v>875.77874999999995</v>
      </c>
      <c r="E35" s="295">
        <v>2.68</v>
      </c>
      <c r="F35" s="302">
        <f t="shared" si="4"/>
        <v>5.2369089049942588</v>
      </c>
      <c r="G35" s="350">
        <f>D35</f>
        <v>875.77874999999995</v>
      </c>
      <c r="H35" s="302">
        <f t="shared" si="5"/>
        <v>5.2369089049942588</v>
      </c>
      <c r="I35" s="362">
        <f>G35/(1+C14)</f>
        <v>866.25</v>
      </c>
      <c r="J35" s="328">
        <f t="shared" si="2"/>
        <v>866.25</v>
      </c>
      <c r="K35" s="120">
        <f t="shared" si="3"/>
        <v>5.1799296785304252</v>
      </c>
      <c r="L35" s="130">
        <f>J35*(1+C18)</f>
        <v>881.84249999999997</v>
      </c>
      <c r="N35" s="390"/>
      <c r="O35" s="390"/>
      <c r="Q35" s="266"/>
      <c r="R35" s="88"/>
      <c r="S35" s="88"/>
      <c r="Y35" s="73"/>
      <c r="Z35" s="73"/>
    </row>
    <row r="36" spans="1:26">
      <c r="A36" s="344" t="s">
        <v>224</v>
      </c>
      <c r="B36" s="345" t="str">
        <f>LOOKUP(D26,$G$15:$G$21,$H$15:$H$21)</f>
        <v>3/8 L</v>
      </c>
      <c r="C36" s="105">
        <f>(C11*B31-C33-C34)*C26/100</f>
        <v>1039.5</v>
      </c>
      <c r="D36" s="121">
        <f t="shared" ref="D36:D38" si="6">C36*(1+C15)</f>
        <v>1050.9344999999998</v>
      </c>
      <c r="E36" s="295">
        <v>2.63</v>
      </c>
      <c r="F36" s="302">
        <f t="shared" si="4"/>
        <v>6.4037638929511544</v>
      </c>
      <c r="G36" s="350">
        <f>D36</f>
        <v>1050.9344999999998</v>
      </c>
      <c r="H36" s="302">
        <f t="shared" si="5"/>
        <v>6.4037638929511544</v>
      </c>
      <c r="I36" s="362">
        <f>G36/(1+C15)</f>
        <v>1039.5</v>
      </c>
      <c r="J36" s="328">
        <f t="shared" si="2"/>
        <v>1039.5</v>
      </c>
      <c r="K36" s="120">
        <f t="shared" si="3"/>
        <v>6.3340889148873938</v>
      </c>
      <c r="L36" s="130">
        <f>J36*(1+C19)</f>
        <v>1058.211</v>
      </c>
      <c r="N36" s="390"/>
      <c r="O36" s="390"/>
      <c r="P36" s="179"/>
      <c r="Q36" s="266"/>
      <c r="R36" s="88"/>
      <c r="S36" s="108"/>
      <c r="T36" s="88"/>
      <c r="X36" s="73"/>
      <c r="Z36" s="259"/>
    </row>
    <row r="37" spans="1:26">
      <c r="A37" s="344" t="s">
        <v>222</v>
      </c>
      <c r="B37" s="345">
        <f>LOOKUP(D27,$G$15:$G$21,$H$15:$H$21)</f>
        <v>0</v>
      </c>
      <c r="C37" s="105">
        <f>($C$11*$B$31-$C$33-$C$34)*C27/100</f>
        <v>1559.25</v>
      </c>
      <c r="D37" s="121">
        <f t="shared" si="6"/>
        <v>1585.7572499999999</v>
      </c>
      <c r="E37" s="295">
        <v>2.65</v>
      </c>
      <c r="F37" s="302">
        <f t="shared" si="4"/>
        <v>9.5897269593613927</v>
      </c>
      <c r="G37" s="350">
        <f>D37</f>
        <v>1585.7572499999999</v>
      </c>
      <c r="H37" s="302">
        <f t="shared" si="5"/>
        <v>9.5897269593613927</v>
      </c>
      <c r="I37" s="362">
        <f>G37/(1+C16)</f>
        <v>1559.25</v>
      </c>
      <c r="J37" s="328">
        <f t="shared" si="2"/>
        <v>1559.25</v>
      </c>
      <c r="K37" s="120">
        <f t="shared" si="3"/>
        <v>9.4294267053701031</v>
      </c>
      <c r="L37" s="130">
        <f>J37*(1+C20)</f>
        <v>1649.6865</v>
      </c>
      <c r="N37" s="390"/>
      <c r="O37" s="390"/>
      <c r="P37" s="179"/>
      <c r="Q37" s="266"/>
      <c r="R37" s="88"/>
      <c r="S37" s="108"/>
      <c r="T37" s="88"/>
      <c r="X37" s="73"/>
      <c r="Z37" s="259"/>
    </row>
    <row r="38" spans="1:26">
      <c r="A38" s="344" t="s">
        <v>223</v>
      </c>
      <c r="B38" s="345">
        <f>LOOKUP(D28,$G$15:$G$21,$H$15:$H$21)</f>
        <v>0</v>
      </c>
      <c r="C38" s="105">
        <f>($C$11*$B$31-$C$33-$C$34)*C28/100</f>
        <v>0</v>
      </c>
      <c r="D38" s="121">
        <f t="shared" si="6"/>
        <v>0</v>
      </c>
      <c r="E38" s="296">
        <v>2.57</v>
      </c>
      <c r="F38" s="303">
        <f t="shared" si="4"/>
        <v>0</v>
      </c>
      <c r="G38" s="350">
        <f>D38</f>
        <v>0</v>
      </c>
      <c r="H38" s="302">
        <f t="shared" si="5"/>
        <v>0</v>
      </c>
      <c r="I38" s="362">
        <f>G38/(1+C17)</f>
        <v>0</v>
      </c>
      <c r="J38" s="328">
        <f t="shared" si="2"/>
        <v>0</v>
      </c>
      <c r="K38" s="120">
        <f t="shared" si="3"/>
        <v>0</v>
      </c>
      <c r="L38" s="130">
        <f>J38*(1+C21)</f>
        <v>0</v>
      </c>
      <c r="N38" s="390"/>
      <c r="O38" s="390"/>
      <c r="P38" s="78"/>
      <c r="Q38" s="266"/>
      <c r="R38" s="88"/>
      <c r="S38" s="108"/>
      <c r="T38" s="88"/>
      <c r="X38" s="74"/>
      <c r="Z38" s="259"/>
    </row>
    <row r="39" spans="1:26">
      <c r="A39" s="534" t="s">
        <v>158</v>
      </c>
      <c r="B39" s="535"/>
      <c r="C39" s="105">
        <f>(C12-C11)*B31</f>
        <v>211.41000000000034</v>
      </c>
      <c r="D39" s="121">
        <f>C39</f>
        <v>211.41000000000034</v>
      </c>
      <c r="E39" s="170"/>
      <c r="F39" s="171"/>
      <c r="G39" s="328">
        <f>D39</f>
        <v>211.41000000000034</v>
      </c>
      <c r="H39" s="171"/>
      <c r="I39" s="363">
        <f>G39</f>
        <v>211.41000000000034</v>
      </c>
      <c r="J39" s="328">
        <f t="shared" si="2"/>
        <v>211.41000000000034</v>
      </c>
      <c r="K39" s="301"/>
      <c r="L39" s="130">
        <f>J39</f>
        <v>211.41000000000034</v>
      </c>
      <c r="O39" s="77"/>
      <c r="P39" s="178"/>
      <c r="Q39" s="266"/>
      <c r="R39" s="88"/>
      <c r="S39" s="108"/>
      <c r="T39" s="88"/>
      <c r="X39" s="74"/>
      <c r="Z39" s="259"/>
    </row>
    <row r="40" spans="1:26">
      <c r="A40" s="534" t="s">
        <v>159</v>
      </c>
      <c r="B40" s="535"/>
      <c r="C40" s="107">
        <f>C39/8.337</f>
        <v>25.358042461317062</v>
      </c>
      <c r="D40" s="107">
        <f>D39/8.337</f>
        <v>25.358042461317062</v>
      </c>
      <c r="E40" s="122"/>
      <c r="F40" s="122"/>
      <c r="G40" s="329">
        <f>G39/8.337</f>
        <v>25.358042461317062</v>
      </c>
      <c r="H40" s="122"/>
      <c r="I40" s="364">
        <f>I39/8.337</f>
        <v>25.358042461317062</v>
      </c>
      <c r="J40" s="368"/>
      <c r="K40" s="122"/>
      <c r="L40" s="195">
        <f>L39/8.337</f>
        <v>25.358042461317062</v>
      </c>
      <c r="Q40" s="266"/>
      <c r="R40" s="88"/>
      <c r="S40" s="108"/>
      <c r="T40" s="88"/>
      <c r="X40" s="74"/>
      <c r="Z40" s="259"/>
    </row>
    <row r="41" spans="1:26">
      <c r="A41" s="555" t="s">
        <v>152</v>
      </c>
      <c r="B41" s="535"/>
      <c r="C41" s="119">
        <f>C35*C18+C36*C19+C38*C21+C37*C20</f>
        <v>124.74000000000001</v>
      </c>
      <c r="D41" s="297">
        <f>(D35-C35)+(D36-C36)+(D37-C37)+(D38-C38)</f>
        <v>47.470499999999674</v>
      </c>
      <c r="E41" s="171"/>
      <c r="F41" s="171"/>
      <c r="G41" s="349">
        <f>(G35-I35)+(G36-I36)+(G37-I37)+(G38-I38)</f>
        <v>47.470499999999674</v>
      </c>
      <c r="H41" s="171"/>
      <c r="I41" s="365">
        <f>I35*C18+I36*C19+I38*C21+I37*C20</f>
        <v>124.74000000000001</v>
      </c>
      <c r="J41" s="307"/>
      <c r="K41" s="172"/>
      <c r="L41" s="164">
        <f>J35*C18+J36*C19+J38*C21+J37*C20</f>
        <v>124.74000000000001</v>
      </c>
      <c r="Q41" s="266"/>
      <c r="R41" s="88"/>
      <c r="S41" s="108"/>
      <c r="T41" s="88"/>
      <c r="X41" s="76"/>
      <c r="Z41" s="259"/>
    </row>
    <row r="42" spans="1:26">
      <c r="A42" s="534" t="s">
        <v>160</v>
      </c>
      <c r="B42" s="535"/>
      <c r="C42" s="119">
        <f>C41/8.337</f>
        <v>14.962216624685141</v>
      </c>
      <c r="D42" s="119">
        <f>D41/8.337</f>
        <v>5.6939546599495836</v>
      </c>
      <c r="E42" s="168"/>
      <c r="F42" s="168"/>
      <c r="G42" s="330">
        <f>G41/8.337</f>
        <v>5.6939546599495836</v>
      </c>
      <c r="H42" s="301"/>
      <c r="I42" s="357">
        <f>I41/8.337</f>
        <v>14.962216624685141</v>
      </c>
      <c r="J42" s="309"/>
      <c r="K42" s="169"/>
      <c r="L42" s="130">
        <f>L41/8.337</f>
        <v>14.962216624685141</v>
      </c>
      <c r="Q42" s="266"/>
      <c r="R42" s="88"/>
      <c r="S42" s="108"/>
      <c r="T42" s="88"/>
    </row>
    <row r="43" spans="1:26" ht="27" customHeight="1">
      <c r="A43" s="560" t="s">
        <v>219</v>
      </c>
      <c r="B43" s="561"/>
      <c r="C43" s="119">
        <f>C39-C41</f>
        <v>86.670000000000329</v>
      </c>
      <c r="D43" s="119">
        <f>D39-D41</f>
        <v>163.93950000000066</v>
      </c>
      <c r="E43" s="295">
        <v>1</v>
      </c>
      <c r="F43" s="302">
        <f>D43/(E43*62.4)</f>
        <v>2.6272355769230877</v>
      </c>
      <c r="G43" s="331">
        <f>D43</f>
        <v>163.93950000000066</v>
      </c>
      <c r="H43" s="351">
        <f>G43/(E43*62.4)</f>
        <v>2.6272355769230877</v>
      </c>
      <c r="I43" s="357">
        <f>I39-I41</f>
        <v>86.670000000000329</v>
      </c>
      <c r="J43" s="307"/>
      <c r="K43" s="125"/>
      <c r="L43" s="165">
        <f>C43*$J$31/$B$31</f>
        <v>86.670000000000329</v>
      </c>
      <c r="Q43" s="266"/>
      <c r="R43" s="88"/>
      <c r="S43" s="108"/>
      <c r="T43" s="88"/>
    </row>
    <row r="44" spans="1:26" ht="13.5" thickBot="1">
      <c r="A44" s="558" t="s">
        <v>161</v>
      </c>
      <c r="B44" s="559"/>
      <c r="C44" s="137">
        <f>C43/8.337</f>
        <v>10.395825836631921</v>
      </c>
      <c r="D44" s="137">
        <f>D43/8.337</f>
        <v>19.664087801367479</v>
      </c>
      <c r="E44" s="133"/>
      <c r="F44" s="133"/>
      <c r="G44" s="332">
        <f>G43/8.337</f>
        <v>19.664087801367479</v>
      </c>
      <c r="H44" s="352"/>
      <c r="I44" s="366">
        <f>I43/8.337</f>
        <v>10.395825836631921</v>
      </c>
      <c r="J44" s="369"/>
      <c r="K44" s="134"/>
      <c r="L44" s="136">
        <f>C44*$J$31/$B$31</f>
        <v>10.395825836631921</v>
      </c>
      <c r="Q44" s="266"/>
      <c r="R44" s="78"/>
    </row>
    <row r="45" spans="1:26" ht="13.5" thickBot="1">
      <c r="A45" s="102"/>
      <c r="B45" s="102"/>
      <c r="C45" s="79"/>
      <c r="D45" s="52"/>
      <c r="E45" s="52"/>
      <c r="F45" s="52"/>
      <c r="G45" s="90"/>
      <c r="H45" s="52"/>
      <c r="I45" s="333"/>
      <c r="J45" s="52"/>
      <c r="K45" s="52"/>
      <c r="L45" s="198"/>
      <c r="Q45" s="266"/>
      <c r="R45" s="78"/>
    </row>
    <row r="46" spans="1:26">
      <c r="A46" s="528" t="s">
        <v>141</v>
      </c>
      <c r="B46" s="529"/>
      <c r="C46" s="135">
        <v>0</v>
      </c>
      <c r="D46" s="173"/>
      <c r="E46" s="174"/>
      <c r="F46" s="174"/>
      <c r="G46" s="306"/>
      <c r="H46" s="174"/>
      <c r="I46" s="173"/>
      <c r="J46" s="306"/>
      <c r="K46" s="175"/>
      <c r="L46" s="323"/>
      <c r="Q46" s="266"/>
      <c r="R46" s="179"/>
    </row>
    <row r="47" spans="1:26">
      <c r="A47" s="555" t="s">
        <v>146</v>
      </c>
      <c r="B47" s="535"/>
      <c r="C47" s="194">
        <f>C13+C46</f>
        <v>5.3999999999999999E-2</v>
      </c>
      <c r="D47" s="325">
        <f>(D39/(SUM(D33:D38)-D41))</f>
        <v>5.400000000000009E-2</v>
      </c>
      <c r="E47" s="124"/>
      <c r="F47" s="124"/>
      <c r="G47" s="325">
        <f>(G39/(SUM(G33:G38)-G41))</f>
        <v>5.400000000000009E-2</v>
      </c>
      <c r="H47" s="300"/>
      <c r="I47" s="356">
        <f>(I39/SUM(I33:I38))</f>
        <v>5.400000000000009E-2</v>
      </c>
      <c r="J47" s="307"/>
      <c r="K47" s="125"/>
      <c r="L47" s="324"/>
    </row>
    <row r="48" spans="1:26">
      <c r="A48" s="555" t="s">
        <v>163</v>
      </c>
      <c r="B48" s="535"/>
      <c r="C48" s="177">
        <f>C49/8.337</f>
        <v>0</v>
      </c>
      <c r="D48" s="132"/>
      <c r="E48" s="132"/>
      <c r="F48" s="132"/>
      <c r="G48" s="308"/>
      <c r="H48" s="132"/>
      <c r="I48" s="123"/>
      <c r="J48" s="308"/>
      <c r="K48" s="125"/>
      <c r="L48" s="176"/>
      <c r="M48" s="52"/>
    </row>
    <row r="49" spans="1:12">
      <c r="A49" s="555" t="s">
        <v>142</v>
      </c>
      <c r="B49" s="535"/>
      <c r="C49" s="119">
        <f>SUM(C33:C38)*C46</f>
        <v>0</v>
      </c>
      <c r="D49" s="300"/>
      <c r="E49" s="141">
        <v>1</v>
      </c>
      <c r="F49" s="302">
        <f>C49/(E49*62.4)</f>
        <v>0</v>
      </c>
      <c r="G49" s="511"/>
      <c r="H49" s="512"/>
      <c r="I49" s="370"/>
      <c r="J49" s="330">
        <f>C49*$J$31/$B$31</f>
        <v>0</v>
      </c>
      <c r="K49" s="128">
        <f>J49/(E49*62.4)</f>
        <v>0</v>
      </c>
      <c r="L49" s="130">
        <f>J49</f>
        <v>0</v>
      </c>
    </row>
    <row r="50" spans="1:12">
      <c r="A50" s="534" t="s">
        <v>154</v>
      </c>
      <c r="B50" s="535"/>
      <c r="C50" s="119">
        <f>C43+C49</f>
        <v>86.670000000000329</v>
      </c>
      <c r="D50" s="138"/>
      <c r="E50" s="139"/>
      <c r="F50" s="139"/>
      <c r="G50" s="309"/>
      <c r="H50" s="139"/>
      <c r="I50" s="123"/>
      <c r="J50" s="330">
        <f>C50*$J$31/$B$31</f>
        <v>86.670000000000329</v>
      </c>
      <c r="K50" s="140"/>
      <c r="L50" s="130">
        <f>J50</f>
        <v>86.670000000000329</v>
      </c>
    </row>
    <row r="51" spans="1:12">
      <c r="A51" s="562" t="s">
        <v>155</v>
      </c>
      <c r="B51" s="522"/>
      <c r="C51" s="119">
        <f>C50/8.337</f>
        <v>10.395825836631921</v>
      </c>
      <c r="D51" s="123"/>
      <c r="E51" s="124"/>
      <c r="F51" s="124"/>
      <c r="G51" s="307"/>
      <c r="H51" s="124"/>
      <c r="I51" s="123"/>
      <c r="J51" s="372">
        <f>C51*$J$31/$B$31</f>
        <v>10.395825836631921</v>
      </c>
      <c r="K51" s="300"/>
      <c r="L51" s="192">
        <f>J51</f>
        <v>10.395825836631921</v>
      </c>
    </row>
    <row r="52" spans="1:12" ht="13.5" thickBot="1">
      <c r="A52" s="290" t="s">
        <v>176</v>
      </c>
      <c r="B52" s="291"/>
      <c r="C52" s="156">
        <f>C39+C49</f>
        <v>211.41000000000034</v>
      </c>
      <c r="D52" s="193"/>
      <c r="E52" s="193"/>
      <c r="F52" s="193"/>
      <c r="G52" s="310"/>
      <c r="H52" s="193"/>
      <c r="I52" s="371"/>
      <c r="J52" s="332">
        <f>C52*$J$31/$B$31</f>
        <v>211.41000000000034</v>
      </c>
      <c r="K52" s="193"/>
      <c r="L52" s="136">
        <f>J52</f>
        <v>211.41000000000034</v>
      </c>
    </row>
    <row r="53" spans="1:12" ht="13.5" thickBot="1">
      <c r="A53" s="102"/>
      <c r="B53" s="102"/>
      <c r="C53" s="79"/>
      <c r="D53" s="52"/>
      <c r="E53" s="52"/>
      <c r="F53" s="52"/>
      <c r="G53" s="90"/>
      <c r="H53" s="52"/>
      <c r="I53" s="333"/>
      <c r="J53" s="52"/>
      <c r="K53" s="52"/>
      <c r="L53" s="198"/>
    </row>
    <row r="54" spans="1:12">
      <c r="A54" s="519" t="s">
        <v>127</v>
      </c>
      <c r="B54" s="520"/>
      <c r="C54" s="148">
        <f>(SUM(C33:C39)+C49)/B31</f>
        <v>152.83000000000004</v>
      </c>
      <c r="D54" s="334">
        <f>(SUM(D33:D38)+D43)/B31</f>
        <v>152.82999999999998</v>
      </c>
      <c r="E54" s="149"/>
      <c r="F54" s="149"/>
      <c r="G54" s="334">
        <f>(SUM(G33:G38)+G43)/B31</f>
        <v>152.82999999999998</v>
      </c>
      <c r="H54" s="149"/>
      <c r="I54" s="335"/>
      <c r="J54" s="150"/>
      <c r="K54" s="151"/>
      <c r="L54" s="152">
        <f>(SUM(J33:J39)+J49)/J31</f>
        <v>152.83000000000004</v>
      </c>
    </row>
    <row r="55" spans="1:12">
      <c r="A55" s="293" t="s">
        <v>128</v>
      </c>
      <c r="B55" s="289"/>
      <c r="C55" s="357">
        <f>SUM(C33:C38)/B31</f>
        <v>145</v>
      </c>
      <c r="D55" s="358">
        <f>(SUM(D33:D38)-D41)/B31</f>
        <v>145</v>
      </c>
      <c r="E55" s="144"/>
      <c r="F55" s="144"/>
      <c r="G55" s="336">
        <f>(SUM(G33:G38)-G41)/B31</f>
        <v>145</v>
      </c>
      <c r="H55" s="144"/>
      <c r="I55" s="337">
        <f>SUM(I33:I38)/27</f>
        <v>145</v>
      </c>
      <c r="J55" s="126"/>
      <c r="K55" s="145"/>
      <c r="L55" s="130">
        <f>SUM(J33:J38)/J31</f>
        <v>145</v>
      </c>
    </row>
    <row r="56" spans="1:12" ht="12.75" customHeight="1">
      <c r="A56" s="292" t="s">
        <v>153</v>
      </c>
      <c r="B56" s="289"/>
      <c r="C56" s="143"/>
      <c r="D56" s="143"/>
      <c r="E56" s="146"/>
      <c r="F56" s="304">
        <f>SUM(F33:F38)+F49+F43</f>
        <v>26.147012623607182</v>
      </c>
      <c r="G56" s="311"/>
      <c r="H56" s="304">
        <f>SUM(H33:H38)+H49+H43</f>
        <v>26.147012623607182</v>
      </c>
      <c r="I56" s="153"/>
      <c r="J56" s="126"/>
      <c r="K56" s="127"/>
      <c r="L56" s="153">
        <f>SUM(K33:K39)+K49</f>
        <v>23.232822588165213</v>
      </c>
    </row>
    <row r="57" spans="1:12" ht="12.75" customHeight="1">
      <c r="A57" s="556" t="s">
        <v>120</v>
      </c>
      <c r="B57" s="557"/>
      <c r="C57" s="143"/>
      <c r="D57" s="143"/>
      <c r="E57" s="147"/>
      <c r="F57" s="304">
        <f>B31-F56</f>
        <v>0.85298737639281796</v>
      </c>
      <c r="G57" s="311"/>
      <c r="H57" s="304">
        <f>B31-H56</f>
        <v>0.85298737639281796</v>
      </c>
      <c r="I57" s="153"/>
      <c r="J57" s="126"/>
      <c r="K57" s="127"/>
      <c r="L57" s="153">
        <f>J31-L56</f>
        <v>3.7671774118347869</v>
      </c>
    </row>
    <row r="58" spans="1:12">
      <c r="A58" s="556" t="s">
        <v>134</v>
      </c>
      <c r="B58" s="557"/>
      <c r="C58" s="143"/>
      <c r="D58" s="143"/>
      <c r="E58" s="147"/>
      <c r="F58" s="305">
        <f>F57/B31</f>
        <v>3.1592125051585852E-2</v>
      </c>
      <c r="G58" s="322"/>
      <c r="H58" s="305">
        <f>H57/B31</f>
        <v>3.1592125051585852E-2</v>
      </c>
      <c r="I58" s="154"/>
      <c r="J58" s="126"/>
      <c r="K58" s="127"/>
      <c r="L58" s="154">
        <f>L57/J31</f>
        <v>0.13952508932721433</v>
      </c>
    </row>
    <row r="59" spans="1:12">
      <c r="A59" s="293" t="s">
        <v>138</v>
      </c>
      <c r="B59" s="289"/>
      <c r="C59" s="299">
        <f>C14*C35+C15*C36+C17*C38+C37*C16</f>
        <v>47.470500000000001</v>
      </c>
      <c r="D59" s="143"/>
      <c r="E59" s="147"/>
      <c r="F59" s="147"/>
      <c r="G59" s="338">
        <f>C14*G35+C15*G36+C17*G38+G37*C16</f>
        <v>48.151719</v>
      </c>
      <c r="H59" s="147"/>
      <c r="I59" s="339"/>
      <c r="J59" s="126"/>
      <c r="K59" s="127"/>
      <c r="L59" s="131">
        <f>C59*$J$31/$B$31</f>
        <v>47.470500000000001</v>
      </c>
    </row>
    <row r="60" spans="1:12">
      <c r="A60" s="527" t="s">
        <v>137</v>
      </c>
      <c r="B60" s="522"/>
      <c r="C60" s="121">
        <f>C39-C59</f>
        <v>163.93950000000035</v>
      </c>
      <c r="D60" s="143"/>
      <c r="E60" s="147"/>
      <c r="F60" s="147"/>
      <c r="G60" s="328">
        <f>G39-G59</f>
        <v>163.25828100000035</v>
      </c>
      <c r="H60" s="147"/>
      <c r="I60" s="339"/>
      <c r="J60" s="126"/>
      <c r="K60" s="127"/>
      <c r="L60" s="131">
        <f>C60*$J$31/$B$31</f>
        <v>163.93950000000035</v>
      </c>
    </row>
    <row r="61" spans="1:12">
      <c r="A61" s="553" t="s">
        <v>119</v>
      </c>
      <c r="B61" s="554"/>
      <c r="C61" s="142">
        <f>(C60+C49)/(C33+C34)</f>
        <v>0.3643100000000008</v>
      </c>
      <c r="D61" s="143"/>
      <c r="E61" s="126"/>
      <c r="F61" s="126"/>
      <c r="G61" s="340">
        <f>(G60+G49)/(G33+G34)</f>
        <v>0.3627961800000008</v>
      </c>
      <c r="H61" s="126"/>
      <c r="I61" s="341"/>
      <c r="J61" s="126"/>
      <c r="K61" s="127"/>
      <c r="L61" s="155">
        <f>(L60+J49)/(J33+J34)</f>
        <v>0.3643100000000008</v>
      </c>
    </row>
    <row r="62" spans="1:12" ht="13.5" thickBot="1">
      <c r="A62" s="294" t="s">
        <v>133</v>
      </c>
      <c r="B62" s="291"/>
      <c r="C62" s="156">
        <f>SUM(C35:C38)/C33</f>
        <v>7.7</v>
      </c>
      <c r="D62" s="157"/>
      <c r="E62" s="158"/>
      <c r="F62" s="158"/>
      <c r="G62" s="342">
        <f>SUM(G35:G38)/G33</f>
        <v>7.8054899999999989</v>
      </c>
      <c r="H62" s="158"/>
      <c r="I62" s="343"/>
      <c r="J62" s="158"/>
      <c r="K62" s="159"/>
      <c r="L62" s="160">
        <f>SUM(J35:J36)/J33</f>
        <v>4.2350000000000003</v>
      </c>
    </row>
    <row r="64" spans="1:12">
      <c r="G64" s="326"/>
    </row>
    <row r="65" spans="4:4">
      <c r="D65" s="327"/>
    </row>
    <row r="66" spans="4:4">
      <c r="D66" s="327"/>
    </row>
  </sheetData>
  <mergeCells count="55">
    <mergeCell ref="A2:L2"/>
    <mergeCell ref="A7:B7"/>
    <mergeCell ref="A8:B8"/>
    <mergeCell ref="A17:B17"/>
    <mergeCell ref="A21:B21"/>
    <mergeCell ref="C8:D8"/>
    <mergeCell ref="A19:B19"/>
    <mergeCell ref="A13:B13"/>
    <mergeCell ref="A18:B18"/>
    <mergeCell ref="A14:B14"/>
    <mergeCell ref="A24:B24"/>
    <mergeCell ref="A22:B22"/>
    <mergeCell ref="A61:B61"/>
    <mergeCell ref="A41:B41"/>
    <mergeCell ref="A39:B39"/>
    <mergeCell ref="A49:B49"/>
    <mergeCell ref="A50:B50"/>
    <mergeCell ref="A58:B58"/>
    <mergeCell ref="A57:B57"/>
    <mergeCell ref="A44:B44"/>
    <mergeCell ref="A54:B54"/>
    <mergeCell ref="A43:B43"/>
    <mergeCell ref="A47:B47"/>
    <mergeCell ref="A51:B51"/>
    <mergeCell ref="A60:B60"/>
    <mergeCell ref="A48:B48"/>
    <mergeCell ref="A46:B46"/>
    <mergeCell ref="R25:S25"/>
    <mergeCell ref="J31:L31"/>
    <mergeCell ref="A40:B40"/>
    <mergeCell ref="A42:B42"/>
    <mergeCell ref="A32:B32"/>
    <mergeCell ref="J30:L30"/>
    <mergeCell ref="G31:I31"/>
    <mergeCell ref="J28:L28"/>
    <mergeCell ref="J29:L29"/>
    <mergeCell ref="C31:F31"/>
    <mergeCell ref="A33:B33"/>
    <mergeCell ref="A34:B34"/>
    <mergeCell ref="G49:H49"/>
    <mergeCell ref="C4:D4"/>
    <mergeCell ref="C5:D5"/>
    <mergeCell ref="A4:B4"/>
    <mergeCell ref="A5:B5"/>
    <mergeCell ref="C7:D7"/>
    <mergeCell ref="C6:D6"/>
    <mergeCell ref="A6:B6"/>
    <mergeCell ref="A10:C10"/>
    <mergeCell ref="A11:B11"/>
    <mergeCell ref="A15:B15"/>
    <mergeCell ref="A23:B23"/>
    <mergeCell ref="A20:B20"/>
    <mergeCell ref="A16:B16"/>
    <mergeCell ref="A29:B29"/>
    <mergeCell ref="A12:B12"/>
  </mergeCells>
  <phoneticPr fontId="20" type="noConversion"/>
  <pageMargins left="0.75" right="0.75" top="1" bottom="1" header="0.5" footer="0.5"/>
  <pageSetup scale="86" orientation="landscape" r:id="rId1"/>
  <headerFooter alignWithMargins="0"/>
  <rowBreaks count="1" manualBreakCount="1">
    <brk id="44" max="7" man="1"/>
  </rowBreaks>
  <colBreaks count="1" manualBreakCount="1">
    <brk id="12" max="5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autoPageBreaks="0"/>
  </sheetPr>
  <dimension ref="B2:P280"/>
  <sheetViews>
    <sheetView zoomScaleNormal="100" workbookViewId="0">
      <selection activeCell="F45" sqref="F45"/>
    </sheetView>
  </sheetViews>
  <sheetFormatPr defaultColWidth="9.140625" defaultRowHeight="12.75"/>
  <cols>
    <col min="1" max="1" width="1.42578125" style="13" customWidth="1"/>
    <col min="2" max="2" width="10.5703125" style="13" customWidth="1"/>
    <col min="3" max="3" width="12" style="13" customWidth="1"/>
    <col min="4" max="4" width="11.42578125" style="13" customWidth="1"/>
    <col min="5" max="5" width="13" style="13" customWidth="1"/>
    <col min="6" max="8" width="9.140625" style="13"/>
    <col min="9" max="9" width="2.140625" style="13" customWidth="1"/>
    <col min="10" max="10" width="10.85546875" style="13" customWidth="1"/>
    <col min="11" max="13" width="9.140625" style="13"/>
    <col min="14" max="16" width="11" style="13" customWidth="1"/>
    <col min="17" max="16384" width="9.140625" style="13"/>
  </cols>
  <sheetData>
    <row r="2" spans="2:16" ht="15" customHeight="1">
      <c r="C2" s="14"/>
      <c r="D2" s="14"/>
      <c r="E2" s="14"/>
      <c r="F2" s="576" t="s">
        <v>2</v>
      </c>
      <c r="G2" s="577"/>
      <c r="H2" s="15" t="s">
        <v>3</v>
      </c>
      <c r="I2" s="14"/>
    </row>
    <row r="3" spans="2:16" s="16" customFormat="1" ht="38.25" customHeight="1">
      <c r="B3" s="17" t="s">
        <v>4</v>
      </c>
      <c r="C3" s="18" t="s">
        <v>5</v>
      </c>
      <c r="D3" s="19" t="s">
        <v>6</v>
      </c>
      <c r="E3" s="17" t="s">
        <v>7</v>
      </c>
      <c r="F3" s="17" t="s">
        <v>8</v>
      </c>
      <c r="G3" s="17" t="s">
        <v>9</v>
      </c>
      <c r="H3" s="17" t="s">
        <v>8</v>
      </c>
      <c r="J3" s="20" t="s">
        <v>10</v>
      </c>
      <c r="K3" s="20"/>
      <c r="L3" s="20"/>
      <c r="M3" s="20"/>
      <c r="N3" s="49" t="s">
        <v>45</v>
      </c>
      <c r="O3" s="49" t="s">
        <v>48</v>
      </c>
      <c r="P3" s="49" t="s">
        <v>49</v>
      </c>
    </row>
    <row r="4" spans="2:16" ht="12.75" customHeight="1">
      <c r="B4" s="569" t="s">
        <v>11</v>
      </c>
      <c r="C4" s="21" t="s">
        <v>12</v>
      </c>
      <c r="D4" s="22" t="s">
        <v>13</v>
      </c>
      <c r="E4" s="23">
        <v>37.5</v>
      </c>
      <c r="F4" s="24">
        <v>98</v>
      </c>
      <c r="G4" s="24">
        <v>100</v>
      </c>
      <c r="H4" s="581">
        <v>11</v>
      </c>
      <c r="J4" s="25" t="str">
        <f>sieve1</f>
        <v>1"</v>
      </c>
      <c r="K4" s="25">
        <f>IF(SSize1=0,"",SSize1)</f>
        <v>25</v>
      </c>
      <c r="L4" s="25">
        <f>IF(ISERROR(K4^0.45),"",K4^0.45)</f>
        <v>4.2566996126039234</v>
      </c>
      <c r="M4" s="25">
        <f>100</f>
        <v>100</v>
      </c>
      <c r="N4" s="25">
        <f>'Combined Gradation'!R22</f>
        <v>55</v>
      </c>
      <c r="O4" s="25">
        <f>'Combined Gradation'!T22</f>
        <v>100</v>
      </c>
      <c r="P4" s="25">
        <f>'Combined Gradation'!U22</f>
        <v>100</v>
      </c>
    </row>
    <row r="5" spans="2:16">
      <c r="B5" s="569"/>
      <c r="C5" s="21" t="s">
        <v>14</v>
      </c>
      <c r="D5" s="22" t="s">
        <v>15</v>
      </c>
      <c r="E5" s="23">
        <v>31.5</v>
      </c>
      <c r="F5" s="24">
        <v>95</v>
      </c>
      <c r="G5" s="24">
        <v>100</v>
      </c>
      <c r="H5" s="582"/>
      <c r="J5" s="25" t="str">
        <f>sieve2</f>
        <v>3/4"</v>
      </c>
      <c r="K5" s="25">
        <f>IF(SSize2=0,"",SSize2)</f>
        <v>19</v>
      </c>
      <c r="L5" s="25">
        <f t="shared" ref="L5:L12" si="0">IF(ISERROR(K5^0.45),"",K5^0.45)</f>
        <v>3.7621761023862978</v>
      </c>
      <c r="M5" s="25">
        <f t="shared" ref="M5:M12" si="1">IF(ISERROR((100*($L5/$L$4))),"",(100*($L5/$L$4)))</f>
        <v>88.382466341919908</v>
      </c>
      <c r="N5" s="25">
        <f>'Combined Gradation'!R23</f>
        <v>53.25</v>
      </c>
      <c r="O5" s="25">
        <f>'Combined Gradation'!T23</f>
        <v>90</v>
      </c>
      <c r="P5" s="25">
        <f>'Combined Gradation'!U23</f>
        <v>100</v>
      </c>
    </row>
    <row r="6" spans="2:16">
      <c r="B6" s="569"/>
      <c r="C6" s="21" t="s">
        <v>16</v>
      </c>
      <c r="D6" s="22" t="s">
        <v>17</v>
      </c>
      <c r="E6" s="23">
        <v>22.4</v>
      </c>
      <c r="F6" s="24">
        <v>70</v>
      </c>
      <c r="G6" s="24">
        <v>90</v>
      </c>
      <c r="H6" s="582"/>
      <c r="J6" s="25" t="str">
        <f>sieve3</f>
        <v>1/2"</v>
      </c>
      <c r="K6" s="25">
        <f>IF(SSize3=0,"",SSize3)</f>
        <v>12.5</v>
      </c>
      <c r="L6" s="25">
        <f t="shared" si="0"/>
        <v>3.116086507375345</v>
      </c>
      <c r="M6" s="25">
        <f t="shared" si="1"/>
        <v>73.204284797281289</v>
      </c>
      <c r="N6" s="25">
        <f>'Combined Gradation'!R24</f>
        <v>42.5</v>
      </c>
      <c r="O6" s="25">
        <f>'Combined Gradation'!T24</f>
        <v>70</v>
      </c>
      <c r="P6" s="25">
        <f>'Combined Gradation'!U24</f>
        <v>90</v>
      </c>
    </row>
    <row r="7" spans="2:16">
      <c r="B7" s="569"/>
      <c r="C7" s="21" t="s">
        <v>18</v>
      </c>
      <c r="D7" s="22" t="s">
        <v>19</v>
      </c>
      <c r="E7" s="23">
        <v>12.5</v>
      </c>
      <c r="F7" s="24">
        <v>50</v>
      </c>
      <c r="G7" s="24">
        <v>70</v>
      </c>
      <c r="H7" s="582"/>
      <c r="J7" s="25" t="str">
        <f>sieve4</f>
        <v>3/8"</v>
      </c>
      <c r="K7" s="25">
        <f>IF(SSize4=0,"",SSize4)</f>
        <v>9.5</v>
      </c>
      <c r="L7" s="25">
        <f t="shared" si="0"/>
        <v>2.754074108566122</v>
      </c>
      <c r="M7" s="25">
        <f t="shared" si="1"/>
        <v>64.699752371800329</v>
      </c>
      <c r="N7" s="25">
        <f>'Combined Gradation'!R25</f>
        <v>35.15</v>
      </c>
      <c r="O7" s="25">
        <f>'Combined Gradation'!T25</f>
        <v>60</v>
      </c>
      <c r="P7" s="25">
        <f>'Combined Gradation'!U25</f>
        <v>85</v>
      </c>
    </row>
    <row r="8" spans="2:16">
      <c r="B8" s="569"/>
      <c r="C8" s="21" t="s">
        <v>20</v>
      </c>
      <c r="D8" s="22" t="s">
        <v>21</v>
      </c>
      <c r="E8" s="23">
        <v>4.75</v>
      </c>
      <c r="F8" s="24">
        <v>30</v>
      </c>
      <c r="G8" s="24">
        <v>50</v>
      </c>
      <c r="H8" s="582"/>
      <c r="J8" s="25" t="str">
        <f>sieve5</f>
        <v>No. 4</v>
      </c>
      <c r="K8" s="25">
        <f>IF(SSize5=0,"",SSize5)</f>
        <v>4.75</v>
      </c>
      <c r="L8" s="25">
        <f t="shared" si="0"/>
        <v>2.0161002539629291</v>
      </c>
      <c r="M8" s="25">
        <f t="shared" si="1"/>
        <v>47.36299098938845</v>
      </c>
      <c r="N8" s="25">
        <f>'Combined Gradation'!R26</f>
        <v>18.149999999999999</v>
      </c>
      <c r="O8" s="25">
        <f>'Combined Gradation'!T26</f>
        <v>40</v>
      </c>
      <c r="P8" s="25">
        <f>'Combined Gradation'!U26</f>
        <v>65</v>
      </c>
    </row>
    <row r="9" spans="2:16">
      <c r="B9" s="569"/>
      <c r="C9" s="21" t="s">
        <v>22</v>
      </c>
      <c r="D9" s="22" t="s">
        <v>23</v>
      </c>
      <c r="E9" s="23">
        <v>2</v>
      </c>
      <c r="F9" s="24">
        <v>20</v>
      </c>
      <c r="G9" s="24">
        <v>34</v>
      </c>
      <c r="H9" s="582"/>
      <c r="J9" s="25" t="str">
        <f>sieve6</f>
        <v>No. 8</v>
      </c>
      <c r="K9" s="25">
        <f>IF(SSize6=0,"",SSize6)</f>
        <v>2.36</v>
      </c>
      <c r="L9" s="25">
        <f t="shared" si="0"/>
        <v>1.4716698795820382</v>
      </c>
      <c r="M9" s="25">
        <f t="shared" si="1"/>
        <v>34.573026370582518</v>
      </c>
      <c r="N9" s="25">
        <f>'Combined Gradation'!R28</f>
        <v>3.0249999999999999</v>
      </c>
      <c r="O9" s="25">
        <f>'Combined Gradation'!T28</f>
        <v>20</v>
      </c>
      <c r="P9" s="25">
        <f>'Combined Gradation'!U28</f>
        <v>40</v>
      </c>
    </row>
    <row r="10" spans="2:16">
      <c r="B10" s="569"/>
      <c r="C10" s="21" t="s">
        <v>24</v>
      </c>
      <c r="D10" s="22" t="s">
        <v>25</v>
      </c>
      <c r="E10" s="23">
        <v>0.42499999999999999</v>
      </c>
      <c r="F10" s="24">
        <v>5</v>
      </c>
      <c r="G10" s="24">
        <v>20</v>
      </c>
      <c r="H10" s="582"/>
      <c r="J10" s="25" t="str">
        <f>sieve7</f>
        <v>No. 16</v>
      </c>
      <c r="K10" s="25">
        <f>IF(SSize7=0,"",SSize7)</f>
        <v>1.18</v>
      </c>
      <c r="L10" s="25">
        <f t="shared" si="0"/>
        <v>1.0773254099250416</v>
      </c>
      <c r="M10" s="25">
        <f t="shared" si="1"/>
        <v>25.308936687360379</v>
      </c>
      <c r="N10" s="25">
        <f>'Combined Gradation'!R31</f>
        <v>0.97499999999999987</v>
      </c>
      <c r="O10" s="25">
        <f>'Combined Gradation'!T31</f>
        <v>6</v>
      </c>
      <c r="P10" s="25">
        <f>'Combined Gradation'!U31</f>
        <v>18</v>
      </c>
    </row>
    <row r="11" spans="2:16">
      <c r="B11" s="569"/>
      <c r="C11" s="21" t="s">
        <v>26</v>
      </c>
      <c r="D11" s="22" t="s">
        <v>27</v>
      </c>
      <c r="E11" s="23">
        <v>0.18</v>
      </c>
      <c r="F11" s="24">
        <v>2</v>
      </c>
      <c r="G11" s="24">
        <v>12</v>
      </c>
      <c r="H11" s="582"/>
      <c r="J11" s="25" t="str">
        <f>sieve8</f>
        <v>No. 30</v>
      </c>
      <c r="K11" s="25">
        <f>IF(SSize8=0,"",SSize8)</f>
        <v>0.6</v>
      </c>
      <c r="L11" s="25">
        <f t="shared" si="0"/>
        <v>0.79463568224020453</v>
      </c>
      <c r="M11" s="25">
        <f t="shared" si="1"/>
        <v>18.667882504260316</v>
      </c>
      <c r="N11" s="25">
        <f>'Combined Gradation'!R32</f>
        <v>0.35</v>
      </c>
      <c r="O11" s="25">
        <f>'Combined Gradation'!T32</f>
        <v>2</v>
      </c>
      <c r="P11" s="25">
        <f>'Combined Gradation'!U32</f>
        <v>8</v>
      </c>
    </row>
    <row r="12" spans="2:16">
      <c r="B12" s="569"/>
      <c r="C12" s="21" t="s">
        <v>28</v>
      </c>
      <c r="D12" s="22" t="s">
        <v>29</v>
      </c>
      <c r="E12" s="23">
        <v>7.4999999999999997E-2</v>
      </c>
      <c r="F12" s="24">
        <v>1</v>
      </c>
      <c r="G12" s="24">
        <v>6</v>
      </c>
      <c r="H12" s="583"/>
      <c r="J12" s="25" t="str">
        <f>sieve9</f>
        <v>No. 50</v>
      </c>
      <c r="K12" s="25">
        <f>IF(SSize9=0,"",SSize9)</f>
        <v>0.3</v>
      </c>
      <c r="L12" s="25">
        <f t="shared" si="0"/>
        <v>0.58170736792793831</v>
      </c>
      <c r="M12" s="25">
        <f t="shared" si="1"/>
        <v>13.665689874040565</v>
      </c>
      <c r="N12" s="25" t="e">
        <f>'Combined Gradation'!#REF!</f>
        <v>#REF!</v>
      </c>
      <c r="O12" s="25" t="e">
        <f>'Combined Gradation'!#REF!</f>
        <v>#REF!</v>
      </c>
      <c r="P12" s="25" t="e">
        <f>'Combined Gradation'!#REF!</f>
        <v>#REF!</v>
      </c>
    </row>
    <row r="13" spans="2:16" ht="12.75" customHeight="1">
      <c r="B13" s="584" t="s">
        <v>30</v>
      </c>
      <c r="C13" s="27" t="s">
        <v>31</v>
      </c>
      <c r="D13" s="28" t="s">
        <v>32</v>
      </c>
      <c r="E13" s="29">
        <v>25</v>
      </c>
      <c r="F13" s="30">
        <v>98</v>
      </c>
      <c r="G13" s="30">
        <v>100</v>
      </c>
      <c r="H13" s="578">
        <v>12</v>
      </c>
      <c r="J13" s="26"/>
      <c r="K13" s="26"/>
      <c r="L13" s="26"/>
      <c r="M13" s="26"/>
      <c r="N13" s="26"/>
      <c r="O13" s="26"/>
      <c r="P13" s="26"/>
    </row>
    <row r="14" spans="2:16">
      <c r="B14" s="584"/>
      <c r="C14" s="27" t="s">
        <v>16</v>
      </c>
      <c r="D14" s="28" t="s">
        <v>17</v>
      </c>
      <c r="E14" s="29">
        <v>22.4</v>
      </c>
      <c r="F14" s="30">
        <v>95</v>
      </c>
      <c r="G14" s="30">
        <v>100</v>
      </c>
      <c r="H14" s="579"/>
    </row>
    <row r="15" spans="2:16">
      <c r="B15" s="584"/>
      <c r="C15" s="27" t="s">
        <v>33</v>
      </c>
      <c r="D15" s="28" t="s">
        <v>34</v>
      </c>
      <c r="E15" s="29">
        <v>16</v>
      </c>
      <c r="F15" s="30">
        <v>75</v>
      </c>
      <c r="G15" s="30">
        <v>95</v>
      </c>
      <c r="H15" s="579"/>
      <c r="J15" s="52" t="s">
        <v>68</v>
      </c>
      <c r="K15"/>
      <c r="L15"/>
      <c r="M15"/>
      <c r="N15"/>
      <c r="O15"/>
      <c r="P15"/>
    </row>
    <row r="16" spans="2:16">
      <c r="B16" s="584"/>
      <c r="C16" s="27" t="s">
        <v>35</v>
      </c>
      <c r="D16" s="28" t="s">
        <v>36</v>
      </c>
      <c r="E16" s="29">
        <v>9.5</v>
      </c>
      <c r="F16" s="30">
        <v>60</v>
      </c>
      <c r="G16" s="30">
        <v>80</v>
      </c>
      <c r="H16" s="579"/>
      <c r="J16" s="63" t="s">
        <v>99</v>
      </c>
      <c r="K16" s="55" t="s">
        <v>100</v>
      </c>
      <c r="L16" s="60" t="s">
        <v>98</v>
      </c>
      <c r="M16" s="58" t="s">
        <v>101</v>
      </c>
      <c r="N16"/>
      <c r="O16"/>
    </row>
    <row r="17" spans="2:15">
      <c r="B17" s="584"/>
      <c r="C17" s="27" t="s">
        <v>20</v>
      </c>
      <c r="D17" s="28" t="s">
        <v>21</v>
      </c>
      <c r="E17" s="29">
        <v>4.75</v>
      </c>
      <c r="F17" s="30">
        <v>40</v>
      </c>
      <c r="G17" s="30">
        <v>60</v>
      </c>
      <c r="H17" s="579"/>
      <c r="J17" s="56" t="s">
        <v>69</v>
      </c>
      <c r="K17" s="56" t="s">
        <v>70</v>
      </c>
      <c r="L17" s="61" t="e">
        <f>IF(specyear="","",IF(specyear="1995",K17,J17))</f>
        <v>#REF!</v>
      </c>
      <c r="M17" s="59">
        <v>50</v>
      </c>
      <c r="O17"/>
    </row>
    <row r="18" spans="2:15">
      <c r="B18" s="584"/>
      <c r="C18" s="27" t="s">
        <v>22</v>
      </c>
      <c r="D18" s="28" t="s">
        <v>23</v>
      </c>
      <c r="E18" s="29">
        <v>2</v>
      </c>
      <c r="F18" s="30">
        <v>27</v>
      </c>
      <c r="G18" s="30">
        <v>40</v>
      </c>
      <c r="H18" s="579"/>
      <c r="J18" s="56" t="s">
        <v>71</v>
      </c>
      <c r="K18" s="56" t="s">
        <v>72</v>
      </c>
      <c r="L18" s="61" t="e">
        <f t="shared" ref="L18:L42" si="2">IF(specyear="","",IF(specyear="1995",K18,J18))</f>
        <v>#REF!</v>
      </c>
      <c r="M18" s="59">
        <v>45</v>
      </c>
      <c r="O18"/>
    </row>
    <row r="19" spans="2:15">
      <c r="B19" s="584"/>
      <c r="C19" s="27" t="s">
        <v>24</v>
      </c>
      <c r="D19" s="28" t="s">
        <v>25</v>
      </c>
      <c r="E19" s="29">
        <v>0.42499999999999999</v>
      </c>
      <c r="F19" s="30">
        <v>10</v>
      </c>
      <c r="G19" s="30">
        <v>25</v>
      </c>
      <c r="H19" s="579"/>
      <c r="J19" s="56" t="s">
        <v>12</v>
      </c>
      <c r="K19" s="56" t="s">
        <v>13</v>
      </c>
      <c r="L19" s="61" t="e">
        <f t="shared" si="2"/>
        <v>#REF!</v>
      </c>
      <c r="M19" s="59">
        <v>37.5</v>
      </c>
      <c r="O19"/>
    </row>
    <row r="20" spans="2:15" ht="12.75" customHeight="1">
      <c r="B20" s="584"/>
      <c r="C20" s="27" t="s">
        <v>26</v>
      </c>
      <c r="D20" s="28" t="s">
        <v>27</v>
      </c>
      <c r="E20" s="29">
        <v>0.18</v>
      </c>
      <c r="F20" s="30">
        <v>3</v>
      </c>
      <c r="G20" s="30">
        <v>13</v>
      </c>
      <c r="H20" s="579"/>
      <c r="J20" s="56" t="s">
        <v>14</v>
      </c>
      <c r="K20" s="56" t="s">
        <v>15</v>
      </c>
      <c r="L20" s="61" t="e">
        <f t="shared" si="2"/>
        <v>#REF!</v>
      </c>
      <c r="M20" s="59">
        <v>31.5</v>
      </c>
      <c r="O20"/>
    </row>
    <row r="21" spans="2:15">
      <c r="B21" s="584"/>
      <c r="C21" s="27" t="s">
        <v>28</v>
      </c>
      <c r="D21" s="28" t="s">
        <v>29</v>
      </c>
      <c r="E21" s="29">
        <v>7.4999999999999997E-2</v>
      </c>
      <c r="F21" s="30">
        <v>1</v>
      </c>
      <c r="G21" s="30">
        <v>6</v>
      </c>
      <c r="H21" s="580"/>
      <c r="J21" s="56" t="s">
        <v>31</v>
      </c>
      <c r="K21" s="56" t="s">
        <v>32</v>
      </c>
      <c r="L21" s="61" t="e">
        <f t="shared" si="2"/>
        <v>#REF!</v>
      </c>
      <c r="M21" s="59">
        <v>25</v>
      </c>
      <c r="O21"/>
    </row>
    <row r="22" spans="2:15" ht="12.75" customHeight="1">
      <c r="B22" s="569" t="s">
        <v>37</v>
      </c>
      <c r="C22" s="21" t="s">
        <v>16</v>
      </c>
      <c r="D22" s="22" t="s">
        <v>17</v>
      </c>
      <c r="E22" s="23">
        <v>22.4</v>
      </c>
      <c r="F22" s="24">
        <v>98</v>
      </c>
      <c r="G22" s="24">
        <v>100</v>
      </c>
      <c r="H22" s="581">
        <v>13</v>
      </c>
      <c r="J22" s="57" t="s">
        <v>16</v>
      </c>
      <c r="K22" s="56" t="s">
        <v>17</v>
      </c>
      <c r="L22" s="61" t="e">
        <f t="shared" si="2"/>
        <v>#REF!</v>
      </c>
      <c r="M22" s="59">
        <v>22.4</v>
      </c>
      <c r="O22"/>
    </row>
    <row r="23" spans="2:15">
      <c r="B23" s="569"/>
      <c r="C23" s="21" t="s">
        <v>33</v>
      </c>
      <c r="D23" s="22" t="s">
        <v>34</v>
      </c>
      <c r="E23" s="23">
        <v>16</v>
      </c>
      <c r="F23" s="24">
        <v>95</v>
      </c>
      <c r="G23" s="24">
        <v>100</v>
      </c>
      <c r="H23" s="582"/>
      <c r="J23" s="56" t="s">
        <v>73</v>
      </c>
      <c r="K23" s="56" t="s">
        <v>74</v>
      </c>
      <c r="L23" s="61" t="e">
        <f t="shared" si="2"/>
        <v>#REF!</v>
      </c>
      <c r="M23" s="59">
        <v>19</v>
      </c>
      <c r="O23"/>
    </row>
    <row r="24" spans="2:15">
      <c r="B24" s="569"/>
      <c r="C24" s="21" t="s">
        <v>35</v>
      </c>
      <c r="D24" s="22" t="s">
        <v>36</v>
      </c>
      <c r="E24" s="23">
        <v>9.5</v>
      </c>
      <c r="F24" s="24">
        <v>70</v>
      </c>
      <c r="G24" s="24">
        <v>85</v>
      </c>
      <c r="H24" s="582"/>
      <c r="J24" s="56" t="s">
        <v>33</v>
      </c>
      <c r="K24" s="56" t="s">
        <v>34</v>
      </c>
      <c r="L24" s="61" t="e">
        <f t="shared" si="2"/>
        <v>#REF!</v>
      </c>
      <c r="M24" s="59">
        <v>16</v>
      </c>
      <c r="O24"/>
    </row>
    <row r="25" spans="2:15">
      <c r="B25" s="569"/>
      <c r="C25" s="21" t="s">
        <v>20</v>
      </c>
      <c r="D25" s="22" t="s">
        <v>21</v>
      </c>
      <c r="E25" s="23">
        <v>4.75</v>
      </c>
      <c r="F25" s="24">
        <v>43</v>
      </c>
      <c r="G25" s="24">
        <v>63</v>
      </c>
      <c r="H25" s="582"/>
      <c r="J25" s="56" t="s">
        <v>18</v>
      </c>
      <c r="K25" s="56" t="s">
        <v>19</v>
      </c>
      <c r="L25" s="61" t="e">
        <f t="shared" si="2"/>
        <v>#REF!</v>
      </c>
      <c r="M25" s="59">
        <v>12.5</v>
      </c>
      <c r="O25"/>
    </row>
    <row r="26" spans="2:15">
      <c r="B26" s="569"/>
      <c r="C26" s="21" t="s">
        <v>22</v>
      </c>
      <c r="D26" s="22" t="s">
        <v>23</v>
      </c>
      <c r="E26" s="23">
        <v>2</v>
      </c>
      <c r="F26" s="24">
        <v>30</v>
      </c>
      <c r="G26" s="24">
        <v>40</v>
      </c>
      <c r="H26" s="582"/>
      <c r="J26" s="56" t="s">
        <v>75</v>
      </c>
      <c r="K26" s="56" t="s">
        <v>76</v>
      </c>
      <c r="L26" s="61" t="e">
        <f t="shared" si="2"/>
        <v>#REF!</v>
      </c>
      <c r="M26" s="59">
        <v>11.2</v>
      </c>
    </row>
    <row r="27" spans="2:15">
      <c r="B27" s="569"/>
      <c r="C27" s="21" t="s">
        <v>24</v>
      </c>
      <c r="D27" s="22" t="s">
        <v>25</v>
      </c>
      <c r="E27" s="23">
        <v>0.42499999999999999</v>
      </c>
      <c r="F27" s="24">
        <v>10</v>
      </c>
      <c r="G27" s="24">
        <v>25</v>
      </c>
      <c r="H27" s="582"/>
      <c r="J27" s="56" t="s">
        <v>35</v>
      </c>
      <c r="K27" s="56" t="s">
        <v>36</v>
      </c>
      <c r="L27" s="61" t="e">
        <f t="shared" si="2"/>
        <v>#REF!</v>
      </c>
      <c r="M27" s="59">
        <v>9.5</v>
      </c>
    </row>
    <row r="28" spans="2:15">
      <c r="B28" s="569"/>
      <c r="C28" s="21" t="s">
        <v>26</v>
      </c>
      <c r="D28" s="22" t="s">
        <v>27</v>
      </c>
      <c r="E28" s="23">
        <v>0.18</v>
      </c>
      <c r="F28" s="24">
        <v>3</v>
      </c>
      <c r="G28" s="24">
        <v>13</v>
      </c>
      <c r="H28" s="582"/>
      <c r="J28" s="56" t="s">
        <v>77</v>
      </c>
      <c r="K28" s="56" t="s">
        <v>78</v>
      </c>
      <c r="L28" s="61" t="e">
        <f t="shared" si="2"/>
        <v>#REF!</v>
      </c>
      <c r="M28" s="59">
        <v>8</v>
      </c>
    </row>
    <row r="29" spans="2:15">
      <c r="B29" s="569"/>
      <c r="C29" s="21" t="s">
        <v>28</v>
      </c>
      <c r="D29" s="22" t="s">
        <v>29</v>
      </c>
      <c r="E29" s="23">
        <v>7.4999999999999997E-2</v>
      </c>
      <c r="F29" s="24">
        <v>1</v>
      </c>
      <c r="G29" s="24">
        <v>6</v>
      </c>
      <c r="H29" s="583"/>
      <c r="J29" s="56" t="s">
        <v>40</v>
      </c>
      <c r="K29" s="56" t="s">
        <v>41</v>
      </c>
      <c r="L29" s="61" t="e">
        <f t="shared" si="2"/>
        <v>#REF!</v>
      </c>
      <c r="M29" s="59">
        <v>6.3</v>
      </c>
    </row>
    <row r="30" spans="2:15" ht="12.75" customHeight="1">
      <c r="B30" s="585" t="s">
        <v>38</v>
      </c>
      <c r="C30" s="27" t="s">
        <v>18</v>
      </c>
      <c r="D30" s="28" t="s">
        <v>19</v>
      </c>
      <c r="E30" s="29">
        <v>12.5</v>
      </c>
      <c r="F30" s="30">
        <v>98</v>
      </c>
      <c r="G30" s="30">
        <v>100</v>
      </c>
      <c r="H30" s="578">
        <v>14</v>
      </c>
      <c r="J30" s="56" t="s">
        <v>20</v>
      </c>
      <c r="K30" s="56" t="s">
        <v>21</v>
      </c>
      <c r="L30" s="61" t="e">
        <f t="shared" si="2"/>
        <v>#REF!</v>
      </c>
      <c r="M30" s="59">
        <v>4.75</v>
      </c>
    </row>
    <row r="31" spans="2:15">
      <c r="B31" s="586"/>
      <c r="C31" s="27" t="s">
        <v>35</v>
      </c>
      <c r="D31" s="28" t="s">
        <v>36</v>
      </c>
      <c r="E31" s="29">
        <v>9.5</v>
      </c>
      <c r="F31" s="30">
        <v>85</v>
      </c>
      <c r="G31" s="30">
        <v>100</v>
      </c>
      <c r="H31" s="579"/>
      <c r="J31" s="56" t="s">
        <v>79</v>
      </c>
      <c r="K31" s="56" t="s">
        <v>80</v>
      </c>
      <c r="L31" s="61" t="e">
        <f t="shared" si="2"/>
        <v>#REF!</v>
      </c>
      <c r="M31" s="59">
        <v>3.35</v>
      </c>
    </row>
    <row r="32" spans="2:15">
      <c r="B32" s="586"/>
      <c r="C32" s="27" t="s">
        <v>20</v>
      </c>
      <c r="D32" s="28" t="s">
        <v>21</v>
      </c>
      <c r="E32" s="29">
        <v>4.75</v>
      </c>
      <c r="F32" s="30">
        <v>50</v>
      </c>
      <c r="G32" s="30">
        <v>70</v>
      </c>
      <c r="H32" s="579"/>
      <c r="J32" s="56" t="s">
        <v>81</v>
      </c>
      <c r="K32" s="56" t="s">
        <v>82</v>
      </c>
      <c r="L32" s="61" t="e">
        <f t="shared" si="2"/>
        <v>#REF!</v>
      </c>
      <c r="M32" s="59">
        <v>2.36</v>
      </c>
    </row>
    <row r="33" spans="2:13">
      <c r="B33" s="586"/>
      <c r="C33" s="27" t="s">
        <v>22</v>
      </c>
      <c r="D33" s="28" t="s">
        <v>23</v>
      </c>
      <c r="E33" s="29">
        <v>2</v>
      </c>
      <c r="F33" s="30">
        <v>32</v>
      </c>
      <c r="G33" s="30">
        <v>42</v>
      </c>
      <c r="H33" s="579"/>
      <c r="J33" s="56" t="s">
        <v>22</v>
      </c>
      <c r="K33" s="56" t="s">
        <v>23</v>
      </c>
      <c r="L33" s="61" t="e">
        <f t="shared" si="2"/>
        <v>#REF!</v>
      </c>
      <c r="M33" s="59">
        <v>2</v>
      </c>
    </row>
    <row r="34" spans="2:13">
      <c r="B34" s="586"/>
      <c r="C34" s="27" t="s">
        <v>24</v>
      </c>
      <c r="D34" s="28" t="s">
        <v>25</v>
      </c>
      <c r="E34" s="29">
        <v>0.42499999999999999</v>
      </c>
      <c r="F34" s="30">
        <v>11</v>
      </c>
      <c r="G34" s="30">
        <v>26</v>
      </c>
      <c r="H34" s="579"/>
      <c r="J34" s="56" t="s">
        <v>83</v>
      </c>
      <c r="K34" s="56" t="s">
        <v>84</v>
      </c>
      <c r="L34" s="61" t="e">
        <f t="shared" si="2"/>
        <v>#REF!</v>
      </c>
      <c r="M34" s="59">
        <v>1.4</v>
      </c>
    </row>
    <row r="35" spans="2:13">
      <c r="B35" s="586"/>
      <c r="C35" s="27" t="s">
        <v>26</v>
      </c>
      <c r="D35" s="28" t="s">
        <v>27</v>
      </c>
      <c r="E35" s="29">
        <v>0.18</v>
      </c>
      <c r="F35" s="30">
        <v>4</v>
      </c>
      <c r="G35" s="30">
        <v>14</v>
      </c>
      <c r="H35" s="579"/>
      <c r="J35" s="56" t="s">
        <v>85</v>
      </c>
      <c r="K35" s="56" t="s">
        <v>86</v>
      </c>
      <c r="L35" s="61" t="e">
        <f t="shared" si="2"/>
        <v>#REF!</v>
      </c>
      <c r="M35" s="59">
        <v>1.18</v>
      </c>
    </row>
    <row r="36" spans="2:13">
      <c r="B36" s="587"/>
      <c r="C36" s="27" t="s">
        <v>28</v>
      </c>
      <c r="D36" s="28" t="s">
        <v>29</v>
      </c>
      <c r="E36" s="29">
        <v>7.4999999999999997E-2</v>
      </c>
      <c r="F36" s="30">
        <v>1</v>
      </c>
      <c r="G36" s="30">
        <v>6</v>
      </c>
      <c r="H36" s="580"/>
      <c r="J36" s="56" t="s">
        <v>87</v>
      </c>
      <c r="K36" s="58" t="s">
        <v>88</v>
      </c>
      <c r="L36" s="61" t="e">
        <f t="shared" si="2"/>
        <v>#REF!</v>
      </c>
      <c r="M36" s="59">
        <v>8.5000000000000006E-2</v>
      </c>
    </row>
    <row r="37" spans="2:13" ht="12.75" customHeight="1">
      <c r="B37" s="569" t="s">
        <v>39</v>
      </c>
      <c r="C37" s="21" t="s">
        <v>35</v>
      </c>
      <c r="D37" s="22" t="s">
        <v>36</v>
      </c>
      <c r="E37" s="23">
        <v>9.5</v>
      </c>
      <c r="F37" s="24">
        <v>98</v>
      </c>
      <c r="G37" s="24">
        <v>100</v>
      </c>
      <c r="H37" s="581">
        <v>15</v>
      </c>
      <c r="J37" s="56" t="s">
        <v>89</v>
      </c>
      <c r="K37" s="58" t="s">
        <v>90</v>
      </c>
      <c r="L37" s="61" t="e">
        <f t="shared" si="2"/>
        <v>#REF!</v>
      </c>
      <c r="M37" s="59">
        <v>0.06</v>
      </c>
    </row>
    <row r="38" spans="2:13">
      <c r="B38" s="569"/>
      <c r="C38" s="21" t="s">
        <v>40</v>
      </c>
      <c r="D38" s="22" t="s">
        <v>41</v>
      </c>
      <c r="E38" s="23">
        <v>6.3</v>
      </c>
      <c r="F38" s="24">
        <v>95</v>
      </c>
      <c r="G38" s="24">
        <v>100</v>
      </c>
      <c r="H38" s="582"/>
      <c r="J38" s="56" t="s">
        <v>24</v>
      </c>
      <c r="K38" s="58" t="s">
        <v>91</v>
      </c>
      <c r="L38" s="61" t="e">
        <f t="shared" si="2"/>
        <v>#REF!</v>
      </c>
      <c r="M38" s="59">
        <v>4.2500000000000003E-2</v>
      </c>
    </row>
    <row r="39" spans="2:13">
      <c r="B39" s="569"/>
      <c r="C39" s="21" t="s">
        <v>22</v>
      </c>
      <c r="D39" s="22" t="s">
        <v>23</v>
      </c>
      <c r="E39" s="23">
        <v>2</v>
      </c>
      <c r="F39" s="24">
        <v>32</v>
      </c>
      <c r="G39" s="24">
        <v>42</v>
      </c>
      <c r="H39" s="582"/>
      <c r="J39" s="56" t="s">
        <v>92</v>
      </c>
      <c r="K39" s="58" t="s">
        <v>93</v>
      </c>
      <c r="L39" s="61" t="e">
        <f t="shared" si="2"/>
        <v>#REF!</v>
      </c>
      <c r="M39" s="59">
        <v>0.03</v>
      </c>
    </row>
    <row r="40" spans="2:13">
      <c r="B40" s="569"/>
      <c r="C40" s="21" t="s">
        <v>24</v>
      </c>
      <c r="D40" s="22" t="s">
        <v>25</v>
      </c>
      <c r="E40" s="23">
        <v>0.42499999999999999</v>
      </c>
      <c r="F40" s="24">
        <v>9</v>
      </c>
      <c r="G40" s="24">
        <v>24</v>
      </c>
      <c r="H40" s="582"/>
      <c r="J40" s="56" t="s">
        <v>26</v>
      </c>
      <c r="K40" s="58" t="s">
        <v>94</v>
      </c>
      <c r="L40" s="61" t="e">
        <f t="shared" si="2"/>
        <v>#REF!</v>
      </c>
      <c r="M40" s="59">
        <v>1.7999999999999999E-2</v>
      </c>
    </row>
    <row r="41" spans="2:13">
      <c r="B41" s="569"/>
      <c r="C41" s="21" t="s">
        <v>26</v>
      </c>
      <c r="D41" s="22" t="s">
        <v>27</v>
      </c>
      <c r="E41" s="23">
        <v>0.18</v>
      </c>
      <c r="F41" s="24">
        <v>3</v>
      </c>
      <c r="G41" s="24">
        <v>13</v>
      </c>
      <c r="H41" s="582"/>
      <c r="J41" s="56" t="s">
        <v>95</v>
      </c>
      <c r="K41" s="58" t="s">
        <v>96</v>
      </c>
      <c r="L41" s="61" t="e">
        <f t="shared" si="2"/>
        <v>#REF!</v>
      </c>
      <c r="M41" s="59">
        <v>1.4999999999999999E-2</v>
      </c>
    </row>
    <row r="42" spans="2:13">
      <c r="B42" s="569"/>
      <c r="C42" s="21" t="s">
        <v>28</v>
      </c>
      <c r="D42" s="22" t="s">
        <v>29</v>
      </c>
      <c r="E42" s="23">
        <v>7.4999999999999997E-2</v>
      </c>
      <c r="F42" s="24">
        <v>1</v>
      </c>
      <c r="G42" s="24">
        <v>6</v>
      </c>
      <c r="H42" s="583"/>
      <c r="J42" s="56" t="s">
        <v>28</v>
      </c>
      <c r="K42" s="58" t="s">
        <v>97</v>
      </c>
      <c r="L42" s="61" t="e">
        <f t="shared" si="2"/>
        <v>#REF!</v>
      </c>
      <c r="M42" s="59">
        <v>7.4999999999999997E-3</v>
      </c>
    </row>
    <row r="43" spans="2:13" ht="12.75" customHeight="1">
      <c r="B43" s="585" t="s">
        <v>42</v>
      </c>
      <c r="C43" s="27" t="s">
        <v>16</v>
      </c>
      <c r="D43" s="28" t="s">
        <v>17</v>
      </c>
      <c r="E43" s="29">
        <v>22.4</v>
      </c>
      <c r="F43" s="30">
        <v>98</v>
      </c>
      <c r="G43" s="30">
        <v>100</v>
      </c>
      <c r="H43" s="578">
        <v>13</v>
      </c>
      <c r="J43" s="55"/>
      <c r="K43" s="55"/>
      <c r="L43" s="61"/>
      <c r="M43" s="55"/>
    </row>
    <row r="44" spans="2:13">
      <c r="B44" s="586"/>
      <c r="C44" s="27" t="s">
        <v>33</v>
      </c>
      <c r="D44" s="28" t="s">
        <v>34</v>
      </c>
      <c r="E44" s="29">
        <v>16</v>
      </c>
      <c r="F44" s="30">
        <v>95</v>
      </c>
      <c r="G44" s="30">
        <v>100</v>
      </c>
      <c r="H44" s="579"/>
      <c r="J44"/>
      <c r="K44"/>
      <c r="L44"/>
    </row>
    <row r="45" spans="2:13">
      <c r="B45" s="586"/>
      <c r="C45" s="27" t="s">
        <v>35</v>
      </c>
      <c r="D45" s="28" t="s">
        <v>36</v>
      </c>
      <c r="E45" s="29">
        <v>9.5</v>
      </c>
      <c r="F45" s="30">
        <v>50</v>
      </c>
      <c r="G45" s="30">
        <v>70</v>
      </c>
      <c r="H45" s="579"/>
      <c r="J45"/>
      <c r="K45"/>
      <c r="L45"/>
    </row>
    <row r="46" spans="2:13">
      <c r="B46" s="586"/>
      <c r="C46" s="27" t="s">
        <v>20</v>
      </c>
      <c r="D46" s="28" t="s">
        <v>21</v>
      </c>
      <c r="E46" s="29">
        <v>4.75</v>
      </c>
      <c r="F46" s="30">
        <v>30</v>
      </c>
      <c r="G46" s="30">
        <v>45</v>
      </c>
      <c r="H46" s="579"/>
      <c r="J46"/>
      <c r="K46"/>
      <c r="L46"/>
    </row>
    <row r="47" spans="2:13">
      <c r="B47" s="586"/>
      <c r="C47" s="27" t="s">
        <v>22</v>
      </c>
      <c r="D47" s="28" t="s">
        <v>23</v>
      </c>
      <c r="E47" s="29">
        <v>2</v>
      </c>
      <c r="F47" s="30">
        <v>15</v>
      </c>
      <c r="G47" s="30">
        <v>25</v>
      </c>
      <c r="H47" s="579"/>
      <c r="J47"/>
      <c r="K47"/>
      <c r="L47"/>
    </row>
    <row r="48" spans="2:13">
      <c r="B48" s="586"/>
      <c r="C48" s="27" t="s">
        <v>24</v>
      </c>
      <c r="D48" s="28" t="s">
        <v>25</v>
      </c>
      <c r="E48" s="29">
        <v>0.42499999999999999</v>
      </c>
      <c r="F48" s="30">
        <v>6</v>
      </c>
      <c r="G48" s="30">
        <v>20</v>
      </c>
      <c r="H48" s="579"/>
      <c r="J48"/>
      <c r="K48"/>
      <c r="L48"/>
    </row>
    <row r="49" spans="2:14">
      <c r="B49" s="586"/>
      <c r="C49" s="27" t="s">
        <v>26</v>
      </c>
      <c r="D49" s="28" t="s">
        <v>27</v>
      </c>
      <c r="E49" s="29">
        <v>0.18</v>
      </c>
      <c r="F49" s="30">
        <v>6</v>
      </c>
      <c r="G49" s="30">
        <v>18</v>
      </c>
      <c r="H49" s="579"/>
      <c r="J49"/>
      <c r="K49"/>
      <c r="L49"/>
      <c r="M49"/>
      <c r="N49"/>
    </row>
    <row r="50" spans="2:14">
      <c r="B50" s="587"/>
      <c r="C50" s="27" t="s">
        <v>28</v>
      </c>
      <c r="D50" s="28" t="s">
        <v>29</v>
      </c>
      <c r="E50" s="29">
        <v>7.4999999999999997E-2</v>
      </c>
      <c r="F50" s="30">
        <v>5</v>
      </c>
      <c r="G50" s="30">
        <v>8</v>
      </c>
      <c r="H50" s="580"/>
      <c r="J50"/>
      <c r="K50"/>
      <c r="L50"/>
    </row>
    <row r="51" spans="2:14" ht="12.75" customHeight="1">
      <c r="B51" s="588" t="s">
        <v>43</v>
      </c>
      <c r="C51" s="21" t="s">
        <v>18</v>
      </c>
      <c r="D51" s="22" t="s">
        <v>19</v>
      </c>
      <c r="E51" s="23">
        <v>12.5</v>
      </c>
      <c r="F51" s="24">
        <v>98</v>
      </c>
      <c r="G51" s="24">
        <v>100</v>
      </c>
      <c r="H51" s="581">
        <v>14</v>
      </c>
      <c r="J51"/>
      <c r="K51"/>
      <c r="L51"/>
    </row>
    <row r="52" spans="2:14">
      <c r="B52" s="589"/>
      <c r="C52" s="21" t="s">
        <v>35</v>
      </c>
      <c r="D52" s="22" t="s">
        <v>36</v>
      </c>
      <c r="E52" s="23">
        <v>9.5</v>
      </c>
      <c r="F52" s="24">
        <v>85</v>
      </c>
      <c r="G52" s="24">
        <v>100</v>
      </c>
      <c r="H52" s="582"/>
      <c r="J52"/>
      <c r="K52"/>
      <c r="L52"/>
    </row>
    <row r="53" spans="2:14">
      <c r="B53" s="589"/>
      <c r="C53" s="21" t="s">
        <v>20</v>
      </c>
      <c r="D53" s="22" t="s">
        <v>21</v>
      </c>
      <c r="E53" s="23">
        <v>4.75</v>
      </c>
      <c r="F53" s="24">
        <v>40</v>
      </c>
      <c r="G53" s="24">
        <v>60</v>
      </c>
      <c r="H53" s="582"/>
      <c r="J53"/>
      <c r="K53"/>
      <c r="L53"/>
    </row>
    <row r="54" spans="2:14">
      <c r="B54" s="589"/>
      <c r="C54" s="21" t="s">
        <v>22</v>
      </c>
      <c r="D54" s="22" t="s">
        <v>23</v>
      </c>
      <c r="E54" s="23">
        <v>2</v>
      </c>
      <c r="F54" s="24">
        <v>15</v>
      </c>
      <c r="G54" s="24">
        <v>25</v>
      </c>
      <c r="H54" s="582"/>
      <c r="J54"/>
      <c r="K54"/>
      <c r="L54"/>
    </row>
    <row r="55" spans="2:14">
      <c r="B55" s="589"/>
      <c r="C55" s="21" t="s">
        <v>24</v>
      </c>
      <c r="D55" s="22" t="s">
        <v>25</v>
      </c>
      <c r="E55" s="23">
        <v>0.42499999999999999</v>
      </c>
      <c r="F55" s="24">
        <v>6</v>
      </c>
      <c r="G55" s="24">
        <v>20</v>
      </c>
      <c r="H55" s="582"/>
      <c r="J55"/>
      <c r="K55"/>
      <c r="L55"/>
    </row>
    <row r="56" spans="2:14">
      <c r="B56" s="589"/>
      <c r="C56" s="21" t="s">
        <v>26</v>
      </c>
      <c r="D56" s="22" t="s">
        <v>27</v>
      </c>
      <c r="E56" s="23">
        <v>0.18</v>
      </c>
      <c r="F56" s="24">
        <v>6</v>
      </c>
      <c r="G56" s="24">
        <v>18</v>
      </c>
      <c r="H56" s="582"/>
      <c r="J56"/>
      <c r="K56"/>
      <c r="L56"/>
    </row>
    <row r="57" spans="2:14">
      <c r="B57" s="590"/>
      <c r="C57" s="21" t="s">
        <v>28</v>
      </c>
      <c r="D57" s="22" t="s">
        <v>29</v>
      </c>
      <c r="E57" s="23">
        <v>7.4999999999999997E-2</v>
      </c>
      <c r="F57" s="24">
        <v>5</v>
      </c>
      <c r="G57" s="24">
        <v>8</v>
      </c>
      <c r="H57" s="583"/>
      <c r="J57"/>
      <c r="K57"/>
      <c r="L57"/>
    </row>
    <row r="58" spans="2:14">
      <c r="B58" s="570" t="s">
        <v>67</v>
      </c>
      <c r="C58" s="64" t="s">
        <v>18</v>
      </c>
      <c r="D58" s="65" t="s">
        <v>19</v>
      </c>
      <c r="E58" s="62">
        <f>IF(C58&lt;&gt;"",VLOOKUP(C58,sievesizes,4,FALSE),IF(D58&lt;&gt;"",VLOOKUP(D58,gtbl,3,FALSE),0))</f>
        <v>12.5</v>
      </c>
      <c r="F58" s="65">
        <v>79</v>
      </c>
      <c r="G58" s="65">
        <v>96</v>
      </c>
      <c r="H58" s="573">
        <v>14</v>
      </c>
      <c r="I58" s="16"/>
      <c r="J58"/>
      <c r="K58"/>
      <c r="L58"/>
    </row>
    <row r="59" spans="2:14">
      <c r="B59" s="571"/>
      <c r="C59" s="64" t="s">
        <v>35</v>
      </c>
      <c r="D59" s="65" t="s">
        <v>36</v>
      </c>
      <c r="E59" s="62">
        <f t="shared" ref="E59:E66" si="3">IF(C59&lt;&gt;"",VLOOKUP(C59,sievesizes,4,FALSE),IF(D59&lt;&gt;"",VLOOKUP(D59,gtbl,3,FALSE),0))</f>
        <v>9.5</v>
      </c>
      <c r="F59" s="65">
        <v>69</v>
      </c>
      <c r="G59" s="65">
        <v>89</v>
      </c>
      <c r="H59" s="574"/>
      <c r="I59"/>
      <c r="J59"/>
      <c r="K59"/>
      <c r="L59"/>
      <c r="M59"/>
    </row>
    <row r="60" spans="2:14" customFormat="1">
      <c r="B60" s="571"/>
      <c r="C60" s="64" t="s">
        <v>20</v>
      </c>
      <c r="D60" s="65" t="s">
        <v>21</v>
      </c>
      <c r="E60" s="62">
        <f t="shared" si="3"/>
        <v>4.75</v>
      </c>
      <c r="F60" s="65">
        <v>53</v>
      </c>
      <c r="G60" s="65">
        <v>73</v>
      </c>
      <c r="H60" s="574"/>
    </row>
    <row r="61" spans="2:14" customFormat="1">
      <c r="B61" s="571"/>
      <c r="C61" s="64" t="s">
        <v>81</v>
      </c>
      <c r="D61" s="65" t="s">
        <v>82</v>
      </c>
      <c r="E61" s="62">
        <f t="shared" si="3"/>
        <v>2.36</v>
      </c>
      <c r="F61" s="65">
        <v>38</v>
      </c>
      <c r="G61" s="65">
        <v>60</v>
      </c>
      <c r="H61" s="574"/>
      <c r="M61" s="13"/>
    </row>
    <row r="62" spans="2:14">
      <c r="B62" s="571"/>
      <c r="C62" s="64" t="s">
        <v>85</v>
      </c>
      <c r="D62" s="65" t="s">
        <v>86</v>
      </c>
      <c r="E62" s="62">
        <f t="shared" si="3"/>
        <v>1.18</v>
      </c>
      <c r="F62" s="65">
        <v>26</v>
      </c>
      <c r="G62" s="65">
        <v>48</v>
      </c>
      <c r="H62" s="574"/>
      <c r="I62"/>
      <c r="J62"/>
      <c r="K62"/>
      <c r="L62"/>
    </row>
    <row r="63" spans="2:14">
      <c r="B63" s="571"/>
      <c r="C63" s="64" t="s">
        <v>89</v>
      </c>
      <c r="D63" s="65" t="s">
        <v>90</v>
      </c>
      <c r="E63" s="62">
        <f t="shared" si="3"/>
        <v>0.06</v>
      </c>
      <c r="F63" s="65">
        <v>18</v>
      </c>
      <c r="G63" s="65">
        <v>38</v>
      </c>
      <c r="H63" s="574"/>
      <c r="I63"/>
      <c r="J63"/>
      <c r="K63"/>
      <c r="L63"/>
    </row>
    <row r="64" spans="2:14">
      <c r="B64" s="571"/>
      <c r="C64" s="64" t="s">
        <v>92</v>
      </c>
      <c r="D64" s="65" t="s">
        <v>93</v>
      </c>
      <c r="E64" s="62">
        <f t="shared" si="3"/>
        <v>0.03</v>
      </c>
      <c r="F64" s="65">
        <v>11</v>
      </c>
      <c r="G64" s="65">
        <v>27</v>
      </c>
      <c r="H64" s="574"/>
      <c r="I64"/>
      <c r="J64"/>
      <c r="K64"/>
      <c r="L64"/>
    </row>
    <row r="65" spans="2:12">
      <c r="B65" s="571"/>
      <c r="C65" s="64" t="s">
        <v>95</v>
      </c>
      <c r="D65" s="65" t="s">
        <v>96</v>
      </c>
      <c r="E65" s="62">
        <f t="shared" si="3"/>
        <v>1.4999999999999999E-2</v>
      </c>
      <c r="F65" s="65">
        <v>6</v>
      </c>
      <c r="G65" s="65">
        <v>18</v>
      </c>
      <c r="H65" s="574"/>
      <c r="I65"/>
      <c r="J65"/>
      <c r="K65"/>
      <c r="L65"/>
    </row>
    <row r="66" spans="2:12">
      <c r="B66" s="572"/>
      <c r="C66" s="64" t="s">
        <v>28</v>
      </c>
      <c r="D66" s="65" t="s">
        <v>97</v>
      </c>
      <c r="E66" s="62">
        <f t="shared" si="3"/>
        <v>7.4999999999999997E-3</v>
      </c>
      <c r="F66" s="65">
        <v>3</v>
      </c>
      <c r="G66" s="65">
        <v>6</v>
      </c>
      <c r="H66" s="575"/>
      <c r="I66"/>
      <c r="J66"/>
      <c r="K66"/>
      <c r="L66"/>
    </row>
    <row r="67" spans="2:12">
      <c r="E67"/>
      <c r="F67"/>
      <c r="G67"/>
      <c r="H67"/>
      <c r="I67"/>
      <c r="J67"/>
      <c r="K67"/>
      <c r="L67"/>
    </row>
    <row r="68" spans="2:12">
      <c r="E68"/>
      <c r="F68"/>
      <c r="G68"/>
      <c r="H68"/>
      <c r="I68"/>
      <c r="J68"/>
      <c r="K68"/>
      <c r="L68"/>
    </row>
    <row r="69" spans="2:12">
      <c r="E69"/>
      <c r="F69"/>
      <c r="G69"/>
      <c r="H69"/>
      <c r="I69"/>
      <c r="J69"/>
      <c r="K69"/>
      <c r="L69"/>
    </row>
    <row r="70" spans="2:12">
      <c r="E70"/>
      <c r="F70"/>
      <c r="G70"/>
      <c r="H70"/>
      <c r="I70"/>
      <c r="J70"/>
      <c r="K70"/>
      <c r="L70"/>
    </row>
    <row r="71" spans="2:12">
      <c r="E71"/>
      <c r="F71"/>
      <c r="G71"/>
      <c r="H71"/>
      <c r="I71"/>
      <c r="J71"/>
      <c r="K71"/>
      <c r="L71"/>
    </row>
    <row r="72" spans="2:12">
      <c r="E72"/>
      <c r="F72"/>
      <c r="G72"/>
      <c r="H72"/>
      <c r="I72"/>
      <c r="J72"/>
      <c r="K72"/>
      <c r="L72"/>
    </row>
    <row r="73" spans="2:12">
      <c r="E73"/>
      <c r="F73"/>
      <c r="G73"/>
      <c r="H73"/>
      <c r="I73"/>
      <c r="J73"/>
      <c r="K73"/>
      <c r="L73"/>
    </row>
    <row r="74" spans="2:12">
      <c r="E74"/>
      <c r="F74"/>
      <c r="G74"/>
      <c r="H74"/>
      <c r="I74"/>
      <c r="J74"/>
      <c r="K74"/>
      <c r="L74"/>
    </row>
    <row r="75" spans="2:12">
      <c r="E75"/>
      <c r="F75"/>
      <c r="G75"/>
      <c r="H75"/>
      <c r="I75"/>
      <c r="J75"/>
      <c r="K75"/>
      <c r="L75"/>
    </row>
    <row r="76" spans="2:12">
      <c r="E76"/>
      <c r="F76"/>
      <c r="G76"/>
      <c r="H76"/>
      <c r="I76"/>
      <c r="J76"/>
      <c r="K76"/>
      <c r="L76"/>
    </row>
    <row r="77" spans="2:12">
      <c r="E77"/>
      <c r="F77"/>
      <c r="G77"/>
      <c r="H77"/>
      <c r="I77"/>
      <c r="J77"/>
      <c r="K77"/>
      <c r="L77"/>
    </row>
    <row r="78" spans="2:12">
      <c r="E78"/>
      <c r="F78"/>
      <c r="G78"/>
      <c r="H78"/>
      <c r="I78"/>
      <c r="J78"/>
      <c r="K78"/>
      <c r="L78"/>
    </row>
    <row r="79" spans="2:12">
      <c r="B79"/>
      <c r="C79"/>
      <c r="D79" s="31"/>
      <c r="E79"/>
      <c r="F79"/>
      <c r="G79"/>
      <c r="H79"/>
      <c r="I79"/>
      <c r="J79"/>
      <c r="K79"/>
      <c r="L79"/>
    </row>
    <row r="80" spans="2:12">
      <c r="C80" s="31"/>
      <c r="D80" s="31"/>
      <c r="E80"/>
      <c r="F80"/>
      <c r="G80"/>
      <c r="H80"/>
      <c r="I80"/>
    </row>
    <row r="81" spans="3:5">
      <c r="C81" s="31"/>
      <c r="D81" s="31"/>
      <c r="E81" s="31"/>
    </row>
    <row r="82" spans="3:5">
      <c r="C82" s="31"/>
      <c r="D82" s="31"/>
      <c r="E82" s="31"/>
    </row>
    <row r="83" spans="3:5">
      <c r="C83" s="31"/>
      <c r="D83" s="31"/>
      <c r="E83" s="31"/>
    </row>
    <row r="84" spans="3:5">
      <c r="C84" s="31"/>
      <c r="D84" s="31"/>
      <c r="E84" s="31"/>
    </row>
    <row r="85" spans="3:5">
      <c r="C85" s="31"/>
      <c r="D85" s="31"/>
      <c r="E85" s="31"/>
    </row>
    <row r="86" spans="3:5">
      <c r="C86" s="31"/>
      <c r="D86" s="31"/>
      <c r="E86" s="31"/>
    </row>
    <row r="87" spans="3:5">
      <c r="C87" s="31"/>
      <c r="D87" s="31"/>
      <c r="E87" s="31"/>
    </row>
    <row r="88" spans="3:5">
      <c r="C88" s="31"/>
      <c r="D88" s="31"/>
      <c r="E88" s="31"/>
    </row>
    <row r="89" spans="3:5">
      <c r="C89" s="31"/>
      <c r="D89" s="31"/>
      <c r="E89" s="31"/>
    </row>
    <row r="90" spans="3:5">
      <c r="C90" s="31"/>
      <c r="D90" s="31"/>
      <c r="E90" s="31"/>
    </row>
    <row r="91" spans="3:5">
      <c r="C91" s="31"/>
      <c r="D91" s="31"/>
      <c r="E91" s="31"/>
    </row>
    <row r="92" spans="3:5">
      <c r="C92" s="31"/>
      <c r="D92" s="31"/>
      <c r="E92" s="31"/>
    </row>
    <row r="93" spans="3:5">
      <c r="C93" s="31"/>
      <c r="D93" s="31"/>
      <c r="E93" s="31"/>
    </row>
    <row r="94" spans="3:5">
      <c r="C94" s="31"/>
      <c r="D94" s="31"/>
      <c r="E94" s="31"/>
    </row>
    <row r="95" spans="3:5">
      <c r="C95" s="31"/>
      <c r="D95" s="31"/>
      <c r="E95" s="31"/>
    </row>
    <row r="96" spans="3:5">
      <c r="C96" s="31"/>
      <c r="D96" s="31"/>
      <c r="E96" s="31"/>
    </row>
    <row r="97" spans="3:5">
      <c r="C97" s="31"/>
      <c r="D97" s="31"/>
      <c r="E97" s="31"/>
    </row>
    <row r="98" spans="3:5">
      <c r="C98" s="31"/>
      <c r="D98" s="31"/>
      <c r="E98" s="31"/>
    </row>
    <row r="99" spans="3:5">
      <c r="C99" s="31"/>
      <c r="D99" s="31"/>
      <c r="E99" s="31"/>
    </row>
    <row r="100" spans="3:5">
      <c r="C100" s="31"/>
      <c r="D100" s="31"/>
      <c r="E100" s="31"/>
    </row>
    <row r="101" spans="3:5">
      <c r="C101" s="31"/>
      <c r="D101" s="31"/>
      <c r="E101" s="31"/>
    </row>
    <row r="102" spans="3:5">
      <c r="C102" s="31"/>
      <c r="D102" s="31"/>
      <c r="E102" s="31"/>
    </row>
    <row r="103" spans="3:5">
      <c r="C103" s="31"/>
      <c r="D103" s="31"/>
      <c r="E103" s="31"/>
    </row>
    <row r="104" spans="3:5">
      <c r="C104" s="31"/>
      <c r="D104" s="31"/>
      <c r="E104" s="31"/>
    </row>
    <row r="105" spans="3:5">
      <c r="C105" s="31"/>
      <c r="D105" s="31"/>
      <c r="E105" s="31"/>
    </row>
    <row r="106" spans="3:5">
      <c r="C106" s="31"/>
      <c r="D106" s="31"/>
      <c r="E106" s="31"/>
    </row>
    <row r="107" spans="3:5">
      <c r="C107" s="31"/>
      <c r="D107" s="31"/>
      <c r="E107" s="31"/>
    </row>
    <row r="108" spans="3:5">
      <c r="C108" s="31"/>
      <c r="D108" s="31"/>
      <c r="E108" s="31"/>
    </row>
    <row r="109" spans="3:5">
      <c r="C109" s="31"/>
      <c r="D109" s="31"/>
      <c r="E109" s="31"/>
    </row>
    <row r="110" spans="3:5">
      <c r="C110" s="31"/>
      <c r="D110" s="31"/>
      <c r="E110" s="31"/>
    </row>
    <row r="111" spans="3:5">
      <c r="C111" s="31"/>
      <c r="D111" s="31"/>
      <c r="E111" s="31"/>
    </row>
    <row r="112" spans="3:5">
      <c r="C112" s="31"/>
      <c r="D112" s="31"/>
      <c r="E112" s="31"/>
    </row>
    <row r="113" spans="3:5">
      <c r="C113" s="31"/>
      <c r="D113" s="31"/>
      <c r="E113" s="31"/>
    </row>
    <row r="114" spans="3:5">
      <c r="C114" s="31"/>
      <c r="D114" s="31"/>
      <c r="E114" s="31"/>
    </row>
    <row r="115" spans="3:5">
      <c r="C115" s="31"/>
      <c r="D115" s="31"/>
      <c r="E115" s="31"/>
    </row>
    <row r="116" spans="3:5">
      <c r="C116" s="31"/>
      <c r="D116" s="31"/>
      <c r="E116" s="31"/>
    </row>
    <row r="117" spans="3:5">
      <c r="C117" s="31"/>
      <c r="D117" s="31"/>
      <c r="E117" s="31"/>
    </row>
    <row r="118" spans="3:5">
      <c r="C118" s="31"/>
      <c r="D118" s="31"/>
      <c r="E118" s="31"/>
    </row>
    <row r="119" spans="3:5">
      <c r="C119" s="31"/>
      <c r="D119" s="31"/>
      <c r="E119" s="31"/>
    </row>
    <row r="120" spans="3:5">
      <c r="C120" s="31"/>
      <c r="D120" s="31"/>
      <c r="E120" s="31"/>
    </row>
    <row r="121" spans="3:5">
      <c r="C121" s="31"/>
      <c r="D121" s="31"/>
      <c r="E121" s="31"/>
    </row>
    <row r="122" spans="3:5">
      <c r="C122" s="31"/>
      <c r="D122" s="31"/>
      <c r="E122" s="31"/>
    </row>
    <row r="123" spans="3:5">
      <c r="C123" s="31"/>
      <c r="D123" s="31"/>
      <c r="E123" s="31"/>
    </row>
    <row r="124" spans="3:5">
      <c r="C124" s="31"/>
      <c r="D124" s="31"/>
      <c r="E124" s="31"/>
    </row>
    <row r="125" spans="3:5">
      <c r="C125" s="31"/>
      <c r="D125" s="31"/>
      <c r="E125" s="31"/>
    </row>
    <row r="126" spans="3:5">
      <c r="C126" s="31"/>
      <c r="D126" s="31"/>
      <c r="E126" s="31"/>
    </row>
    <row r="127" spans="3:5">
      <c r="C127" s="31"/>
      <c r="D127" s="31"/>
      <c r="E127" s="31"/>
    </row>
    <row r="128" spans="3:5">
      <c r="C128" s="31"/>
      <c r="D128" s="31"/>
      <c r="E128" s="31"/>
    </row>
    <row r="129" spans="3:5">
      <c r="C129" s="31"/>
      <c r="D129" s="31"/>
      <c r="E129" s="31"/>
    </row>
    <row r="130" spans="3:5">
      <c r="C130" s="31"/>
      <c r="D130" s="31"/>
      <c r="E130" s="31"/>
    </row>
    <row r="131" spans="3:5">
      <c r="C131" s="31"/>
      <c r="D131" s="31"/>
      <c r="E131" s="31"/>
    </row>
    <row r="132" spans="3:5">
      <c r="C132" s="31"/>
      <c r="D132" s="31"/>
      <c r="E132" s="31"/>
    </row>
    <row r="133" spans="3:5">
      <c r="C133" s="31"/>
      <c r="D133" s="31"/>
      <c r="E133" s="31"/>
    </row>
    <row r="134" spans="3:5">
      <c r="C134" s="31"/>
      <c r="D134" s="31"/>
      <c r="E134" s="31"/>
    </row>
    <row r="135" spans="3:5">
      <c r="C135" s="31"/>
      <c r="D135" s="31"/>
      <c r="E135" s="31"/>
    </row>
    <row r="136" spans="3:5">
      <c r="C136" s="31"/>
      <c r="D136" s="31"/>
      <c r="E136" s="31"/>
    </row>
    <row r="137" spans="3:5">
      <c r="C137" s="31"/>
      <c r="D137" s="31"/>
      <c r="E137" s="31"/>
    </row>
    <row r="138" spans="3:5">
      <c r="C138" s="31"/>
      <c r="D138" s="31"/>
      <c r="E138" s="31"/>
    </row>
    <row r="139" spans="3:5">
      <c r="C139" s="31"/>
      <c r="D139" s="31"/>
      <c r="E139" s="31"/>
    </row>
    <row r="140" spans="3:5">
      <c r="C140" s="31"/>
      <c r="D140" s="31"/>
      <c r="E140" s="31"/>
    </row>
    <row r="141" spans="3:5">
      <c r="C141" s="31"/>
      <c r="D141" s="31"/>
      <c r="E141" s="31"/>
    </row>
    <row r="142" spans="3:5">
      <c r="C142" s="31"/>
      <c r="D142" s="31"/>
      <c r="E142" s="31"/>
    </row>
    <row r="143" spans="3:5">
      <c r="C143" s="31"/>
      <c r="D143" s="31"/>
      <c r="E143" s="31"/>
    </row>
    <row r="144" spans="3:5">
      <c r="C144" s="31"/>
      <c r="D144" s="31"/>
      <c r="E144" s="31"/>
    </row>
    <row r="145" spans="3:5">
      <c r="C145" s="31"/>
      <c r="D145" s="31"/>
      <c r="E145" s="31"/>
    </row>
    <row r="146" spans="3:5">
      <c r="C146" s="31"/>
      <c r="D146" s="31"/>
      <c r="E146" s="31"/>
    </row>
    <row r="147" spans="3:5">
      <c r="C147" s="31"/>
      <c r="D147" s="31"/>
      <c r="E147" s="31"/>
    </row>
    <row r="148" spans="3:5">
      <c r="C148" s="31"/>
      <c r="D148" s="31"/>
      <c r="E148" s="31"/>
    </row>
    <row r="149" spans="3:5">
      <c r="C149" s="31"/>
      <c r="D149" s="31"/>
      <c r="E149" s="31"/>
    </row>
    <row r="150" spans="3:5">
      <c r="C150" s="31"/>
      <c r="D150" s="31"/>
      <c r="E150" s="31"/>
    </row>
    <row r="151" spans="3:5">
      <c r="C151" s="31"/>
      <c r="D151" s="31"/>
      <c r="E151" s="31"/>
    </row>
    <row r="152" spans="3:5">
      <c r="C152" s="31"/>
      <c r="D152" s="31"/>
      <c r="E152" s="31"/>
    </row>
    <row r="153" spans="3:5">
      <c r="C153" s="31"/>
      <c r="D153" s="31"/>
      <c r="E153" s="31"/>
    </row>
    <row r="154" spans="3:5">
      <c r="C154" s="31"/>
      <c r="D154" s="31"/>
      <c r="E154" s="31"/>
    </row>
    <row r="155" spans="3:5">
      <c r="C155" s="31"/>
      <c r="D155" s="31"/>
      <c r="E155" s="31"/>
    </row>
    <row r="156" spans="3:5">
      <c r="C156" s="31"/>
      <c r="D156" s="31"/>
      <c r="E156" s="31"/>
    </row>
    <row r="157" spans="3:5">
      <c r="C157" s="31"/>
      <c r="D157" s="31"/>
      <c r="E157" s="31"/>
    </row>
    <row r="158" spans="3:5">
      <c r="C158" s="31"/>
      <c r="D158" s="31"/>
      <c r="E158" s="31"/>
    </row>
    <row r="159" spans="3:5">
      <c r="C159" s="31"/>
      <c r="D159" s="31"/>
      <c r="E159" s="31"/>
    </row>
    <row r="160" spans="3:5">
      <c r="C160" s="31"/>
      <c r="D160" s="31"/>
      <c r="E160" s="31"/>
    </row>
    <row r="161" spans="3:5">
      <c r="C161" s="31"/>
      <c r="D161" s="31"/>
      <c r="E161" s="31"/>
    </row>
    <row r="162" spans="3:5">
      <c r="C162" s="31"/>
      <c r="D162" s="31"/>
      <c r="E162" s="31"/>
    </row>
    <row r="163" spans="3:5">
      <c r="C163" s="31"/>
      <c r="D163" s="31"/>
      <c r="E163" s="31"/>
    </row>
    <row r="164" spans="3:5">
      <c r="C164" s="31"/>
      <c r="D164" s="31"/>
      <c r="E164" s="31"/>
    </row>
    <row r="165" spans="3:5">
      <c r="C165" s="31"/>
      <c r="D165" s="31"/>
      <c r="E165" s="31"/>
    </row>
    <row r="166" spans="3:5">
      <c r="C166" s="31"/>
      <c r="D166" s="31"/>
      <c r="E166" s="31"/>
    </row>
    <row r="167" spans="3:5">
      <c r="C167" s="31"/>
      <c r="D167" s="31"/>
      <c r="E167" s="31"/>
    </row>
    <row r="168" spans="3:5">
      <c r="C168" s="31"/>
      <c r="D168" s="31"/>
      <c r="E168" s="31"/>
    </row>
    <row r="169" spans="3:5">
      <c r="C169" s="31"/>
      <c r="D169" s="31"/>
      <c r="E169" s="31"/>
    </row>
    <row r="170" spans="3:5">
      <c r="C170" s="31"/>
      <c r="D170" s="31"/>
      <c r="E170" s="31"/>
    </row>
    <row r="171" spans="3:5">
      <c r="C171" s="31"/>
      <c r="D171" s="31"/>
      <c r="E171" s="31"/>
    </row>
    <row r="172" spans="3:5">
      <c r="C172" s="31"/>
      <c r="D172" s="31"/>
      <c r="E172" s="31"/>
    </row>
    <row r="173" spans="3:5">
      <c r="C173" s="31"/>
      <c r="D173" s="31"/>
      <c r="E173" s="31"/>
    </row>
    <row r="174" spans="3:5">
      <c r="C174" s="31"/>
      <c r="D174" s="31"/>
      <c r="E174" s="31"/>
    </row>
    <row r="175" spans="3:5">
      <c r="C175" s="31"/>
      <c r="D175" s="31"/>
      <c r="E175" s="31"/>
    </row>
    <row r="176" spans="3:5">
      <c r="C176" s="31"/>
      <c r="D176" s="31"/>
      <c r="E176" s="31"/>
    </row>
    <row r="177" spans="3:5">
      <c r="C177" s="31"/>
      <c r="D177" s="31"/>
      <c r="E177" s="31"/>
    </row>
    <row r="178" spans="3:5">
      <c r="C178" s="31"/>
      <c r="D178" s="31"/>
      <c r="E178" s="31"/>
    </row>
    <row r="179" spans="3:5">
      <c r="C179" s="31"/>
      <c r="D179" s="31"/>
      <c r="E179" s="31"/>
    </row>
    <row r="180" spans="3:5">
      <c r="C180" s="31"/>
      <c r="D180" s="31"/>
      <c r="E180" s="31"/>
    </row>
    <row r="181" spans="3:5">
      <c r="C181" s="31"/>
      <c r="D181" s="31"/>
      <c r="E181" s="31"/>
    </row>
    <row r="182" spans="3:5">
      <c r="C182" s="31"/>
      <c r="D182" s="31"/>
      <c r="E182" s="31"/>
    </row>
    <row r="183" spans="3:5">
      <c r="C183" s="31"/>
      <c r="D183" s="31"/>
      <c r="E183" s="31"/>
    </row>
    <row r="184" spans="3:5">
      <c r="C184" s="31"/>
      <c r="D184" s="31"/>
      <c r="E184" s="31"/>
    </row>
    <row r="185" spans="3:5">
      <c r="C185" s="31"/>
      <c r="D185" s="31"/>
      <c r="E185" s="31"/>
    </row>
    <row r="186" spans="3:5">
      <c r="C186" s="31"/>
      <c r="D186" s="31"/>
      <c r="E186" s="31"/>
    </row>
    <row r="187" spans="3:5">
      <c r="C187" s="31"/>
      <c r="D187" s="31"/>
      <c r="E187" s="31"/>
    </row>
    <row r="188" spans="3:5">
      <c r="C188" s="31"/>
      <c r="D188" s="31"/>
      <c r="E188" s="31"/>
    </row>
    <row r="189" spans="3:5">
      <c r="C189" s="31"/>
      <c r="D189" s="31"/>
      <c r="E189" s="31"/>
    </row>
    <row r="190" spans="3:5">
      <c r="C190" s="31"/>
      <c r="D190" s="31"/>
      <c r="E190" s="31"/>
    </row>
    <row r="191" spans="3:5">
      <c r="C191" s="31"/>
      <c r="D191" s="31"/>
      <c r="E191" s="31"/>
    </row>
    <row r="192" spans="3:5">
      <c r="C192" s="31"/>
      <c r="D192" s="31"/>
      <c r="E192" s="31"/>
    </row>
    <row r="193" spans="3:5">
      <c r="C193" s="31"/>
      <c r="D193" s="31"/>
      <c r="E193" s="31"/>
    </row>
    <row r="194" spans="3:5">
      <c r="C194" s="31"/>
      <c r="D194" s="31"/>
      <c r="E194" s="31"/>
    </row>
    <row r="195" spans="3:5">
      <c r="C195" s="31"/>
      <c r="D195" s="31"/>
      <c r="E195" s="31"/>
    </row>
    <row r="196" spans="3:5">
      <c r="C196" s="31"/>
      <c r="D196" s="31"/>
      <c r="E196" s="31"/>
    </row>
    <row r="197" spans="3:5">
      <c r="C197" s="31"/>
      <c r="D197" s="31"/>
      <c r="E197" s="31"/>
    </row>
    <row r="198" spans="3:5">
      <c r="C198" s="31"/>
      <c r="D198" s="31"/>
      <c r="E198" s="31"/>
    </row>
    <row r="199" spans="3:5">
      <c r="C199" s="31"/>
      <c r="D199" s="31"/>
      <c r="E199" s="31"/>
    </row>
    <row r="200" spans="3:5">
      <c r="C200" s="31"/>
      <c r="D200" s="31"/>
      <c r="E200" s="31"/>
    </row>
    <row r="201" spans="3:5">
      <c r="C201" s="31"/>
      <c r="D201" s="31"/>
      <c r="E201" s="31"/>
    </row>
    <row r="202" spans="3:5">
      <c r="C202" s="31"/>
      <c r="D202" s="31"/>
      <c r="E202" s="31"/>
    </row>
    <row r="203" spans="3:5">
      <c r="C203" s="31"/>
      <c r="D203" s="31"/>
      <c r="E203" s="31"/>
    </row>
    <row r="204" spans="3:5">
      <c r="C204" s="31"/>
      <c r="D204" s="31"/>
      <c r="E204" s="31"/>
    </row>
    <row r="205" spans="3:5">
      <c r="C205" s="31"/>
      <c r="D205" s="31"/>
      <c r="E205" s="31"/>
    </row>
    <row r="206" spans="3:5">
      <c r="C206" s="31"/>
      <c r="D206" s="31"/>
      <c r="E206" s="31"/>
    </row>
    <row r="207" spans="3:5">
      <c r="C207" s="31"/>
      <c r="D207" s="31"/>
      <c r="E207" s="31"/>
    </row>
    <row r="208" spans="3:5">
      <c r="C208" s="31"/>
      <c r="D208" s="31"/>
      <c r="E208" s="31"/>
    </row>
    <row r="209" spans="3:5">
      <c r="C209" s="31"/>
      <c r="D209" s="31"/>
      <c r="E209" s="31"/>
    </row>
    <row r="210" spans="3:5">
      <c r="C210" s="31"/>
      <c r="D210" s="31"/>
      <c r="E210" s="31"/>
    </row>
    <row r="211" spans="3:5">
      <c r="C211" s="31"/>
      <c r="D211" s="31"/>
      <c r="E211" s="31"/>
    </row>
    <row r="212" spans="3:5">
      <c r="C212" s="31"/>
      <c r="D212" s="31"/>
      <c r="E212" s="31"/>
    </row>
    <row r="213" spans="3:5">
      <c r="C213" s="31"/>
      <c r="D213" s="31"/>
      <c r="E213" s="31"/>
    </row>
    <row r="214" spans="3:5">
      <c r="C214" s="31"/>
      <c r="D214" s="31"/>
      <c r="E214" s="31"/>
    </row>
    <row r="215" spans="3:5">
      <c r="C215" s="31"/>
      <c r="D215" s="31"/>
      <c r="E215" s="31"/>
    </row>
    <row r="216" spans="3:5">
      <c r="C216" s="31"/>
      <c r="D216" s="31"/>
      <c r="E216" s="31"/>
    </row>
    <row r="217" spans="3:5">
      <c r="C217" s="31"/>
      <c r="D217" s="31"/>
      <c r="E217" s="31"/>
    </row>
    <row r="218" spans="3:5">
      <c r="C218" s="31"/>
      <c r="D218" s="31"/>
      <c r="E218" s="31"/>
    </row>
    <row r="219" spans="3:5">
      <c r="C219" s="31"/>
      <c r="D219" s="31"/>
      <c r="E219" s="31"/>
    </row>
    <row r="220" spans="3:5">
      <c r="C220" s="31"/>
      <c r="D220" s="31"/>
      <c r="E220" s="31"/>
    </row>
    <row r="221" spans="3:5">
      <c r="C221" s="31"/>
      <c r="D221" s="31"/>
      <c r="E221" s="31"/>
    </row>
    <row r="222" spans="3:5">
      <c r="C222" s="31"/>
      <c r="D222" s="31"/>
      <c r="E222" s="31"/>
    </row>
    <row r="223" spans="3:5">
      <c r="C223" s="31"/>
      <c r="D223" s="31"/>
      <c r="E223" s="31"/>
    </row>
    <row r="224" spans="3:5">
      <c r="C224" s="31"/>
      <c r="D224" s="31"/>
      <c r="E224" s="31"/>
    </row>
    <row r="225" spans="3:5">
      <c r="C225" s="31"/>
      <c r="D225" s="31"/>
      <c r="E225" s="31"/>
    </row>
    <row r="226" spans="3:5">
      <c r="C226" s="31"/>
      <c r="D226" s="31"/>
      <c r="E226" s="31"/>
    </row>
    <row r="227" spans="3:5">
      <c r="C227" s="31"/>
      <c r="D227" s="31"/>
      <c r="E227" s="31"/>
    </row>
    <row r="228" spans="3:5">
      <c r="C228" s="31"/>
      <c r="D228" s="31"/>
      <c r="E228" s="31"/>
    </row>
    <row r="229" spans="3:5">
      <c r="C229" s="31"/>
      <c r="D229" s="31"/>
      <c r="E229" s="31"/>
    </row>
    <row r="230" spans="3:5">
      <c r="C230" s="31"/>
      <c r="D230" s="31"/>
      <c r="E230" s="31"/>
    </row>
    <row r="231" spans="3:5">
      <c r="C231" s="31"/>
      <c r="D231" s="31"/>
      <c r="E231" s="31"/>
    </row>
    <row r="232" spans="3:5">
      <c r="C232" s="31"/>
      <c r="D232" s="31"/>
      <c r="E232" s="31"/>
    </row>
    <row r="233" spans="3:5">
      <c r="C233" s="31"/>
      <c r="D233" s="31"/>
      <c r="E233" s="31"/>
    </row>
    <row r="234" spans="3:5">
      <c r="C234" s="31"/>
      <c r="D234" s="31"/>
      <c r="E234" s="31"/>
    </row>
    <row r="235" spans="3:5">
      <c r="C235" s="31"/>
      <c r="D235" s="31"/>
      <c r="E235" s="31"/>
    </row>
    <row r="236" spans="3:5">
      <c r="C236" s="31"/>
      <c r="D236" s="31"/>
      <c r="E236" s="31"/>
    </row>
    <row r="237" spans="3:5">
      <c r="C237" s="31"/>
      <c r="D237" s="31"/>
      <c r="E237" s="31"/>
    </row>
    <row r="238" spans="3:5">
      <c r="C238" s="31"/>
      <c r="D238" s="31"/>
      <c r="E238" s="31"/>
    </row>
    <row r="239" spans="3:5">
      <c r="C239" s="31"/>
      <c r="D239" s="31"/>
      <c r="E239" s="31"/>
    </row>
    <row r="240" spans="3:5">
      <c r="C240" s="31"/>
      <c r="D240" s="31"/>
      <c r="E240" s="31"/>
    </row>
    <row r="241" spans="3:5">
      <c r="C241" s="31"/>
      <c r="D241" s="31"/>
      <c r="E241" s="31"/>
    </row>
    <row r="242" spans="3:5">
      <c r="C242" s="31"/>
      <c r="D242" s="31"/>
      <c r="E242" s="31"/>
    </row>
    <row r="243" spans="3:5">
      <c r="C243" s="31"/>
      <c r="D243" s="31"/>
      <c r="E243" s="31"/>
    </row>
    <row r="244" spans="3:5">
      <c r="C244" s="31"/>
      <c r="D244" s="31"/>
      <c r="E244" s="31"/>
    </row>
    <row r="245" spans="3:5">
      <c r="C245" s="31"/>
      <c r="D245" s="31"/>
      <c r="E245" s="31"/>
    </row>
    <row r="246" spans="3:5">
      <c r="C246" s="31"/>
      <c r="D246" s="31"/>
      <c r="E246" s="31"/>
    </row>
    <row r="247" spans="3:5">
      <c r="C247" s="31"/>
      <c r="D247" s="31"/>
      <c r="E247" s="31"/>
    </row>
    <row r="248" spans="3:5">
      <c r="C248" s="31"/>
      <c r="D248" s="31"/>
      <c r="E248" s="31"/>
    </row>
    <row r="249" spans="3:5">
      <c r="C249" s="31"/>
      <c r="D249" s="31"/>
      <c r="E249" s="31"/>
    </row>
    <row r="250" spans="3:5">
      <c r="C250" s="31"/>
      <c r="D250" s="31"/>
      <c r="E250" s="31"/>
    </row>
    <row r="251" spans="3:5">
      <c r="C251" s="31"/>
      <c r="D251" s="31"/>
      <c r="E251" s="31"/>
    </row>
    <row r="252" spans="3:5">
      <c r="C252" s="31"/>
      <c r="D252" s="31"/>
      <c r="E252" s="31"/>
    </row>
    <row r="253" spans="3:5">
      <c r="C253" s="31"/>
      <c r="D253" s="31"/>
      <c r="E253" s="31"/>
    </row>
    <row r="254" spans="3:5">
      <c r="C254" s="31"/>
      <c r="D254" s="31"/>
      <c r="E254" s="31"/>
    </row>
    <row r="255" spans="3:5">
      <c r="C255" s="31"/>
      <c r="D255" s="31"/>
      <c r="E255" s="31"/>
    </row>
    <row r="256" spans="3:5">
      <c r="C256" s="31"/>
      <c r="D256" s="31"/>
      <c r="E256" s="31"/>
    </row>
    <row r="257" spans="3:5">
      <c r="C257" s="31"/>
      <c r="D257" s="31"/>
      <c r="E257" s="31"/>
    </row>
    <row r="258" spans="3:5">
      <c r="C258" s="31"/>
      <c r="D258" s="31"/>
      <c r="E258" s="31"/>
    </row>
    <row r="259" spans="3:5">
      <c r="C259" s="31"/>
      <c r="D259" s="31"/>
      <c r="E259" s="31"/>
    </row>
    <row r="260" spans="3:5">
      <c r="C260" s="31"/>
      <c r="D260" s="31"/>
      <c r="E260" s="31"/>
    </row>
    <row r="261" spans="3:5">
      <c r="C261" s="31"/>
      <c r="D261" s="31"/>
      <c r="E261" s="31"/>
    </row>
    <row r="262" spans="3:5">
      <c r="C262" s="31"/>
      <c r="D262" s="31"/>
      <c r="E262" s="31"/>
    </row>
    <row r="263" spans="3:5">
      <c r="C263" s="31"/>
      <c r="D263" s="31"/>
      <c r="E263" s="31"/>
    </row>
    <row r="264" spans="3:5">
      <c r="C264" s="31"/>
      <c r="D264" s="31"/>
      <c r="E264" s="31"/>
    </row>
    <row r="265" spans="3:5">
      <c r="C265" s="31"/>
      <c r="D265" s="31"/>
      <c r="E265" s="31"/>
    </row>
    <row r="266" spans="3:5">
      <c r="C266" s="31"/>
      <c r="D266" s="31"/>
      <c r="E266" s="31"/>
    </row>
    <row r="267" spans="3:5">
      <c r="C267" s="31"/>
      <c r="D267" s="31"/>
      <c r="E267" s="31"/>
    </row>
    <row r="268" spans="3:5">
      <c r="C268" s="31"/>
      <c r="D268" s="31"/>
      <c r="E268" s="31"/>
    </row>
    <row r="269" spans="3:5">
      <c r="C269" s="31"/>
      <c r="D269" s="31"/>
      <c r="E269" s="31"/>
    </row>
    <row r="270" spans="3:5">
      <c r="C270" s="31"/>
      <c r="D270" s="31"/>
      <c r="E270" s="31"/>
    </row>
    <row r="271" spans="3:5">
      <c r="C271" s="31"/>
      <c r="D271" s="31"/>
      <c r="E271" s="31"/>
    </row>
    <row r="272" spans="3:5">
      <c r="C272" s="31"/>
      <c r="D272" s="31"/>
      <c r="E272" s="31"/>
    </row>
    <row r="273" spans="3:5">
      <c r="C273" s="31"/>
      <c r="D273" s="31"/>
      <c r="E273" s="31"/>
    </row>
    <row r="274" spans="3:5">
      <c r="C274" s="31"/>
      <c r="D274" s="31"/>
      <c r="E274" s="31"/>
    </row>
    <row r="275" spans="3:5">
      <c r="C275" s="31"/>
      <c r="D275" s="31"/>
      <c r="E275" s="31"/>
    </row>
    <row r="276" spans="3:5">
      <c r="C276" s="31"/>
      <c r="D276" s="31"/>
      <c r="E276" s="31"/>
    </row>
    <row r="277" spans="3:5">
      <c r="C277" s="31"/>
      <c r="D277" s="31"/>
      <c r="E277" s="31"/>
    </row>
    <row r="278" spans="3:5">
      <c r="C278" s="31"/>
      <c r="D278" s="31"/>
      <c r="E278" s="31"/>
    </row>
    <row r="279" spans="3:5">
      <c r="C279" s="31"/>
      <c r="D279" s="31"/>
      <c r="E279" s="31"/>
    </row>
    <row r="280" spans="3:5">
      <c r="C280" s="31"/>
      <c r="D280" s="31"/>
      <c r="E280" s="31"/>
    </row>
  </sheetData>
  <sheetProtection sheet="1" objects="1" scenarios="1"/>
  <mergeCells count="17">
    <mergeCell ref="B51:B57"/>
    <mergeCell ref="B37:B42"/>
    <mergeCell ref="B58:B66"/>
    <mergeCell ref="H58:H66"/>
    <mergeCell ref="F2:G2"/>
    <mergeCell ref="H30:H36"/>
    <mergeCell ref="H37:H42"/>
    <mergeCell ref="H43:H50"/>
    <mergeCell ref="H4:H12"/>
    <mergeCell ref="H13:H21"/>
    <mergeCell ref="H22:H29"/>
    <mergeCell ref="B22:B29"/>
    <mergeCell ref="B4:B12"/>
    <mergeCell ref="B13:B21"/>
    <mergeCell ref="B43:B50"/>
    <mergeCell ref="H51:H57"/>
    <mergeCell ref="B30:B3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245</vt:i4>
      </vt:variant>
    </vt:vector>
  </HeadingPairs>
  <TitlesOfParts>
    <vt:vector size="250" baseType="lpstr">
      <vt:lpstr>Combined Gradation</vt:lpstr>
      <vt:lpstr>Mix Design</vt:lpstr>
      <vt:lpstr>Std Spec GRADATIONS</vt:lpstr>
      <vt:lpstr>Power 45 Chart</vt:lpstr>
      <vt:lpstr>Gradation Chart</vt:lpstr>
      <vt:lpstr>Bin1Aggr</vt:lpstr>
      <vt:lpstr>Bin1Frac</vt:lpstr>
      <vt:lpstr>Bin1samp</vt:lpstr>
      <vt:lpstr>Bin1Source</vt:lpstr>
      <vt:lpstr>Bin2Aggr</vt:lpstr>
      <vt:lpstr>Bin2Frac</vt:lpstr>
      <vt:lpstr>Bin2Samp</vt:lpstr>
      <vt:lpstr>Bin2Source</vt:lpstr>
      <vt:lpstr>Bin3Aggr</vt:lpstr>
      <vt:lpstr>Bin3Frac</vt:lpstr>
      <vt:lpstr>Bin3Samp</vt:lpstr>
      <vt:lpstr>Bin3Source</vt:lpstr>
      <vt:lpstr>Bin4Aggr</vt:lpstr>
      <vt:lpstr>Bin4Frac</vt:lpstr>
      <vt:lpstr>Bin4Samp</vt:lpstr>
      <vt:lpstr>Bin4Source</vt:lpstr>
      <vt:lpstr>Bin5Aggr</vt:lpstr>
      <vt:lpstr>Bin5Frac</vt:lpstr>
      <vt:lpstr>Bin5Samp</vt:lpstr>
      <vt:lpstr>Bin5Source</vt:lpstr>
      <vt:lpstr>Bin6Aggr</vt:lpstr>
      <vt:lpstr>Bin6Frac</vt:lpstr>
      <vt:lpstr>Bin6Samp</vt:lpstr>
      <vt:lpstr>Bin6Source</vt:lpstr>
      <vt:lpstr>Bin7Aggr</vt:lpstr>
      <vt:lpstr>Bin7Frac</vt:lpstr>
      <vt:lpstr>Bin7Samp</vt:lpstr>
      <vt:lpstr>Bin7Source</vt:lpstr>
      <vt:lpstr>ccsj</vt:lpstr>
      <vt:lpstr>CombGrad</vt:lpstr>
      <vt:lpstr>county</vt:lpstr>
      <vt:lpstr>courselift</vt:lpstr>
      <vt:lpstr>distfromcl</vt:lpstr>
      <vt:lpstr>field1</vt:lpstr>
      <vt:lpstr>Field10</vt:lpstr>
      <vt:lpstr>Field100</vt:lpstr>
      <vt:lpstr>Field101</vt:lpstr>
      <vt:lpstr>Field102</vt:lpstr>
      <vt:lpstr>Field103</vt:lpstr>
      <vt:lpstr>Field104</vt:lpstr>
      <vt:lpstr>Field11</vt:lpstr>
      <vt:lpstr>Field115</vt:lpstr>
      <vt:lpstr>Field116</vt:lpstr>
      <vt:lpstr>Field117</vt:lpstr>
      <vt:lpstr>Field12</vt:lpstr>
      <vt:lpstr>Field13</vt:lpstr>
      <vt:lpstr>Field14</vt:lpstr>
      <vt:lpstr>Field15</vt:lpstr>
      <vt:lpstr>Field16</vt:lpstr>
      <vt:lpstr>Field17</vt:lpstr>
      <vt:lpstr>Field18</vt:lpstr>
      <vt:lpstr>Field19</vt:lpstr>
      <vt:lpstr>Field20</vt:lpstr>
      <vt:lpstr>Field21</vt:lpstr>
      <vt:lpstr>Field22</vt:lpstr>
      <vt:lpstr>Field23</vt:lpstr>
      <vt:lpstr>Field24</vt:lpstr>
      <vt:lpstr>Field25</vt:lpstr>
      <vt:lpstr>Field26</vt:lpstr>
      <vt:lpstr>Field27</vt:lpstr>
      <vt:lpstr>Field3</vt:lpstr>
      <vt:lpstr>Field4</vt:lpstr>
      <vt:lpstr>Field42</vt:lpstr>
      <vt:lpstr>Field425</vt:lpstr>
      <vt:lpstr>Field426</vt:lpstr>
      <vt:lpstr>Field427</vt:lpstr>
      <vt:lpstr>Field428</vt:lpstr>
      <vt:lpstr>Field429</vt:lpstr>
      <vt:lpstr>Field43</vt:lpstr>
      <vt:lpstr>Field430</vt:lpstr>
      <vt:lpstr>Field431</vt:lpstr>
      <vt:lpstr>Field432</vt:lpstr>
      <vt:lpstr>Field433</vt:lpstr>
      <vt:lpstr>Field434</vt:lpstr>
      <vt:lpstr>Field435</vt:lpstr>
      <vt:lpstr>Field436</vt:lpstr>
      <vt:lpstr>Field437</vt:lpstr>
      <vt:lpstr>Field438</vt:lpstr>
      <vt:lpstr>Field439</vt:lpstr>
      <vt:lpstr>Field44</vt:lpstr>
      <vt:lpstr>Field440</vt:lpstr>
      <vt:lpstr>Field441</vt:lpstr>
      <vt:lpstr>Field442</vt:lpstr>
      <vt:lpstr>Field443</vt:lpstr>
      <vt:lpstr>Field444</vt:lpstr>
      <vt:lpstr>Field445</vt:lpstr>
      <vt:lpstr>Field446</vt:lpstr>
      <vt:lpstr>Field447</vt:lpstr>
      <vt:lpstr>Field448</vt:lpstr>
      <vt:lpstr>Field449</vt:lpstr>
      <vt:lpstr>Field45</vt:lpstr>
      <vt:lpstr>Field450</vt:lpstr>
      <vt:lpstr>Field451</vt:lpstr>
      <vt:lpstr>Field452</vt:lpstr>
      <vt:lpstr>Field453</vt:lpstr>
      <vt:lpstr>Field454</vt:lpstr>
      <vt:lpstr>Field455</vt:lpstr>
      <vt:lpstr>Field456</vt:lpstr>
      <vt:lpstr>Field457</vt:lpstr>
      <vt:lpstr>Field458</vt:lpstr>
      <vt:lpstr>Field459</vt:lpstr>
      <vt:lpstr>Field46</vt:lpstr>
      <vt:lpstr>Field460</vt:lpstr>
      <vt:lpstr>Field461</vt:lpstr>
      <vt:lpstr>Field462</vt:lpstr>
      <vt:lpstr>Field463</vt:lpstr>
      <vt:lpstr>Field47</vt:lpstr>
      <vt:lpstr>Field48</vt:lpstr>
      <vt:lpstr>Field49</vt:lpstr>
      <vt:lpstr>Field50</vt:lpstr>
      <vt:lpstr>Field51</vt:lpstr>
      <vt:lpstr>Field52</vt:lpstr>
      <vt:lpstr>Field53</vt:lpstr>
      <vt:lpstr>Field54</vt:lpstr>
      <vt:lpstr>Field55</vt:lpstr>
      <vt:lpstr>Field56</vt:lpstr>
      <vt:lpstr>Field57</vt:lpstr>
      <vt:lpstr>Field58</vt:lpstr>
      <vt:lpstr>Field59</vt:lpstr>
      <vt:lpstr>Field6</vt:lpstr>
      <vt:lpstr>Field60</vt:lpstr>
      <vt:lpstr>Field61</vt:lpstr>
      <vt:lpstr>Field62</vt:lpstr>
      <vt:lpstr>Field63</vt:lpstr>
      <vt:lpstr>Field64</vt:lpstr>
      <vt:lpstr>Field65</vt:lpstr>
      <vt:lpstr>Field66</vt:lpstr>
      <vt:lpstr>Field67</vt:lpstr>
      <vt:lpstr>Field68</vt:lpstr>
      <vt:lpstr>Field69</vt:lpstr>
      <vt:lpstr>Field7</vt:lpstr>
      <vt:lpstr>Field70</vt:lpstr>
      <vt:lpstr>Field71</vt:lpstr>
      <vt:lpstr>Field72</vt:lpstr>
      <vt:lpstr>Field73</vt:lpstr>
      <vt:lpstr>Field74</vt:lpstr>
      <vt:lpstr>Field75</vt:lpstr>
      <vt:lpstr>Field76</vt:lpstr>
      <vt:lpstr>Field77</vt:lpstr>
      <vt:lpstr>Field78</vt:lpstr>
      <vt:lpstr>Field79</vt:lpstr>
      <vt:lpstr>Field8</vt:lpstr>
      <vt:lpstr>Field80</vt:lpstr>
      <vt:lpstr>Field81</vt:lpstr>
      <vt:lpstr>Field82</vt:lpstr>
      <vt:lpstr>Field83</vt:lpstr>
      <vt:lpstr>Field84</vt:lpstr>
      <vt:lpstr>Field85</vt:lpstr>
      <vt:lpstr>Field86</vt:lpstr>
      <vt:lpstr>Field87</vt:lpstr>
      <vt:lpstr>Field88</vt:lpstr>
      <vt:lpstr>Field89</vt:lpstr>
      <vt:lpstr>Field9</vt:lpstr>
      <vt:lpstr>Field90</vt:lpstr>
      <vt:lpstr>Field91</vt:lpstr>
      <vt:lpstr>Field92</vt:lpstr>
      <vt:lpstr>Field93</vt:lpstr>
      <vt:lpstr>Field94</vt:lpstr>
      <vt:lpstr>Field95</vt:lpstr>
      <vt:lpstr>Field96</vt:lpstr>
      <vt:lpstr>Field97</vt:lpstr>
      <vt:lpstr>Field98</vt:lpstr>
      <vt:lpstr>Field99</vt:lpstr>
      <vt:lpstr>Grade</vt:lpstr>
      <vt:lpstr>GradeShown_on_plans</vt:lpstr>
      <vt:lpstr>gtbl</vt:lpstr>
      <vt:lpstr>lettingdate</vt:lpstr>
      <vt:lpstr>LowerLimits45</vt:lpstr>
      <vt:lpstr>LowerSpecLimit</vt:lpstr>
      <vt:lpstr>MaxDensityLine45a</vt:lpstr>
      <vt:lpstr>MaxDensityLine45b</vt:lpstr>
      <vt:lpstr>MixDes1</vt:lpstr>
      <vt:lpstr>Mixdes2</vt:lpstr>
      <vt:lpstr>MixDes3</vt:lpstr>
      <vt:lpstr>Mixdes4</vt:lpstr>
      <vt:lpstr>MixDes5</vt:lpstr>
      <vt:lpstr>MixDes6</vt:lpstr>
      <vt:lpstr>MixDes7</vt:lpstr>
      <vt:lpstr>MixDes8</vt:lpstr>
      <vt:lpstr>P45Sieve</vt:lpstr>
      <vt:lpstr>PercentPassing45</vt:lpstr>
      <vt:lpstr>'Combined Gradation'!Print_Area</vt:lpstr>
      <vt:lpstr>'Mix Design'!Print_Area</vt:lpstr>
      <vt:lpstr>Revieweddate</vt:lpstr>
      <vt:lpstr>ReviewPerson</vt:lpstr>
      <vt:lpstr>sampledby</vt:lpstr>
      <vt:lpstr>sampleddate</vt:lpstr>
      <vt:lpstr>sampleid</vt:lpstr>
      <vt:lpstr>samplelocation</vt:lpstr>
      <vt:lpstr>Shown_on_plans</vt:lpstr>
      <vt:lpstr>sieve1</vt:lpstr>
      <vt:lpstr>sieve10</vt:lpstr>
      <vt:lpstr>sieve11</vt:lpstr>
      <vt:lpstr>sieve2</vt:lpstr>
      <vt:lpstr>sieve3</vt:lpstr>
      <vt:lpstr>sieve4</vt:lpstr>
      <vt:lpstr>sieve5</vt:lpstr>
      <vt:lpstr>sieve6</vt:lpstr>
      <vt:lpstr>sieve7</vt:lpstr>
      <vt:lpstr>sieve8</vt:lpstr>
      <vt:lpstr>sieve9</vt:lpstr>
      <vt:lpstr>sievemeasurement45</vt:lpstr>
      <vt:lpstr>sievesize45</vt:lpstr>
      <vt:lpstr>sievesizes</vt:lpstr>
      <vt:lpstr>sn</vt:lpstr>
      <vt:lpstr>Spec1</vt:lpstr>
      <vt:lpstr>Spec2</vt:lpstr>
      <vt:lpstr>Spec3</vt:lpstr>
      <vt:lpstr>Spec4</vt:lpstr>
      <vt:lpstr>Spec5</vt:lpstr>
      <vt:lpstr>Spec6</vt:lpstr>
      <vt:lpstr>Spec7</vt:lpstr>
      <vt:lpstr>Spec8</vt:lpstr>
      <vt:lpstr>specialprovision</vt:lpstr>
      <vt:lpstr>specitem</vt:lpstr>
      <vt:lpstr>SSize1</vt:lpstr>
      <vt:lpstr>SSize10</vt:lpstr>
      <vt:lpstr>SSize11</vt:lpstr>
      <vt:lpstr>SSize2</vt:lpstr>
      <vt:lpstr>SSize3</vt:lpstr>
      <vt:lpstr>SSize4</vt:lpstr>
      <vt:lpstr>SSize5</vt:lpstr>
      <vt:lpstr>SSize6</vt:lpstr>
      <vt:lpstr>SSize7</vt:lpstr>
      <vt:lpstr>SSize8</vt:lpstr>
      <vt:lpstr>SSize9</vt:lpstr>
      <vt:lpstr>station</vt:lpstr>
      <vt:lpstr>status</vt:lpstr>
      <vt:lpstr>status\</vt:lpstr>
      <vt:lpstr>Test1</vt:lpstr>
      <vt:lpstr>TestDate1</vt:lpstr>
      <vt:lpstr>TestDate2</vt:lpstr>
      <vt:lpstr>testnumber</vt:lpstr>
      <vt:lpstr>TestPerson1</vt:lpstr>
      <vt:lpstr>TestPerson2</vt:lpstr>
      <vt:lpstr>TodaysDate</vt:lpstr>
      <vt:lpstr>Type_A</vt:lpstr>
      <vt:lpstr>Type_B</vt:lpstr>
      <vt:lpstr>Type_C</vt:lpstr>
      <vt:lpstr>Type_CMHB_C</vt:lpstr>
      <vt:lpstr>Type_CMHB_F</vt:lpstr>
      <vt:lpstr>Type_D</vt:lpstr>
      <vt:lpstr>Type_F</vt:lpstr>
      <vt:lpstr>UpperLimits45</vt:lpstr>
      <vt:lpstr>UpperSpecLimit</vt:lpstr>
    </vt:vector>
  </TitlesOfParts>
  <Company>TxDOT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DEWITT</dc:creator>
  <cp:lastModifiedBy>COEAdmin</cp:lastModifiedBy>
  <cp:lastPrinted>2016-11-10T18:35:49Z</cp:lastPrinted>
  <dcterms:created xsi:type="dcterms:W3CDTF">2001-01-26T17:31:04Z</dcterms:created>
  <dcterms:modified xsi:type="dcterms:W3CDTF">2016-11-14T19:04:41Z</dcterms:modified>
</cp:coreProperties>
</file>