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pietario\Downloads\Admin Finan\Parcial 2\Alsea\"/>
    </mc:Choice>
  </mc:AlternateContent>
  <xr:revisionPtr revIDLastSave="0" documentId="13_ncr:1_{F103FF26-1A98-4537-AD6A-F660EF879B35}" xr6:coauthVersionLast="46" xr6:coauthVersionMax="46" xr10:uidLastSave="{00000000-0000-0000-0000-000000000000}"/>
  <bookViews>
    <workbookView xWindow="15630" yWindow="3090" windowWidth="18900" windowHeight="11055" xr2:uid="{63312F0F-4E9F-4150-A991-3B359F5ECF5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1" i="1" l="1"/>
  <c r="D81" i="1"/>
  <c r="D17" i="1"/>
  <c r="B17" i="1"/>
  <c r="D16" i="1"/>
  <c r="D15" i="1"/>
  <c r="D14" i="1"/>
  <c r="D13" i="1"/>
  <c r="D12" i="1"/>
  <c r="I42" i="1"/>
  <c r="I41" i="1"/>
  <c r="I25" i="1"/>
  <c r="B49" i="1"/>
  <c r="E41" i="1"/>
  <c r="A45" i="1"/>
  <c r="D77" i="1"/>
  <c r="B66" i="1"/>
  <c r="D72" i="1"/>
  <c r="B79" i="1" l="1"/>
  <c r="I24" i="1"/>
  <c r="O25" i="1"/>
  <c r="O26" i="1"/>
  <c r="I46" i="1"/>
  <c r="I35" i="1" l="1"/>
  <c r="O31" i="1"/>
  <c r="H51" i="1"/>
  <c r="H54" i="1" s="1"/>
  <c r="D45" i="1"/>
  <c r="B51" i="1"/>
  <c r="J46" i="1" s="1"/>
  <c r="I43" i="1" l="1"/>
  <c r="J43" i="1" s="1"/>
  <c r="J42" i="1"/>
  <c r="H57" i="1"/>
  <c r="I58" i="1" s="1"/>
  <c r="O27" i="1" s="1"/>
  <c r="O28" i="1" s="1"/>
  <c r="O32" i="1" s="1"/>
  <c r="D59" i="1"/>
  <c r="D55" i="1"/>
  <c r="B63" i="1"/>
  <c r="B77" i="1"/>
  <c r="B23" i="1"/>
  <c r="B26" i="1" s="1"/>
  <c r="B28" i="1" s="1"/>
  <c r="B30" i="1" s="1"/>
  <c r="B37" i="1"/>
  <c r="B43" i="1" l="1"/>
  <c r="E56" i="1"/>
  <c r="E60" i="1"/>
  <c r="E48" i="1"/>
  <c r="E49" i="1"/>
  <c r="B42" i="1" s="1"/>
  <c r="B34" i="1"/>
  <c r="B35" i="1"/>
  <c r="D52" i="1" l="1"/>
  <c r="I44" i="1" s="1"/>
  <c r="B41" i="1"/>
  <c r="B68" i="1"/>
  <c r="B70" i="1" s="1"/>
  <c r="B75" i="1" s="1"/>
  <c r="B74" i="1"/>
  <c r="B36" i="1"/>
  <c r="B38" i="1" s="1"/>
  <c r="S7" i="1"/>
  <c r="S8" i="1"/>
  <c r="S11" i="1"/>
  <c r="S15" i="1"/>
  <c r="S6" i="1"/>
  <c r="M6" i="1"/>
  <c r="M7" i="1"/>
  <c r="M8" i="1"/>
  <c r="M9" i="1"/>
  <c r="M12" i="1"/>
  <c r="M13" i="1"/>
  <c r="M14" i="1"/>
  <c r="M15" i="1"/>
  <c r="M5" i="1"/>
  <c r="F5" i="1"/>
  <c r="F7" i="1"/>
  <c r="F4" i="1"/>
  <c r="Q12" i="1"/>
  <c r="I29" i="1" l="1"/>
  <c r="I45" i="1"/>
  <c r="I47" i="1" s="1"/>
  <c r="J44" i="1"/>
  <c r="B76" i="1"/>
  <c r="B78" i="1" s="1"/>
  <c r="B80" i="1" s="1"/>
  <c r="E7" i="1"/>
  <c r="E5" i="1"/>
  <c r="C7" i="1"/>
  <c r="C5" i="1"/>
  <c r="O12" i="1"/>
  <c r="Q9" i="1"/>
  <c r="Q13" i="1" s="1"/>
  <c r="O9" i="1"/>
  <c r="K16" i="1"/>
  <c r="I16" i="1"/>
  <c r="M16" i="1" s="1"/>
  <c r="K10" i="1"/>
  <c r="K17" i="1" s="1"/>
  <c r="L7" i="1" s="1"/>
  <c r="I10" i="1"/>
  <c r="M10" i="1" s="1"/>
  <c r="B6" i="1"/>
  <c r="D6" i="1"/>
  <c r="D8" i="1" s="1"/>
  <c r="I36" i="1" l="1"/>
  <c r="J29" i="1" s="1"/>
  <c r="J47" i="1"/>
  <c r="O35" i="1"/>
  <c r="J45" i="1"/>
  <c r="E8" i="1"/>
  <c r="Q16" i="1"/>
  <c r="Q17" i="1" s="1"/>
  <c r="B8" i="1"/>
  <c r="F8" i="1" s="1"/>
  <c r="F6" i="1"/>
  <c r="O13" i="1"/>
  <c r="S13" i="1" s="1"/>
  <c r="S12" i="1"/>
  <c r="L16" i="1"/>
  <c r="B12" i="1"/>
  <c r="F12" i="1" s="1"/>
  <c r="S9" i="1"/>
  <c r="L8" i="1"/>
  <c r="L10" i="1"/>
  <c r="O16" i="1"/>
  <c r="S16" i="1" s="1"/>
  <c r="B16" i="1"/>
  <c r="E16" i="1" s="1"/>
  <c r="L9" i="1"/>
  <c r="L13" i="1"/>
  <c r="L12" i="1"/>
  <c r="C6" i="1"/>
  <c r="L5" i="1"/>
  <c r="L14" i="1"/>
  <c r="I17" i="1"/>
  <c r="B13" i="1"/>
  <c r="F13" i="1" s="1"/>
  <c r="L6" i="1"/>
  <c r="L15" i="1"/>
  <c r="E6" i="1"/>
  <c r="J27" i="1" l="1"/>
  <c r="J35" i="1"/>
  <c r="J34" i="1"/>
  <c r="J32" i="1"/>
  <c r="J26" i="1"/>
  <c r="J31" i="1"/>
  <c r="J28" i="1"/>
  <c r="J33" i="1"/>
  <c r="J25" i="1"/>
  <c r="J24" i="1"/>
  <c r="C8" i="1"/>
  <c r="O36" i="1"/>
  <c r="O37" i="1" s="1"/>
  <c r="P35" i="1" s="1"/>
  <c r="Q18" i="1"/>
  <c r="B14" i="1"/>
  <c r="F14" i="1" s="1"/>
  <c r="E17" i="1"/>
  <c r="J16" i="1"/>
  <c r="M17" i="1"/>
  <c r="J10" i="1"/>
  <c r="J9" i="1"/>
  <c r="J8" i="1"/>
  <c r="J15" i="1"/>
  <c r="J14" i="1"/>
  <c r="J7" i="1"/>
  <c r="J6" i="1"/>
  <c r="J5" i="1"/>
  <c r="J12" i="1"/>
  <c r="J13" i="1"/>
  <c r="O17" i="1"/>
  <c r="S17" i="1" s="1"/>
  <c r="R6" i="1" l="1"/>
  <c r="R16" i="1"/>
  <c r="R8" i="1"/>
  <c r="R15" i="1"/>
  <c r="R9" i="1"/>
  <c r="R7" i="1"/>
  <c r="R13" i="1"/>
  <c r="R11" i="1"/>
  <c r="P36" i="1"/>
  <c r="P27" i="1"/>
  <c r="P32" i="1"/>
  <c r="P31" i="1"/>
  <c r="P30" i="1"/>
  <c r="P25" i="1"/>
  <c r="P28" i="1"/>
  <c r="P34" i="1"/>
  <c r="P26" i="1"/>
  <c r="R12" i="1"/>
  <c r="R17" i="1"/>
  <c r="O18" i="1"/>
  <c r="S18" i="1" s="1"/>
  <c r="P17" i="1"/>
  <c r="B15" i="1"/>
  <c r="F15" i="1" s="1"/>
  <c r="P6" i="1" l="1"/>
  <c r="P8" i="1"/>
  <c r="P11" i="1"/>
  <c r="P7" i="1"/>
  <c r="P13" i="1"/>
  <c r="P12" i="1"/>
  <c r="P9" i="1"/>
  <c r="P15" i="1"/>
  <c r="P16" i="1"/>
</calcChain>
</file>

<file path=xl/sharedStrings.xml><?xml version="1.0" encoding="utf-8"?>
<sst xmlns="http://schemas.openxmlformats.org/spreadsheetml/2006/main" count="144" uniqueCount="71">
  <si>
    <t>Alsea SAB</t>
  </si>
  <si>
    <t>Estado de Resultados comparativo</t>
  </si>
  <si>
    <t>Ventas netas</t>
  </si>
  <si>
    <t>Costo de ventas</t>
  </si>
  <si>
    <t>Utilidad bruta</t>
  </si>
  <si>
    <t>Gastos de operación</t>
  </si>
  <si>
    <t>Utilidad neta</t>
  </si>
  <si>
    <t>Estado de situación financiera comparativo</t>
  </si>
  <si>
    <t>Activo</t>
  </si>
  <si>
    <t>Circulante</t>
  </si>
  <si>
    <t>Efectivo y equivalentes</t>
  </si>
  <si>
    <t xml:space="preserve">Inventarios </t>
  </si>
  <si>
    <t>Clientes</t>
  </si>
  <si>
    <t>Deudores</t>
  </si>
  <si>
    <t>Documentos por cobrar</t>
  </si>
  <si>
    <t>Activo circulante</t>
  </si>
  <si>
    <t>Fijo</t>
  </si>
  <si>
    <t>Pasivo</t>
  </si>
  <si>
    <t>Terrenos y edificios</t>
  </si>
  <si>
    <t>Mobiliario</t>
  </si>
  <si>
    <t>Equipo de reparto</t>
  </si>
  <si>
    <t>Equipo de cómputo</t>
  </si>
  <si>
    <t>Activo fijo</t>
  </si>
  <si>
    <t>Total de activo</t>
  </si>
  <si>
    <t>Proveedores</t>
  </si>
  <si>
    <t>Acreedores</t>
  </si>
  <si>
    <t>Documentos por pagar</t>
  </si>
  <si>
    <t>Pasico circulante</t>
  </si>
  <si>
    <t>Doctos por pagar</t>
  </si>
  <si>
    <t>Pasivo fijo</t>
  </si>
  <si>
    <t>Pasivo total</t>
  </si>
  <si>
    <t>Capital</t>
  </si>
  <si>
    <t>Capital social</t>
  </si>
  <si>
    <t>Capital total</t>
  </si>
  <si>
    <t>Suma de pasivo y capital</t>
  </si>
  <si>
    <t>Fenomenos economicos</t>
  </si>
  <si>
    <t xml:space="preserve">Razones </t>
  </si>
  <si>
    <t>Diferencias</t>
  </si>
  <si>
    <t>Financieras (RF)</t>
  </si>
  <si>
    <t>Estandar (RE)</t>
  </si>
  <si>
    <t>+</t>
  </si>
  <si>
    <t>-</t>
  </si>
  <si>
    <t>Liquidez</t>
  </si>
  <si>
    <t>Solvencia</t>
  </si>
  <si>
    <t>Estabilidad economica</t>
  </si>
  <si>
    <t>Inmovilizacion de capital</t>
  </si>
  <si>
    <t>Rentabilidad en ventas</t>
  </si>
  <si>
    <t>Rentabilidad en Inversion</t>
  </si>
  <si>
    <t>Costos fijos totales</t>
  </si>
  <si>
    <t>Gastos de operacion</t>
  </si>
  <si>
    <t>Costo variable por unidad</t>
  </si>
  <si>
    <t>precio de venta * costo de ventas</t>
  </si>
  <si>
    <t>Precio de venta</t>
  </si>
  <si>
    <t>PE (Ventas)</t>
  </si>
  <si>
    <t>Minimo de ventas</t>
  </si>
  <si>
    <t>Numero de unidades</t>
  </si>
  <si>
    <t>Ventas / Precio de ventas</t>
  </si>
  <si>
    <t>Costo variable total</t>
  </si>
  <si>
    <t>No de unidades*Costo variable unitario</t>
  </si>
  <si>
    <t>Proforma</t>
  </si>
  <si>
    <t>Efectivo y Equivalentes</t>
  </si>
  <si>
    <t>Inventarios</t>
  </si>
  <si>
    <t>PEU (Ventas)</t>
  </si>
  <si>
    <t>Otros productos</t>
  </si>
  <si>
    <t xml:space="preserve">Documentos por pagar </t>
  </si>
  <si>
    <t>Estado de Resultados proforma</t>
  </si>
  <si>
    <t>Estado de situación financiera proforma</t>
  </si>
  <si>
    <t>Estado de Resultados (Proforma PE)</t>
  </si>
  <si>
    <t>Estado de Resultados (Proforma PEU)</t>
  </si>
  <si>
    <t>Utilidad de operación</t>
  </si>
  <si>
    <t>Costos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</si>
</sst>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3" fontId="0" fillId="0" borderId="0" xfId="0" applyNumberFormat="1"/>
    <xf numFmtId="0" fontId="1" fillId="5" borderId="0" xfId="5"/>
    <xf numFmtId="3" fontId="1" fillId="5" borderId="0" xfId="5" applyNumberFormat="1"/>
    <xf numFmtId="9" fontId="1" fillId="5" borderId="0" xfId="5" applyNumberFormat="1"/>
    <xf numFmtId="10" fontId="0" fillId="0" borderId="0" xfId="0" applyNumberFormat="1"/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0" fillId="9" borderId="0" xfId="0" applyFill="1"/>
    <xf numFmtId="3" fontId="0" fillId="9" borderId="0" xfId="0" applyNumberFormat="1" applyFill="1"/>
    <xf numFmtId="10" fontId="0" fillId="9" borderId="0" xfId="0" applyNumberFormat="1" applyFill="1"/>
    <xf numFmtId="2" fontId="3" fillId="3" borderId="0" xfId="3" applyNumberFormat="1"/>
    <xf numFmtId="2" fontId="2" fillId="2" borderId="0" xfId="2" applyNumberFormat="1"/>
    <xf numFmtId="3" fontId="1" fillId="6" borderId="0" xfId="6" applyNumberFormat="1"/>
    <xf numFmtId="0" fontId="0" fillId="0" borderId="0" xfId="1" applyNumberFormat="1" applyFont="1"/>
    <xf numFmtId="0" fontId="0" fillId="11" borderId="0" xfId="0" applyFill="1"/>
    <xf numFmtId="0" fontId="0" fillId="11" borderId="0" xfId="1" applyNumberFormat="1" applyFont="1" applyFill="1"/>
    <xf numFmtId="3" fontId="0" fillId="0" borderId="0" xfId="1" applyNumberFormat="1" applyFont="1"/>
    <xf numFmtId="0" fontId="0" fillId="12" borderId="0" xfId="0" applyFill="1" applyAlignment="1">
      <alignment horizontal="center"/>
    </xf>
    <xf numFmtId="9" fontId="0" fillId="0" borderId="0" xfId="7" applyFont="1"/>
    <xf numFmtId="0" fontId="0" fillId="13" borderId="0" xfId="0" applyFill="1"/>
    <xf numFmtId="3" fontId="0" fillId="13" borderId="0" xfId="0" applyNumberFormat="1" applyFill="1"/>
    <xf numFmtId="3" fontId="1" fillId="0" borderId="0" xfId="5" applyNumberFormat="1" applyFill="1"/>
    <xf numFmtId="9" fontId="1" fillId="0" borderId="0" xfId="5" applyNumberFormat="1" applyFill="1"/>
    <xf numFmtId="3" fontId="0" fillId="0" borderId="0" xfId="0" applyNumberFormat="1" applyFill="1"/>
    <xf numFmtId="10" fontId="0" fillId="0" borderId="0" xfId="0" applyNumberFormat="1" applyFill="1"/>
    <xf numFmtId="0" fontId="4" fillId="0" borderId="0" xfId="4" applyFill="1" applyAlignment="1"/>
    <xf numFmtId="3" fontId="1" fillId="0" borderId="0" xfId="6" applyNumberFormat="1" applyFill="1"/>
    <xf numFmtId="0" fontId="4" fillId="4" borderId="0" xfId="4" applyAlignment="1">
      <alignment horizontal="center"/>
    </xf>
    <xf numFmtId="0" fontId="0" fillId="1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7" borderId="0" xfId="0" applyFill="1" applyAlignment="1">
      <alignment horizontal="center"/>
    </xf>
    <xf numFmtId="4" fontId="0" fillId="0" borderId="0" xfId="0" applyNumberFormat="1"/>
    <xf numFmtId="0" fontId="5" fillId="0" borderId="0" xfId="4" applyFont="1" applyFill="1" applyAlignment="1"/>
    <xf numFmtId="1" fontId="5" fillId="0" borderId="0" xfId="4" applyNumberFormat="1" applyFont="1" applyFill="1" applyAlignment="1"/>
    <xf numFmtId="4" fontId="0" fillId="9" borderId="0" xfId="0" applyNumberFormat="1" applyFill="1"/>
  </cellXfs>
  <cellStyles count="8">
    <cellStyle name="40% - Énfasis1" xfId="5" builtinId="31"/>
    <cellStyle name="40% - Énfasis2" xfId="6" builtinId="35"/>
    <cellStyle name="Bueno" xfId="2" builtinId="26"/>
    <cellStyle name="Incorrecto" xfId="3" builtinId="27"/>
    <cellStyle name="Moneda" xfId="1" builtinId="4"/>
    <cellStyle name="Neutral" xfId="4" builtinId="28"/>
    <cellStyle name="Normal" xfId="0" builtinId="0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17</xdr:row>
      <xdr:rowOff>57150</xdr:rowOff>
    </xdr:from>
    <xdr:to>
      <xdr:col>4</xdr:col>
      <xdr:colOff>314325</xdr:colOff>
      <xdr:row>19</xdr:row>
      <xdr:rowOff>180975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8B2548-E050-46DD-958C-5F127F15700E}"/>
            </a:ext>
          </a:extLst>
        </xdr:cNvPr>
        <xdr:cNvSpPr txBox="1"/>
      </xdr:nvSpPr>
      <xdr:spPr>
        <a:xfrm>
          <a:off x="19050" y="3295650"/>
          <a:ext cx="44481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Calcular el punto de equilibrio, tomando en cuenta que el precio</a:t>
          </a:r>
          <a:r>
            <a:rPr lang="es-MX" sz="1100" baseline="0"/>
            <a:t> de venta unitario es de 400.</a:t>
          </a:r>
          <a:endParaRPr lang="es-MX" sz="1100"/>
        </a:p>
      </xdr:txBody>
    </xdr:sp>
    <xdr:clientData/>
  </xdr:twoCellAnchor>
  <xdr:twoCellAnchor>
    <xdr:from>
      <xdr:col>7</xdr:col>
      <xdr:colOff>38100</xdr:colOff>
      <xdr:row>59</xdr:row>
      <xdr:rowOff>47625</xdr:rowOff>
    </xdr:from>
    <xdr:to>
      <xdr:col>15</xdr:col>
      <xdr:colOff>85725</xdr:colOff>
      <xdr:row>90</xdr:row>
      <xdr:rowOff>76200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D3ADB81-5DB2-4375-8374-194DC1A8CC2A}"/>
            </a:ext>
          </a:extLst>
        </xdr:cNvPr>
        <xdr:cNvSpPr txBox="1"/>
      </xdr:nvSpPr>
      <xdr:spPr>
        <a:xfrm>
          <a:off x="6286500" y="11287125"/>
          <a:ext cx="7248525" cy="5934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Para el estado de resultados:</a:t>
          </a:r>
        </a:p>
        <a:p>
          <a:r>
            <a:rPr lang="es-MX" sz="1100"/>
            <a:t>Podemos observar que las </a:t>
          </a:r>
          <a:r>
            <a:rPr lang="es-MX" sz="1100">
              <a:solidFill>
                <a:srgbClr val="FF0000"/>
              </a:solidFill>
            </a:rPr>
            <a:t>ventas netas </a:t>
          </a:r>
          <a:r>
            <a:rPr lang="es-MX" sz="1100"/>
            <a:t>se incrementaron con respecto al año</a:t>
          </a:r>
          <a:r>
            <a:rPr lang="es-MX" sz="1100" baseline="0"/>
            <a:t> anterior por lo cual la </a:t>
          </a:r>
          <a:r>
            <a:rPr lang="es-MX" sz="1100" baseline="0">
              <a:solidFill>
                <a:srgbClr val="FF0000"/>
              </a:solidFill>
            </a:rPr>
            <a:t>utilidad neta </a:t>
          </a:r>
          <a:r>
            <a:rPr lang="es-MX" sz="1100" baseline="0"/>
            <a:t>tambien se incremento.</a:t>
          </a:r>
        </a:p>
        <a:p>
          <a:endParaRPr lang="es-MX" sz="1100" baseline="0"/>
        </a:p>
        <a:p>
          <a:r>
            <a:rPr lang="es-MX" sz="1100" baseline="0"/>
            <a:t>Para el Estado de situacion financiera:</a:t>
          </a:r>
        </a:p>
        <a:p>
          <a:r>
            <a:rPr lang="es-MX" sz="1100" baseline="0"/>
            <a:t>Podemos observar que </a:t>
          </a:r>
          <a:r>
            <a:rPr lang="es-MX" sz="1100" baseline="0">
              <a:solidFill>
                <a:srgbClr val="FF0000"/>
              </a:solidFill>
            </a:rPr>
            <a:t>efectivo y equivalentes </a:t>
          </a:r>
          <a:r>
            <a:rPr lang="es-MX" sz="1100" baseline="0"/>
            <a:t>se incremento bastante con respecto al año anterior, sin embargo solo representa el 7.43%, esto implica un incremento en el </a:t>
          </a:r>
          <a:r>
            <a:rPr lang="es-MX" sz="1100" baseline="0">
              <a:solidFill>
                <a:srgbClr val="FF0000"/>
              </a:solidFill>
            </a:rPr>
            <a:t>Activo circulante </a:t>
          </a:r>
          <a:r>
            <a:rPr lang="es-MX" sz="1100" baseline="0"/>
            <a:t>tambien bastante considerable, esto ocurrio por el aumento en ventas. Con respecto al </a:t>
          </a:r>
          <a:r>
            <a:rPr lang="es-MX" sz="1100" baseline="0">
              <a:solidFill>
                <a:srgbClr val="FF0000"/>
              </a:solidFill>
            </a:rPr>
            <a:t>Activo fijo </a:t>
          </a:r>
          <a:r>
            <a:rPr lang="es-MX" sz="1100" baseline="0"/>
            <a:t>podemos observar que disminuyo principalmente por que el </a:t>
          </a:r>
          <a:r>
            <a:rPr lang="es-MX" sz="1100" baseline="0">
              <a:solidFill>
                <a:srgbClr val="FF0000"/>
              </a:solidFill>
            </a:rPr>
            <a:t>Mobiliario</a:t>
          </a:r>
          <a:r>
            <a:rPr lang="es-MX" sz="1100" baseline="0"/>
            <a:t> disminuyo bastante. En general </a:t>
          </a:r>
          <a:r>
            <a:rPr lang="es-MX" sz="1100" baseline="0">
              <a:solidFill>
                <a:srgbClr val="FF0000"/>
              </a:solidFill>
            </a:rPr>
            <a:t>el total de activo </a:t>
          </a:r>
          <a:r>
            <a:rPr lang="es-MX" sz="1100" baseline="0"/>
            <a:t>disminuyo en gran parte dado que el </a:t>
          </a:r>
          <a:r>
            <a:rPr lang="es-MX" sz="1100" baseline="0">
              <a:solidFill>
                <a:srgbClr val="FF0000"/>
              </a:solidFill>
            </a:rPr>
            <a:t>mobiliario </a:t>
          </a:r>
          <a:r>
            <a:rPr lang="es-MX" sz="1100" baseline="0"/>
            <a:t>tambien se redujo y el incremento del </a:t>
          </a:r>
          <a:r>
            <a:rPr lang="es-MX" sz="1100" baseline="0">
              <a:solidFill>
                <a:srgbClr val="FF0000"/>
              </a:solidFill>
            </a:rPr>
            <a:t>efectivo y equivalentes</a:t>
          </a:r>
          <a:r>
            <a:rPr lang="es-MX" sz="1100" baseline="0"/>
            <a:t> es menor a esta disminucion.</a:t>
          </a:r>
        </a:p>
        <a:p>
          <a:endParaRPr lang="es-MX" sz="1100" baseline="0"/>
        </a:p>
        <a:p>
          <a:r>
            <a:rPr lang="es-MX" sz="1100" baseline="0"/>
            <a:t>Podemos observar que el </a:t>
          </a:r>
          <a:r>
            <a:rPr lang="es-MX" sz="1100" baseline="0">
              <a:solidFill>
                <a:srgbClr val="FF0000"/>
              </a:solidFill>
            </a:rPr>
            <a:t>Pasivo circulante </a:t>
          </a:r>
          <a:r>
            <a:rPr lang="es-MX" sz="1100" baseline="0"/>
            <a:t>se incremento bastante, esto ocurre puesto que </a:t>
          </a:r>
          <a:r>
            <a:rPr lang="es-MX" sz="1100" baseline="0">
              <a:solidFill>
                <a:srgbClr val="FF0000"/>
              </a:solidFill>
            </a:rPr>
            <a:t>Documentos por pagar </a:t>
          </a:r>
          <a:r>
            <a:rPr lang="es-MX" sz="1100" baseline="0"/>
            <a:t>y </a:t>
          </a:r>
          <a:r>
            <a:rPr lang="es-MX" sz="1100" baseline="0">
              <a:solidFill>
                <a:srgbClr val="FF0000"/>
              </a:solidFill>
            </a:rPr>
            <a:t>Proveedores</a:t>
          </a:r>
          <a:r>
            <a:rPr lang="es-MX" sz="1100" baseline="0"/>
            <a:t> se incrementaron en gran medida(Principalmente </a:t>
          </a:r>
          <a:r>
            <a:rPr lang="es-MX" sz="1100" baseline="0">
              <a:solidFill>
                <a:srgbClr val="FF0000"/>
              </a:solidFill>
            </a:rPr>
            <a:t>Documentos por pagar</a:t>
          </a:r>
          <a:r>
            <a:rPr lang="es-MX" sz="1100" baseline="0"/>
            <a:t>). Un punto a resaltar es que El </a:t>
          </a:r>
          <a:r>
            <a:rPr lang="es-MX" sz="1100" baseline="0">
              <a:solidFill>
                <a:srgbClr val="FF0000"/>
              </a:solidFill>
            </a:rPr>
            <a:t>pasivo fijo</a:t>
          </a:r>
          <a:r>
            <a:rPr lang="es-MX" sz="1100" baseline="0"/>
            <a:t> tambien se incremento(Mas que el </a:t>
          </a:r>
          <a:r>
            <a:rPr lang="es-MX" sz="1100" baseline="0">
              <a:solidFill>
                <a:srgbClr val="FF0000"/>
              </a:solidFill>
            </a:rPr>
            <a:t>pasivo circulante</a:t>
          </a:r>
          <a:r>
            <a:rPr lang="es-MX" sz="1100" baseline="0"/>
            <a:t>) dado que </a:t>
          </a:r>
          <a:r>
            <a:rPr lang="es-MX" sz="1100" baseline="0">
              <a:solidFill>
                <a:srgbClr val="FF0000"/>
              </a:solidFill>
            </a:rPr>
            <a:t>Documentos por pagar a largo plazo </a:t>
          </a:r>
          <a:r>
            <a:rPr lang="es-MX" sz="1100" baseline="0"/>
            <a:t>se incremento en gran medida. En general existe un gran aumento en el </a:t>
          </a:r>
          <a:r>
            <a:rPr lang="es-MX" sz="1100" baseline="0">
              <a:solidFill>
                <a:srgbClr val="FF0000"/>
              </a:solidFill>
            </a:rPr>
            <a:t>pasivo total</a:t>
          </a:r>
          <a:r>
            <a:rPr lang="es-MX" sz="1100" baseline="0"/>
            <a:t>, es decir una mayor deuda tanto a largo como en corto plazo.</a:t>
          </a:r>
        </a:p>
        <a:p>
          <a:endParaRPr lang="es-MX" sz="1100" baseline="0"/>
        </a:p>
        <a:p>
          <a:r>
            <a:rPr lang="es-MX" sz="1100" baseline="0"/>
            <a:t>Por ultimo El </a:t>
          </a:r>
          <a:r>
            <a:rPr lang="es-MX" sz="1100" baseline="0">
              <a:solidFill>
                <a:srgbClr val="FF0000"/>
              </a:solidFill>
            </a:rPr>
            <a:t>capital total </a:t>
          </a:r>
          <a:r>
            <a:rPr lang="es-MX" sz="1100" baseline="0"/>
            <a:t>disminuyo en gran medida puesto que el </a:t>
          </a:r>
          <a:r>
            <a:rPr lang="es-MX" sz="1100" baseline="0">
              <a:solidFill>
                <a:srgbClr val="FF0000"/>
              </a:solidFill>
            </a:rPr>
            <a:t>capital social </a:t>
          </a:r>
          <a:r>
            <a:rPr lang="es-MX" sz="1100" baseline="0"/>
            <a:t>tambien se redujo (No se utilizo para incrementar el activo fijo, tampoco se utilizo para incrementar el activo circulante dado que se redujo y mucho menos para reducir los pasivos incluso estos aumentaron ¿Por que y para que disminuyo tanto el capital?) se fueron los socios</a:t>
          </a:r>
        </a:p>
        <a:p>
          <a:endParaRPr lang="es-MX" sz="1100" baseline="0"/>
        </a:p>
        <a:p>
          <a:r>
            <a:rPr lang="es-MX" sz="1100" baseline="0"/>
            <a:t>De las razones estandar:</a:t>
          </a:r>
        </a:p>
        <a:p>
          <a:r>
            <a:rPr lang="es-MX" sz="1100" baseline="0"/>
            <a:t>Podemos observar que no tenemos </a:t>
          </a:r>
          <a:r>
            <a:rPr lang="es-MX" sz="1100" baseline="0">
              <a:solidFill>
                <a:srgbClr val="FF0000"/>
              </a:solidFill>
            </a:rPr>
            <a:t>liquidez</a:t>
          </a:r>
          <a:r>
            <a:rPr lang="es-MX" sz="1100" baseline="0"/>
            <a:t> y es bastante baja, un punto muy importante es que no hay </a:t>
          </a:r>
          <a:r>
            <a:rPr lang="es-MX" sz="1100" baseline="0">
              <a:solidFill>
                <a:srgbClr val="FF0000"/>
              </a:solidFill>
            </a:rPr>
            <a:t>solvencia</a:t>
          </a:r>
          <a:r>
            <a:rPr lang="es-MX" sz="1100" baseline="0"/>
            <a:t> ademas es pesima con respecto a la competencia, en cuanto a la </a:t>
          </a:r>
          <a:r>
            <a:rPr lang="es-MX" sz="1100" baseline="0">
              <a:solidFill>
                <a:srgbClr val="FF0000"/>
              </a:solidFill>
            </a:rPr>
            <a:t>estabilidad economica </a:t>
          </a:r>
          <a:r>
            <a:rPr lang="es-MX" sz="1100" baseline="0"/>
            <a:t>supera el ideal, es decir tiene mas deuda que capital, otro punto muy importante es que la empresa esta increiblemente </a:t>
          </a:r>
          <a:r>
            <a:rPr lang="es-MX" sz="1100" baseline="0">
              <a:solidFill>
                <a:srgbClr val="FF0000"/>
              </a:solidFill>
            </a:rPr>
            <a:t>inmovilizada</a:t>
          </a:r>
          <a:r>
            <a:rPr lang="es-MX" sz="1100" baseline="0"/>
            <a:t> superando por mucho a la competencia y el ideal, en cuanto a la </a:t>
          </a:r>
          <a:r>
            <a:rPr lang="es-MX" sz="1100" baseline="0">
              <a:solidFill>
                <a:srgbClr val="FF0000"/>
              </a:solidFill>
            </a:rPr>
            <a:t>rentabilidad en ventas </a:t>
          </a:r>
          <a:r>
            <a:rPr lang="es-MX" sz="1100" baseline="0"/>
            <a:t>es bastante buena pues supera el ideal por 1 centavo y es mejor que la competencia, por ultimo la </a:t>
          </a:r>
          <a:r>
            <a:rPr lang="es-MX" sz="1100" baseline="0">
              <a:solidFill>
                <a:srgbClr val="FF0000"/>
              </a:solidFill>
            </a:rPr>
            <a:t>rentabilidad en inversion</a:t>
          </a:r>
          <a:r>
            <a:rPr lang="es-MX" sz="1100" baseline="0"/>
            <a:t> es muy buena y  supera por mucho(28 centavos) a su competencia.</a:t>
          </a:r>
        </a:p>
        <a:p>
          <a:endParaRPr lang="es-MX" sz="1100" baseline="0"/>
        </a:p>
        <a:p>
          <a:r>
            <a:rPr lang="es-MX" sz="1100" baseline="0"/>
            <a:t>La empresa tiene muy malos indicadores de liquidez, solvencia, estabilidad esconomica e inmovilizacion de capital los cuales necesita mejorar, en general son debido a el gran aumento del total de pasivos (Deuda), la reduccion del total de activo y por supuesto la gran disminucion del capital total, a pesar de esto tambien es posible observar que tanto la rentabilidad en ventas como en inversion son bastante buenas e incluso superando por mucho a la competencia, esto nos dice que la empresa es rentable pero es necesario mejorar la 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liquidez, solvencia, estabilidad esconomica e inmovilizacion de capital.</a:t>
          </a:r>
          <a:endParaRPr lang="es-MX" sz="1100" baseline="0"/>
        </a:p>
      </xdr:txBody>
    </xdr:sp>
    <xdr:clientData/>
  </xdr:twoCellAnchor>
  <xdr:twoCellAnchor>
    <xdr:from>
      <xdr:col>0</xdr:col>
      <xdr:colOff>0</xdr:colOff>
      <xdr:row>83</xdr:row>
      <xdr:rowOff>9525</xdr:rowOff>
    </xdr:from>
    <xdr:to>
      <xdr:col>3</xdr:col>
      <xdr:colOff>581025</xdr:colOff>
      <xdr:row>93</xdr:row>
      <xdr:rowOff>104774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B9968C40-E39F-4B45-B61A-A92AEC8C0CE2}"/>
            </a:ext>
          </a:extLst>
        </xdr:cNvPr>
        <xdr:cNvSpPr txBox="1"/>
      </xdr:nvSpPr>
      <xdr:spPr>
        <a:xfrm>
          <a:off x="0" y="15821025"/>
          <a:ext cx="3971925" cy="20002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Propuestas:</a:t>
          </a:r>
        </a:p>
        <a:p>
          <a:endParaRPr lang="es-MX" sz="1100"/>
        </a:p>
        <a:p>
          <a:r>
            <a:rPr lang="es-MX" sz="1100"/>
            <a:t>Opcion 1:</a:t>
          </a:r>
          <a:r>
            <a:rPr lang="es-MX" sz="1100" baseline="0"/>
            <a:t>  Rentar terrenos y obtenemos 2,000,000. (Otros productos)</a:t>
          </a:r>
          <a:endParaRPr lang="es-MX" sz="1100"/>
        </a:p>
        <a:p>
          <a:endParaRPr lang="es-MX" sz="1100"/>
        </a:p>
        <a:p>
          <a:r>
            <a:rPr lang="es-MX" sz="1100"/>
            <a:t>Opcion</a:t>
          </a:r>
          <a:r>
            <a:rPr lang="es-MX" sz="1100" baseline="0"/>
            <a:t> 2: Pagar deuda pasivo circulante de 2,000,000 para las 3 cuentas 40 - 40 - 20 con descuento por pronto pago del 5%.</a:t>
          </a:r>
          <a:endParaRPr lang="es-MX" sz="1100"/>
        </a:p>
        <a:p>
          <a:r>
            <a:rPr lang="es-MX" sz="1100"/>
            <a:t>(Productos financieros - Gastos de operacion</a:t>
          </a:r>
          <a:r>
            <a:rPr lang="es-MX" sz="1100" baseline="0"/>
            <a:t> actualizados</a:t>
          </a:r>
          <a:r>
            <a:rPr lang="es-MX" sz="1100"/>
            <a:t>)</a:t>
          </a:r>
        </a:p>
        <a:p>
          <a:endParaRPr lang="es-MX" sz="1100"/>
        </a:p>
        <a:p>
          <a:r>
            <a:rPr lang="es-MX" sz="1100"/>
            <a:t>Opcion 3: Incrementar</a:t>
          </a:r>
          <a:r>
            <a:rPr lang="es-MX" sz="1100" baseline="0"/>
            <a:t> ventas tomando en cuenta que el indice de rentabilidad en inversion es de 0.40 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7079-C230-4740-9AF0-762A688756EA}">
  <dimension ref="A1:S81"/>
  <sheetViews>
    <sheetView tabSelected="1" topLeftCell="A57" workbookViewId="0">
      <selection activeCell="D81" sqref="D81"/>
    </sheetView>
  </sheetViews>
  <sheetFormatPr baseColWidth="10" defaultRowHeight="15" x14ac:dyDescent="0.25"/>
  <cols>
    <col min="1" max="1" width="23.7109375" customWidth="1"/>
    <col min="2" max="2" width="14.5703125" customWidth="1"/>
    <col min="3" max="3" width="12.5703125" customWidth="1"/>
    <col min="4" max="4" width="12.7109375" bestFit="1" customWidth="1"/>
    <col min="5" max="5" width="12" bestFit="1" customWidth="1"/>
    <col min="6" max="6" width="10.85546875" customWidth="1"/>
    <col min="7" max="7" width="8.5703125" customWidth="1"/>
    <col min="8" max="8" width="21.7109375" customWidth="1"/>
    <col min="9" max="9" width="10.28515625" customWidth="1"/>
    <col min="10" max="10" width="12" customWidth="1"/>
    <col min="11" max="11" width="10.7109375" customWidth="1"/>
    <col min="12" max="12" width="9.42578125" customWidth="1"/>
    <col min="13" max="13" width="11" customWidth="1"/>
    <col min="14" max="14" width="22" customWidth="1"/>
    <col min="15" max="15" width="10.85546875" customWidth="1"/>
  </cols>
  <sheetData>
    <row r="1" spans="1:19" x14ac:dyDescent="0.25">
      <c r="A1" s="32" t="s">
        <v>0</v>
      </c>
      <c r="B1" s="32"/>
      <c r="C1" s="32"/>
      <c r="D1" s="32"/>
      <c r="E1" s="32"/>
      <c r="H1" s="32" t="s">
        <v>0</v>
      </c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9" x14ac:dyDescent="0.25">
      <c r="A2" s="32" t="s">
        <v>1</v>
      </c>
      <c r="B2" s="32"/>
      <c r="C2" s="32"/>
      <c r="D2" s="32"/>
      <c r="E2" s="32"/>
      <c r="H2" s="32" t="s">
        <v>7</v>
      </c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19" x14ac:dyDescent="0.25">
      <c r="B3">
        <v>2020</v>
      </c>
      <c r="D3">
        <v>2019</v>
      </c>
      <c r="H3" t="s">
        <v>8</v>
      </c>
      <c r="I3">
        <v>2020</v>
      </c>
      <c r="K3">
        <v>2019</v>
      </c>
      <c r="N3" t="s">
        <v>17</v>
      </c>
      <c r="O3">
        <v>2020</v>
      </c>
      <c r="Q3">
        <v>2019</v>
      </c>
    </row>
    <row r="4" spans="1:19" x14ac:dyDescent="0.25">
      <c r="A4" s="2" t="s">
        <v>2</v>
      </c>
      <c r="B4" s="3">
        <v>14790497</v>
      </c>
      <c r="C4" s="4">
        <v>1</v>
      </c>
      <c r="D4" s="3">
        <v>14335674</v>
      </c>
      <c r="E4" s="4">
        <v>1</v>
      </c>
      <c r="F4" s="17">
        <f>B4-D4</f>
        <v>454823</v>
      </c>
      <c r="H4" t="s">
        <v>9</v>
      </c>
      <c r="N4" t="s">
        <v>17</v>
      </c>
    </row>
    <row r="5" spans="1:19" x14ac:dyDescent="0.25">
      <c r="A5" t="s">
        <v>3</v>
      </c>
      <c r="B5" s="1">
        <v>4278645</v>
      </c>
      <c r="C5" s="5">
        <f>B5*C4/B4</f>
        <v>0.28928338243130031</v>
      </c>
      <c r="D5" s="1">
        <v>4225360</v>
      </c>
      <c r="E5" s="5">
        <f>D5*E4/D4</f>
        <v>0.29474442568936765</v>
      </c>
      <c r="F5" s="17">
        <f t="shared" ref="F5:F8" si="0">B5-D5</f>
        <v>53285</v>
      </c>
      <c r="H5" s="12" t="s">
        <v>10</v>
      </c>
      <c r="I5" s="13">
        <v>4599514</v>
      </c>
      <c r="J5" s="14">
        <f>I5*J17/I17</f>
        <v>7.4296342923673264E-2</v>
      </c>
      <c r="K5" s="13">
        <v>1421916</v>
      </c>
      <c r="L5" s="14">
        <f>K5*L17/K17</f>
        <v>2.1314977345427605E-2</v>
      </c>
      <c r="M5" s="17">
        <f>I5-K5</f>
        <v>3177598</v>
      </c>
      <c r="N5" t="s">
        <v>9</v>
      </c>
    </row>
    <row r="6" spans="1:19" x14ac:dyDescent="0.25">
      <c r="A6" t="s">
        <v>4</v>
      </c>
      <c r="B6" s="1">
        <f>B4-B5</f>
        <v>10511852</v>
      </c>
      <c r="C6" s="5">
        <f>B6*C4/B4</f>
        <v>0.71071661756869964</v>
      </c>
      <c r="D6" s="1">
        <f>D4-D5</f>
        <v>10110314</v>
      </c>
      <c r="E6" s="5">
        <f>D6*E4/D4</f>
        <v>0.70525557431063235</v>
      </c>
      <c r="F6" s="17">
        <f t="shared" si="0"/>
        <v>401538</v>
      </c>
      <c r="H6" t="s">
        <v>11</v>
      </c>
      <c r="I6" s="1">
        <v>1659686</v>
      </c>
      <c r="J6" s="5">
        <f>I6*J17/I17</f>
        <v>2.680904986953395E-2</v>
      </c>
      <c r="K6" s="1">
        <v>1987072</v>
      </c>
      <c r="L6" s="5">
        <f>K6*L17/K17</f>
        <v>2.9786847228481513E-2</v>
      </c>
      <c r="M6" s="17">
        <f t="shared" ref="M6:M17" si="1">I6-K6</f>
        <v>-327386</v>
      </c>
      <c r="N6" t="s">
        <v>24</v>
      </c>
      <c r="O6" s="1">
        <v>6237956</v>
      </c>
      <c r="P6" s="5">
        <f>O6*P18/O18</f>
        <v>0.10076223664473793</v>
      </c>
      <c r="Q6" s="1">
        <v>4800891</v>
      </c>
      <c r="R6" s="5">
        <f>Q6*R18/Q18</f>
        <v>7.1966897413677941E-2</v>
      </c>
      <c r="S6" s="17">
        <f>O6-Q6</f>
        <v>1437065</v>
      </c>
    </row>
    <row r="7" spans="1:19" x14ac:dyDescent="0.25">
      <c r="A7" t="s">
        <v>5</v>
      </c>
      <c r="B7" s="1">
        <v>5442595</v>
      </c>
      <c r="C7" s="5">
        <f>B7*C4/B4</f>
        <v>0.36797918284963649</v>
      </c>
      <c r="D7" s="1">
        <v>5194922</v>
      </c>
      <c r="E7" s="5">
        <f>D7*E4/D4</f>
        <v>0.36237724155836692</v>
      </c>
      <c r="F7" s="17">
        <f t="shared" si="0"/>
        <v>247673</v>
      </c>
      <c r="H7" t="s">
        <v>12</v>
      </c>
      <c r="I7" s="1">
        <v>1026997</v>
      </c>
      <c r="J7" s="5">
        <f>I7*J17/I17</f>
        <v>1.6589170354429549E-2</v>
      </c>
      <c r="K7" s="1">
        <v>1103972</v>
      </c>
      <c r="L7" s="5">
        <f>K7*L17/K17</f>
        <v>1.6548894709663864E-2</v>
      </c>
      <c r="M7" s="17">
        <f t="shared" si="1"/>
        <v>-76975</v>
      </c>
      <c r="N7" t="s">
        <v>25</v>
      </c>
      <c r="O7" s="1">
        <v>5690771</v>
      </c>
      <c r="P7" s="5">
        <f>O7*P18/O18</f>
        <v>9.1923510552657309E-2</v>
      </c>
      <c r="Q7" s="1">
        <v>5019788</v>
      </c>
      <c r="R7" s="5">
        <f>Q7*R18/Q18</f>
        <v>7.5248233720451377E-2</v>
      </c>
      <c r="S7" s="17">
        <f t="shared" ref="S7:S18" si="2">O7-Q7</f>
        <v>670983</v>
      </c>
    </row>
    <row r="8" spans="1:19" x14ac:dyDescent="0.25">
      <c r="A8" s="12" t="s">
        <v>6</v>
      </c>
      <c r="B8" s="12">
        <f>B6-B7</f>
        <v>5069257</v>
      </c>
      <c r="C8" s="14">
        <f>B8*C4/B4</f>
        <v>0.34273743471906321</v>
      </c>
      <c r="D8" s="12">
        <f>D6-D7</f>
        <v>4915392</v>
      </c>
      <c r="E8" s="14">
        <f>D8*E4/D4</f>
        <v>0.34287833275226542</v>
      </c>
      <c r="F8" s="17">
        <f t="shared" si="0"/>
        <v>153865</v>
      </c>
      <c r="H8" t="s">
        <v>13</v>
      </c>
      <c r="I8" s="1">
        <v>906107</v>
      </c>
      <c r="J8" s="5">
        <f>I8*J17/I17</f>
        <v>1.4636423847724088E-2</v>
      </c>
      <c r="K8" s="1">
        <v>777333</v>
      </c>
      <c r="L8" s="5">
        <f>K8*L17/K17</f>
        <v>1.165247123237468E-2</v>
      </c>
      <c r="M8" s="17">
        <f t="shared" si="1"/>
        <v>128774</v>
      </c>
      <c r="N8" t="s">
        <v>26</v>
      </c>
      <c r="O8" s="1">
        <v>7505088</v>
      </c>
      <c r="P8" s="5">
        <f>O8*P18/O18</f>
        <v>0.1212303281869226</v>
      </c>
      <c r="Q8" s="1">
        <v>5612785</v>
      </c>
      <c r="R8" s="5">
        <f>Q8*R18/Q18</f>
        <v>8.4137449131844552E-2</v>
      </c>
      <c r="S8" s="17">
        <f t="shared" si="2"/>
        <v>1892303</v>
      </c>
    </row>
    <row r="9" spans="1:19" x14ac:dyDescent="0.25">
      <c r="H9" t="s">
        <v>14</v>
      </c>
      <c r="I9" s="1">
        <v>1118976</v>
      </c>
      <c r="J9" s="5">
        <f>I9*J17/I17</f>
        <v>1.8074915006098518E-2</v>
      </c>
      <c r="K9" s="1">
        <v>941233</v>
      </c>
      <c r="L9" s="5">
        <f>K9*L17/K17</f>
        <v>1.410938485238851E-2</v>
      </c>
      <c r="M9" s="17">
        <f t="shared" si="1"/>
        <v>177743</v>
      </c>
      <c r="N9" s="12" t="s">
        <v>27</v>
      </c>
      <c r="O9" s="13">
        <f>SUM(O6:O8)</f>
        <v>19433815</v>
      </c>
      <c r="P9" s="14">
        <f>O9*P18/O18</f>
        <v>0.31391607538431787</v>
      </c>
      <c r="Q9" s="13">
        <f>SUM(Q6:Q8)</f>
        <v>15433464</v>
      </c>
      <c r="R9" s="14">
        <f>Q9*R18/Q18</f>
        <v>0.23135258026597386</v>
      </c>
      <c r="S9" s="17">
        <f t="shared" si="2"/>
        <v>4000351</v>
      </c>
    </row>
    <row r="10" spans="1:19" x14ac:dyDescent="0.25">
      <c r="A10" s="6" t="s">
        <v>35</v>
      </c>
      <c r="B10" s="6" t="s">
        <v>36</v>
      </c>
      <c r="C10" s="6" t="s">
        <v>36</v>
      </c>
      <c r="D10" s="6" t="s">
        <v>59</v>
      </c>
      <c r="E10" s="36" t="s">
        <v>37</v>
      </c>
      <c r="F10" s="36"/>
      <c r="H10" s="12" t="s">
        <v>15</v>
      </c>
      <c r="I10" s="13">
        <f>SUM(I5:I9)</f>
        <v>9311280</v>
      </c>
      <c r="J10" s="14">
        <f>I10*J17/I17</f>
        <v>0.15040590200145937</v>
      </c>
      <c r="K10" s="13">
        <f>SUM(K5:K9)</f>
        <v>6231526</v>
      </c>
      <c r="L10" s="14">
        <f>K10*L17/K17</f>
        <v>9.3412575368336179E-2</v>
      </c>
      <c r="M10" s="17">
        <f t="shared" si="1"/>
        <v>3079754</v>
      </c>
      <c r="N10" t="s">
        <v>16</v>
      </c>
      <c r="O10" s="1"/>
      <c r="Q10" s="1"/>
      <c r="S10" s="1"/>
    </row>
    <row r="11" spans="1:19" x14ac:dyDescent="0.25">
      <c r="A11" s="6"/>
      <c r="B11" s="6" t="s">
        <v>38</v>
      </c>
      <c r="C11" s="6" t="s">
        <v>39</v>
      </c>
      <c r="D11" s="6"/>
      <c r="E11" s="7" t="s">
        <v>40</v>
      </c>
      <c r="F11" s="7" t="s">
        <v>41</v>
      </c>
      <c r="H11" t="s">
        <v>16</v>
      </c>
      <c r="I11" s="1"/>
      <c r="K11" s="1"/>
      <c r="N11" t="s">
        <v>28</v>
      </c>
      <c r="O11" s="1">
        <v>23712067</v>
      </c>
      <c r="P11" s="5">
        <f>O11*P18/O18</f>
        <v>0.38302304575246782</v>
      </c>
      <c r="Q11" s="1">
        <v>17875936</v>
      </c>
      <c r="R11" s="5">
        <f>Q11*R18/Q18</f>
        <v>0.26796601970039985</v>
      </c>
      <c r="S11" s="17">
        <f t="shared" si="2"/>
        <v>5836131</v>
      </c>
    </row>
    <row r="12" spans="1:19" x14ac:dyDescent="0.25">
      <c r="A12" s="8" t="s">
        <v>42</v>
      </c>
      <c r="B12" s="9">
        <f>I5/O9</f>
        <v>0.23667581481042194</v>
      </c>
      <c r="C12" s="9">
        <v>0.43</v>
      </c>
      <c r="D12" s="9">
        <f>I24/O28</f>
        <v>0.29760821598714909</v>
      </c>
      <c r="E12" s="10"/>
      <c r="F12" s="15">
        <f>C12-B12</f>
        <v>0.19332418518957806</v>
      </c>
      <c r="H12" s="12" t="s">
        <v>18</v>
      </c>
      <c r="I12" s="13">
        <v>17938472</v>
      </c>
      <c r="J12" s="14">
        <f>I12*J17/I17</f>
        <v>0.28976167204594028</v>
      </c>
      <c r="K12" s="13">
        <v>18374903</v>
      </c>
      <c r="L12" s="14">
        <f>K12*L17/K17</f>
        <v>0.27544569522350809</v>
      </c>
      <c r="M12" s="17">
        <f t="shared" si="1"/>
        <v>-436431</v>
      </c>
      <c r="N12" s="12" t="s">
        <v>29</v>
      </c>
      <c r="O12" s="13">
        <f>SUM(O11)</f>
        <v>23712067</v>
      </c>
      <c r="P12" s="14">
        <f>O12*P18/O18</f>
        <v>0.38302304575246782</v>
      </c>
      <c r="Q12" s="13">
        <f>SUM(Q11)</f>
        <v>17875936</v>
      </c>
      <c r="R12" s="14">
        <f>Q12*R18/Q18</f>
        <v>0.26796601970039985</v>
      </c>
      <c r="S12" s="17">
        <f t="shared" si="2"/>
        <v>5836131</v>
      </c>
    </row>
    <row r="13" spans="1:19" x14ac:dyDescent="0.25">
      <c r="A13" s="8" t="s">
        <v>43</v>
      </c>
      <c r="B13" s="9">
        <f>I10/O9</f>
        <v>0.47912774717676382</v>
      </c>
      <c r="C13" s="9">
        <v>1.46</v>
      </c>
      <c r="D13" s="9">
        <f>I29/O28</f>
        <v>0.55940837572269753</v>
      </c>
      <c r="E13" s="10"/>
      <c r="F13" s="15">
        <f>C13-B13</f>
        <v>0.98087225282323609</v>
      </c>
      <c r="H13" t="s">
        <v>19</v>
      </c>
      <c r="I13" s="1">
        <v>19851970</v>
      </c>
      <c r="J13" s="5">
        <f>I13*J17/I17</f>
        <v>0.32067056885368189</v>
      </c>
      <c r="K13" s="1">
        <v>27502708</v>
      </c>
      <c r="L13" s="5">
        <f>K13*L17/K17</f>
        <v>0.41227442265078285</v>
      </c>
      <c r="M13" s="17">
        <f t="shared" si="1"/>
        <v>-7650738</v>
      </c>
      <c r="N13" s="12" t="s">
        <v>30</v>
      </c>
      <c r="O13" s="13">
        <f>O12+O9</f>
        <v>43145882</v>
      </c>
      <c r="P13" s="14">
        <f>O13*P18/O18</f>
        <v>0.69693912113678569</v>
      </c>
      <c r="Q13" s="13">
        <f>Q12+Q9</f>
        <v>33309400</v>
      </c>
      <c r="R13" s="14">
        <f>Q13*R18/Q18</f>
        <v>0.49931859996637373</v>
      </c>
      <c r="S13" s="17">
        <f t="shared" si="2"/>
        <v>9836482</v>
      </c>
    </row>
    <row r="14" spans="1:19" x14ac:dyDescent="0.25">
      <c r="A14" s="8" t="s">
        <v>44</v>
      </c>
      <c r="B14" s="9">
        <f>O13/I17</f>
        <v>0.69693912113678569</v>
      </c>
      <c r="C14" s="9">
        <v>0.37</v>
      </c>
      <c r="D14" s="9">
        <f>O32/I36</f>
        <v>0.65992829675510134</v>
      </c>
      <c r="E14" s="11"/>
      <c r="F14" s="15">
        <f>B14-C14</f>
        <v>0.32693912113678569</v>
      </c>
      <c r="H14" t="s">
        <v>20</v>
      </c>
      <c r="I14" s="1">
        <v>13986926</v>
      </c>
      <c r="J14" s="5">
        <f>I14*J17/I17</f>
        <v>0.22593201163080306</v>
      </c>
      <c r="K14" s="1">
        <v>12971573</v>
      </c>
      <c r="L14" s="5">
        <f>K14*L17/K17</f>
        <v>0.19444804378708755</v>
      </c>
      <c r="M14" s="17">
        <f t="shared" si="1"/>
        <v>1015353</v>
      </c>
      <c r="N14" t="s">
        <v>31</v>
      </c>
      <c r="O14" s="1"/>
      <c r="Q14" s="1"/>
      <c r="S14" s="1"/>
    </row>
    <row r="15" spans="1:19" x14ac:dyDescent="0.25">
      <c r="A15" s="8" t="s">
        <v>45</v>
      </c>
      <c r="B15" s="9">
        <f>I16/O17</f>
        <v>2.8033776618921591</v>
      </c>
      <c r="C15" s="9">
        <v>0.68</v>
      </c>
      <c r="D15" s="9">
        <f>I35/O36</f>
        <v>2.4805950493579121</v>
      </c>
      <c r="E15" s="10"/>
      <c r="F15" s="15">
        <f>B15-C15</f>
        <v>2.1233776618921589</v>
      </c>
      <c r="H15" t="s">
        <v>21</v>
      </c>
      <c r="I15" s="1">
        <v>819029</v>
      </c>
      <c r="J15" s="5">
        <f>I15*J17/I17</f>
        <v>1.3229845468115368E-2</v>
      </c>
      <c r="K15" s="1">
        <v>1629002</v>
      </c>
      <c r="L15" s="5">
        <f>K15*L17/K17</f>
        <v>2.4419262970285346E-2</v>
      </c>
      <c r="M15" s="17">
        <f t="shared" si="1"/>
        <v>-809973</v>
      </c>
      <c r="N15" s="12" t="s">
        <v>32</v>
      </c>
      <c r="O15" s="13">
        <v>13692538</v>
      </c>
      <c r="P15" s="14">
        <f>O15*P18/O18</f>
        <v>0.22117673709514249</v>
      </c>
      <c r="Q15" s="13">
        <v>28484920</v>
      </c>
      <c r="R15" s="14">
        <f>Q15*R18/Q18</f>
        <v>0.42699809586945903</v>
      </c>
      <c r="S15" s="17">
        <f t="shared" si="2"/>
        <v>-14792382</v>
      </c>
    </row>
    <row r="16" spans="1:19" x14ac:dyDescent="0.25">
      <c r="A16" s="8" t="s">
        <v>46</v>
      </c>
      <c r="B16" s="9">
        <f>B8/B4</f>
        <v>0.34273743471906321</v>
      </c>
      <c r="C16" s="9">
        <v>0.18</v>
      </c>
      <c r="D16" s="9">
        <f>I47/I41</f>
        <v>0.49090713431683375</v>
      </c>
      <c r="E16" s="16">
        <f>B16-C16</f>
        <v>0.16273743471906321</v>
      </c>
      <c r="H16" s="12" t="s">
        <v>22</v>
      </c>
      <c r="I16" s="13">
        <f>SUM(I12:I15)</f>
        <v>52596397</v>
      </c>
      <c r="J16" s="14">
        <f>I16*J17/I17</f>
        <v>0.84959409799854069</v>
      </c>
      <c r="K16" s="13">
        <f>SUM(K12:K15)</f>
        <v>60478186</v>
      </c>
      <c r="L16" s="14">
        <f>K16*L17/K17</f>
        <v>0.90658742463166386</v>
      </c>
      <c r="M16" s="17">
        <f t="shared" si="1"/>
        <v>-7881789</v>
      </c>
      <c r="N16" s="12" t="s">
        <v>6</v>
      </c>
      <c r="O16" s="13">
        <f>B8</f>
        <v>5069257</v>
      </c>
      <c r="P16" s="14">
        <f>O16*P18/O18</f>
        <v>8.1884141768071836E-2</v>
      </c>
      <c r="Q16" s="13">
        <f>D8</f>
        <v>4915392</v>
      </c>
      <c r="R16" s="14">
        <f>Q16*R18/Q18</f>
        <v>7.3683304164167282E-2</v>
      </c>
      <c r="S16" s="17">
        <f t="shared" si="2"/>
        <v>153865</v>
      </c>
    </row>
    <row r="17" spans="1:19" x14ac:dyDescent="0.25">
      <c r="A17" s="8" t="s">
        <v>47</v>
      </c>
      <c r="B17" s="9">
        <f>B8/O15</f>
        <v>0.37022040764100855</v>
      </c>
      <c r="C17" s="9">
        <v>0.09</v>
      </c>
      <c r="D17" s="9">
        <f>I47/O34</f>
        <v>0.54851767669368523</v>
      </c>
      <c r="E17" s="16">
        <f>B17-C17</f>
        <v>0.28022040764100853</v>
      </c>
      <c r="H17" s="2" t="s">
        <v>23</v>
      </c>
      <c r="I17" s="3">
        <f>I10+I16</f>
        <v>61907677</v>
      </c>
      <c r="J17" s="4">
        <v>1</v>
      </c>
      <c r="K17" s="3">
        <f>K10+K16</f>
        <v>66709712</v>
      </c>
      <c r="L17" s="4">
        <v>1</v>
      </c>
      <c r="M17" s="17">
        <f t="shared" si="1"/>
        <v>-4802035</v>
      </c>
      <c r="N17" s="12" t="s">
        <v>33</v>
      </c>
      <c r="O17" s="13">
        <f>O15+O16</f>
        <v>18761795</v>
      </c>
      <c r="P17" s="14">
        <f>O17*P18/O18</f>
        <v>0.30306087886321431</v>
      </c>
      <c r="Q17" s="13">
        <f>Q15+Q16</f>
        <v>33400312</v>
      </c>
      <c r="R17" s="14">
        <f>Q17*R18/Q18</f>
        <v>0.50068140003362627</v>
      </c>
      <c r="S17" s="17">
        <f t="shared" si="2"/>
        <v>-14638517</v>
      </c>
    </row>
    <row r="18" spans="1:19" x14ac:dyDescent="0.25">
      <c r="N18" s="2" t="s">
        <v>34</v>
      </c>
      <c r="O18" s="3">
        <f>O17+O13</f>
        <v>61907677</v>
      </c>
      <c r="P18" s="4">
        <v>1</v>
      </c>
      <c r="Q18" s="3">
        <f>Q17+Q13</f>
        <v>66709712</v>
      </c>
      <c r="R18" s="4">
        <v>1</v>
      </c>
      <c r="S18" s="17">
        <f t="shared" si="2"/>
        <v>-4802035</v>
      </c>
    </row>
    <row r="19" spans="1:19" x14ac:dyDescent="0.25">
      <c r="F19" s="9"/>
      <c r="K19" s="1"/>
      <c r="L19" s="1"/>
    </row>
    <row r="20" spans="1:19" x14ac:dyDescent="0.25">
      <c r="F20" s="9"/>
      <c r="H20" s="32" t="s">
        <v>0</v>
      </c>
      <c r="I20" s="32"/>
      <c r="J20" s="32"/>
      <c r="K20" s="32"/>
      <c r="L20" s="32"/>
      <c r="M20" s="32"/>
      <c r="N20" s="32"/>
      <c r="O20" s="32"/>
      <c r="P20" s="32"/>
    </row>
    <row r="21" spans="1:19" x14ac:dyDescent="0.25">
      <c r="H21" s="32" t="s">
        <v>66</v>
      </c>
      <c r="I21" s="32"/>
      <c r="J21" s="32"/>
      <c r="K21" s="32"/>
      <c r="L21" s="32"/>
      <c r="M21" s="32"/>
      <c r="N21" s="32"/>
      <c r="O21" s="32"/>
      <c r="P21" s="32"/>
    </row>
    <row r="22" spans="1:19" x14ac:dyDescent="0.25">
      <c r="A22" t="s">
        <v>48</v>
      </c>
      <c r="B22" s="21">
        <v>5442595</v>
      </c>
      <c r="C22" s="34" t="s">
        <v>49</v>
      </c>
      <c r="D22" s="34"/>
      <c r="E22" s="34"/>
      <c r="H22" t="s">
        <v>8</v>
      </c>
      <c r="I22">
        <v>2020</v>
      </c>
      <c r="K22" s="10"/>
      <c r="L22" s="10"/>
      <c r="N22" t="s">
        <v>17</v>
      </c>
      <c r="O22">
        <v>2020</v>
      </c>
    </row>
    <row r="23" spans="1:19" x14ac:dyDescent="0.25">
      <c r="A23" s="5" t="s">
        <v>50</v>
      </c>
      <c r="B23" s="18">
        <f>B24*0.29</f>
        <v>115.99999999999999</v>
      </c>
      <c r="C23" s="34" t="s">
        <v>51</v>
      </c>
      <c r="D23" s="34"/>
      <c r="E23" s="34"/>
      <c r="H23" t="s">
        <v>9</v>
      </c>
      <c r="K23" s="10"/>
      <c r="L23" s="10"/>
      <c r="N23" t="s">
        <v>17</v>
      </c>
    </row>
    <row r="24" spans="1:19" x14ac:dyDescent="0.25">
      <c r="A24" t="s">
        <v>52</v>
      </c>
      <c r="B24" s="18">
        <v>400</v>
      </c>
      <c r="H24" s="12" t="s">
        <v>10</v>
      </c>
      <c r="I24" s="13">
        <f>A45</f>
        <v>5188446.58</v>
      </c>
      <c r="J24" s="14">
        <f>I24*J36/I36</f>
        <v>8.3216170073696097E-2</v>
      </c>
      <c r="K24" s="28"/>
      <c r="L24" s="29"/>
      <c r="M24" s="31"/>
      <c r="N24" t="s">
        <v>9</v>
      </c>
    </row>
    <row r="25" spans="1:19" x14ac:dyDescent="0.25">
      <c r="H25" t="s">
        <v>11</v>
      </c>
      <c r="I25" s="1">
        <f>D45</f>
        <v>1512095.5518</v>
      </c>
      <c r="J25" s="5">
        <f>I25*J36/I36</f>
        <v>2.4252114513679379E-2</v>
      </c>
      <c r="K25" s="28"/>
      <c r="L25" s="29"/>
      <c r="M25" s="31"/>
      <c r="N25" t="s">
        <v>24</v>
      </c>
      <c r="O25" s="1">
        <f>E56</f>
        <v>5437956</v>
      </c>
      <c r="P25" s="5">
        <f>O25*P37/O37</f>
        <v>8.7217987960719473E-2</v>
      </c>
    </row>
    <row r="26" spans="1:19" x14ac:dyDescent="0.25">
      <c r="A26" s="19" t="s">
        <v>53</v>
      </c>
      <c r="B26" s="20">
        <f>(B22)/(1-(B23/B24))</f>
        <v>7665626.760563381</v>
      </c>
      <c r="C26" s="35" t="s">
        <v>54</v>
      </c>
      <c r="D26" s="35"/>
      <c r="E26" s="35"/>
      <c r="H26" t="s">
        <v>12</v>
      </c>
      <c r="I26" s="1">
        <v>1026997</v>
      </c>
      <c r="J26" s="5">
        <f>I26*J36/I36</f>
        <v>1.6471742688189277E-2</v>
      </c>
      <c r="K26" s="28"/>
      <c r="L26" s="29"/>
      <c r="M26" s="31"/>
      <c r="N26" t="s">
        <v>25</v>
      </c>
      <c r="O26" s="1">
        <f>E60</f>
        <v>4890771</v>
      </c>
      <c r="P26" s="5">
        <f>O26*P37/O37</f>
        <v>7.8441827443369513E-2</v>
      </c>
    </row>
    <row r="27" spans="1:19" x14ac:dyDescent="0.25">
      <c r="H27" t="s">
        <v>13</v>
      </c>
      <c r="I27" s="1">
        <v>906107</v>
      </c>
      <c r="J27" s="5">
        <f>I27*J36/I36</f>
        <v>1.4532818841697806E-2</v>
      </c>
      <c r="K27" s="28"/>
      <c r="L27" s="29"/>
      <c r="M27" s="31"/>
      <c r="N27" t="s">
        <v>26</v>
      </c>
      <c r="O27" s="1">
        <f>I58</f>
        <v>7105088</v>
      </c>
      <c r="P27" s="5">
        <f>O27*P37/O37</f>
        <v>0.11395669248589956</v>
      </c>
    </row>
    <row r="28" spans="1:19" x14ac:dyDescent="0.25">
      <c r="A28" t="s">
        <v>55</v>
      </c>
      <c r="B28" s="18">
        <f>B26/B24</f>
        <v>19164.066901408452</v>
      </c>
      <c r="C28" s="34" t="s">
        <v>56</v>
      </c>
      <c r="D28" s="34"/>
      <c r="E28" s="34"/>
      <c r="H28" t="s">
        <v>14</v>
      </c>
      <c r="I28" s="1">
        <v>1118976</v>
      </c>
      <c r="J28" s="5">
        <f>I28*J36/I36</f>
        <v>1.794697038672877E-2</v>
      </c>
      <c r="K28" s="28"/>
      <c r="L28" s="29"/>
      <c r="M28" s="31"/>
      <c r="N28" s="12" t="s">
        <v>27</v>
      </c>
      <c r="O28" s="13">
        <f>SUM(O25:O27)</f>
        <v>17433815</v>
      </c>
      <c r="P28" s="14">
        <f>O28*P37/O37</f>
        <v>0.27961650788998854</v>
      </c>
    </row>
    <row r="29" spans="1:19" x14ac:dyDescent="0.25">
      <c r="H29" s="12" t="s">
        <v>15</v>
      </c>
      <c r="I29" s="13">
        <f>SUM(I24:I28)</f>
        <v>9752622.1317999996</v>
      </c>
      <c r="J29" s="14">
        <f>I29*J36/I36</f>
        <v>0.15641981650399131</v>
      </c>
      <c r="K29" s="28"/>
      <c r="L29" s="29"/>
      <c r="M29" s="31"/>
      <c r="N29" t="s">
        <v>16</v>
      </c>
      <c r="O29" s="1"/>
      <c r="Q29" s="30"/>
      <c r="R29" s="30"/>
    </row>
    <row r="30" spans="1:19" x14ac:dyDescent="0.25">
      <c r="A30" t="s">
        <v>57</v>
      </c>
      <c r="B30" s="18">
        <f>B28*B23</f>
        <v>2223031.7605633801</v>
      </c>
      <c r="C30" s="34" t="s">
        <v>58</v>
      </c>
      <c r="D30" s="34"/>
      <c r="E30" s="34"/>
      <c r="H30" t="s">
        <v>16</v>
      </c>
      <c r="I30" s="1"/>
      <c r="K30" s="28"/>
      <c r="L30" s="10"/>
      <c r="M30" s="10"/>
      <c r="N30" t="s">
        <v>28</v>
      </c>
      <c r="O30" s="1">
        <v>23712067</v>
      </c>
      <c r="P30" s="5">
        <f>O30*P37/O37</f>
        <v>0.3803117888651128</v>
      </c>
      <c r="Q30" s="30"/>
      <c r="R30" s="30"/>
    </row>
    <row r="31" spans="1:19" x14ac:dyDescent="0.25">
      <c r="H31" s="12" t="s">
        <v>18</v>
      </c>
      <c r="I31" s="13">
        <v>17938472</v>
      </c>
      <c r="J31" s="14">
        <f>I31*J36/I36</f>
        <v>0.28771057267283945</v>
      </c>
      <c r="K31" s="28"/>
      <c r="L31" s="29"/>
      <c r="M31" s="31"/>
      <c r="N31" s="12" t="s">
        <v>29</v>
      </c>
      <c r="O31" s="13">
        <f>SUM(O30)</f>
        <v>23712067</v>
      </c>
      <c r="P31" s="14">
        <f>O31*P37/O37</f>
        <v>0.3803117888651128</v>
      </c>
      <c r="Q31" s="10"/>
      <c r="R31" s="10"/>
    </row>
    <row r="32" spans="1:19" x14ac:dyDescent="0.25">
      <c r="A32" s="32" t="s">
        <v>0</v>
      </c>
      <c r="B32" s="32"/>
      <c r="C32" s="30"/>
      <c r="D32" s="30"/>
      <c r="E32" s="30"/>
      <c r="H32" t="s">
        <v>19</v>
      </c>
      <c r="I32" s="1">
        <v>19851970</v>
      </c>
      <c r="J32" s="5">
        <f>I32*J36/I36</f>
        <v>0.31840067857418564</v>
      </c>
      <c r="K32" s="28"/>
      <c r="L32" s="29"/>
      <c r="M32" s="31"/>
      <c r="N32" s="12" t="s">
        <v>30</v>
      </c>
      <c r="O32" s="13">
        <f>O31+O28</f>
        <v>41145882</v>
      </c>
      <c r="P32" s="14">
        <f>O32*P37/O37</f>
        <v>0.65992829675510134</v>
      </c>
      <c r="Q32" s="10"/>
      <c r="R32" s="10"/>
    </row>
    <row r="33" spans="1:18" x14ac:dyDescent="0.25">
      <c r="A33" s="32" t="s">
        <v>67</v>
      </c>
      <c r="B33" s="32"/>
      <c r="C33" s="30"/>
      <c r="D33" s="30"/>
      <c r="E33" s="30"/>
      <c r="H33" t="s">
        <v>20</v>
      </c>
      <c r="I33" s="1">
        <v>13986926</v>
      </c>
      <c r="J33" s="5">
        <f>I33*J36/I36</f>
        <v>0.22433273521806246</v>
      </c>
      <c r="K33" s="28"/>
      <c r="L33" s="29"/>
      <c r="M33" s="31"/>
      <c r="N33" t="s">
        <v>31</v>
      </c>
      <c r="O33" s="1"/>
      <c r="Q33" s="10"/>
      <c r="R33" s="10"/>
    </row>
    <row r="34" spans="1:18" x14ac:dyDescent="0.25">
      <c r="A34" t="s">
        <v>2</v>
      </c>
      <c r="B34" s="18">
        <f>B26</f>
        <v>7665626.760563381</v>
      </c>
      <c r="H34" t="s">
        <v>21</v>
      </c>
      <c r="I34" s="1">
        <v>819029</v>
      </c>
      <c r="J34" s="5">
        <f>I34*J36/I36</f>
        <v>1.3136197030921197E-2</v>
      </c>
      <c r="K34" s="28"/>
      <c r="L34" s="29"/>
      <c r="M34" s="31"/>
      <c r="N34" s="12" t="s">
        <v>32</v>
      </c>
      <c r="O34" s="13">
        <v>13692538</v>
      </c>
      <c r="P34" s="14">
        <f>O34*P37/O37</f>
        <v>0.21961112124402879</v>
      </c>
      <c r="Q34" s="28"/>
      <c r="R34" s="29"/>
    </row>
    <row r="35" spans="1:18" x14ac:dyDescent="0.25">
      <c r="A35" t="s">
        <v>3</v>
      </c>
      <c r="B35" s="18">
        <f>B30</f>
        <v>2223031.7605633801</v>
      </c>
      <c r="H35" s="12" t="s">
        <v>22</v>
      </c>
      <c r="I35" s="13">
        <f>SUM(I31:I34)</f>
        <v>52596397</v>
      </c>
      <c r="J35" s="14">
        <f>I35*J36/I36</f>
        <v>0.84358018349600872</v>
      </c>
      <c r="K35" s="28"/>
      <c r="L35" s="29"/>
      <c r="M35" s="31"/>
      <c r="N35" s="12" t="s">
        <v>6</v>
      </c>
      <c r="O35" s="13">
        <f>I47</f>
        <v>7510599.1317999996</v>
      </c>
      <c r="P35" s="14">
        <f>O35*P37/O37</f>
        <v>0.1204605820008699</v>
      </c>
      <c r="Q35" s="28"/>
      <c r="R35" s="29"/>
    </row>
    <row r="36" spans="1:18" x14ac:dyDescent="0.25">
      <c r="A36" t="s">
        <v>4</v>
      </c>
      <c r="B36" s="18">
        <f>B34-B35</f>
        <v>5442595.0000000009</v>
      </c>
      <c r="F36" s="1"/>
      <c r="H36" s="2" t="s">
        <v>23</v>
      </c>
      <c r="I36" s="3">
        <f>I29+I35</f>
        <v>62349019.131799996</v>
      </c>
      <c r="J36" s="4">
        <v>1</v>
      </c>
      <c r="K36" s="26"/>
      <c r="L36" s="27"/>
      <c r="M36" s="31"/>
      <c r="N36" s="12" t="s">
        <v>33</v>
      </c>
      <c r="O36" s="13">
        <f>O34+O35</f>
        <v>21203137.1318</v>
      </c>
      <c r="P36" s="14">
        <f>O36*P37/O37</f>
        <v>0.34007170324489872</v>
      </c>
      <c r="Q36" s="28"/>
      <c r="R36" s="29"/>
    </row>
    <row r="37" spans="1:18" x14ac:dyDescent="0.25">
      <c r="A37" t="s">
        <v>5</v>
      </c>
      <c r="B37" s="18">
        <f>B22</f>
        <v>5442595</v>
      </c>
      <c r="N37" s="2" t="s">
        <v>34</v>
      </c>
      <c r="O37" s="3">
        <f>O36+O32</f>
        <v>62349019.131799996</v>
      </c>
      <c r="P37" s="4">
        <v>1</v>
      </c>
      <c r="Q37" s="28"/>
      <c r="R37" s="29"/>
    </row>
    <row r="38" spans="1:18" x14ac:dyDescent="0.25">
      <c r="A38" t="s">
        <v>6</v>
      </c>
      <c r="B38" s="13">
        <f>B36-B37</f>
        <v>0</v>
      </c>
      <c r="H38" s="32" t="s">
        <v>0</v>
      </c>
      <c r="I38" s="32"/>
      <c r="J38" s="32"/>
      <c r="Q38" s="28"/>
      <c r="R38" s="10"/>
    </row>
    <row r="39" spans="1:18" x14ac:dyDescent="0.25">
      <c r="H39" s="32" t="s">
        <v>65</v>
      </c>
      <c r="I39" s="32"/>
      <c r="J39" s="32"/>
      <c r="Q39" s="28"/>
      <c r="R39" s="29"/>
    </row>
    <row r="40" spans="1:18" x14ac:dyDescent="0.25">
      <c r="A40" s="33" t="s">
        <v>60</v>
      </c>
      <c r="B40" s="33"/>
      <c r="D40" s="33" t="s">
        <v>61</v>
      </c>
      <c r="E40" s="33"/>
      <c r="I40">
        <v>2020</v>
      </c>
      <c r="Q40" s="28"/>
      <c r="R40" s="29"/>
    </row>
    <row r="41" spans="1:18" x14ac:dyDescent="0.25">
      <c r="A41" s="1">
        <v>4599514</v>
      </c>
      <c r="B41">
        <f>D55-E48</f>
        <v>760000</v>
      </c>
      <c r="D41" s="1">
        <v>1659686</v>
      </c>
      <c r="E41" s="1">
        <f>A43*0.29</f>
        <v>147590.44819999998</v>
      </c>
      <c r="H41" s="2" t="s">
        <v>2</v>
      </c>
      <c r="I41" s="3">
        <f>B51</f>
        <v>15299429.58</v>
      </c>
      <c r="J41" s="4">
        <v>1</v>
      </c>
      <c r="Q41" s="28"/>
      <c r="R41" s="29"/>
    </row>
    <row r="42" spans="1:18" x14ac:dyDescent="0.25">
      <c r="A42" s="1">
        <v>2000000</v>
      </c>
      <c r="B42">
        <f>D59-E49</f>
        <v>760000</v>
      </c>
      <c r="H42" t="s">
        <v>3</v>
      </c>
      <c r="I42" s="1">
        <f>H54</f>
        <v>4426235.4482000005</v>
      </c>
      <c r="J42" s="5">
        <f>I42*J41/I41</f>
        <v>0.28930722057678182</v>
      </c>
      <c r="Q42" s="28"/>
      <c r="R42" s="10"/>
    </row>
    <row r="43" spans="1:18" x14ac:dyDescent="0.25">
      <c r="A43" s="37">
        <v>508932.58</v>
      </c>
      <c r="B43">
        <f>H57</f>
        <v>400000</v>
      </c>
      <c r="H43" t="s">
        <v>4</v>
      </c>
      <c r="I43" s="1">
        <f>I41-I42</f>
        <v>10873194.1318</v>
      </c>
      <c r="J43" s="5">
        <f>I43*J41/I41</f>
        <v>0.71069277942321818</v>
      </c>
      <c r="Q43" s="28"/>
      <c r="R43" s="29"/>
    </row>
    <row r="44" spans="1:18" x14ac:dyDescent="0.25">
      <c r="H44" t="s">
        <v>5</v>
      </c>
      <c r="I44" s="1">
        <f>D52</f>
        <v>5362595</v>
      </c>
      <c r="J44" s="5">
        <f>I44*J41/I41</f>
        <v>0.35050947304664154</v>
      </c>
      <c r="Q44" s="28"/>
      <c r="R44" s="29"/>
    </row>
    <row r="45" spans="1:18" x14ac:dyDescent="0.25">
      <c r="A45" s="25">
        <f>SUM(A41:A43)-SUM(B41:B43)</f>
        <v>5188446.58</v>
      </c>
      <c r="D45" s="25">
        <f>D41-E41</f>
        <v>1512095.5518</v>
      </c>
      <c r="H45" s="10" t="s">
        <v>69</v>
      </c>
      <c r="I45" s="10">
        <f>I43-I44</f>
        <v>5510599.1317999996</v>
      </c>
      <c r="J45" s="29">
        <f>I45*J41/I41</f>
        <v>0.36018330637657664</v>
      </c>
      <c r="Q45" s="28"/>
      <c r="R45" s="29"/>
    </row>
    <row r="46" spans="1:18" x14ac:dyDescent="0.25">
      <c r="H46" t="s">
        <v>63</v>
      </c>
      <c r="I46" s="1">
        <f>B55</f>
        <v>2000000</v>
      </c>
      <c r="J46" s="5">
        <f>I46*J41/I41</f>
        <v>0.13072382794025711</v>
      </c>
      <c r="Q46" s="26"/>
      <c r="R46" s="27"/>
    </row>
    <row r="47" spans="1:18" x14ac:dyDescent="0.25">
      <c r="A47" s="33" t="s">
        <v>2</v>
      </c>
      <c r="B47" s="33"/>
      <c r="D47" s="33" t="s">
        <v>5</v>
      </c>
      <c r="E47" s="33"/>
      <c r="H47" s="12" t="s">
        <v>6</v>
      </c>
      <c r="I47" s="13">
        <f>I45+I46</f>
        <v>7510599.1317999996</v>
      </c>
      <c r="J47" s="14">
        <f>I47*J41/I41</f>
        <v>0.49090713431683375</v>
      </c>
    </row>
    <row r="48" spans="1:18" x14ac:dyDescent="0.25">
      <c r="B48" s="1">
        <v>14790497</v>
      </c>
      <c r="D48" s="1">
        <v>5442595</v>
      </c>
      <c r="E48">
        <f>D55*0.05</f>
        <v>40000</v>
      </c>
    </row>
    <row r="49" spans="1:9" x14ac:dyDescent="0.25">
      <c r="B49" s="1">
        <f>A43</f>
        <v>508932.58</v>
      </c>
      <c r="E49">
        <f>D59*0.05</f>
        <v>40000</v>
      </c>
      <c r="H49" s="33" t="s">
        <v>70</v>
      </c>
      <c r="I49" s="33"/>
    </row>
    <row r="50" spans="1:9" x14ac:dyDescent="0.25">
      <c r="H50" s="1">
        <v>4278645</v>
      </c>
    </row>
    <row r="51" spans="1:9" x14ac:dyDescent="0.25">
      <c r="B51" s="25">
        <f>SUM(B48:B49)</f>
        <v>15299429.58</v>
      </c>
      <c r="H51" s="1">
        <f>E41</f>
        <v>147590.44819999998</v>
      </c>
    </row>
    <row r="52" spans="1:9" x14ac:dyDescent="0.25">
      <c r="D52" s="25">
        <f>SUM(D48)-SUM(E48:E49)</f>
        <v>5362595</v>
      </c>
    </row>
    <row r="54" spans="1:9" x14ac:dyDescent="0.25">
      <c r="A54" s="33" t="s">
        <v>63</v>
      </c>
      <c r="B54" s="33"/>
      <c r="D54" s="33" t="s">
        <v>24</v>
      </c>
      <c r="E54" s="33"/>
      <c r="H54" s="25">
        <f>H50+H51</f>
        <v>4426235.4482000005</v>
      </c>
    </row>
    <row r="55" spans="1:9" x14ac:dyDescent="0.25">
      <c r="B55" s="25">
        <v>2000000</v>
      </c>
      <c r="D55">
        <f>A42*0.4</f>
        <v>800000</v>
      </c>
      <c r="E55">
        <v>6237956</v>
      </c>
    </row>
    <row r="56" spans="1:9" x14ac:dyDescent="0.25">
      <c r="E56" s="24">
        <f>E55-D55</f>
        <v>5437956</v>
      </c>
      <c r="H56" s="22" t="s">
        <v>64</v>
      </c>
      <c r="I56" s="22"/>
    </row>
    <row r="57" spans="1:9" x14ac:dyDescent="0.25">
      <c r="H57">
        <f>A42*0.2</f>
        <v>400000</v>
      </c>
      <c r="I57" s="1">
        <v>7505088</v>
      </c>
    </row>
    <row r="58" spans="1:9" x14ac:dyDescent="0.25">
      <c r="D58" s="33" t="s">
        <v>25</v>
      </c>
      <c r="E58" s="33"/>
      <c r="I58" s="24">
        <f>I57-H57</f>
        <v>7105088</v>
      </c>
    </row>
    <row r="59" spans="1:9" x14ac:dyDescent="0.25">
      <c r="D59">
        <f>A42*0.4</f>
        <v>800000</v>
      </c>
      <c r="E59">
        <v>5690771</v>
      </c>
    </row>
    <row r="60" spans="1:9" x14ac:dyDescent="0.25">
      <c r="E60" s="24">
        <f>E59-D59</f>
        <v>4890771</v>
      </c>
    </row>
    <row r="62" spans="1:9" x14ac:dyDescent="0.25">
      <c r="A62" t="s">
        <v>48</v>
      </c>
      <c r="B62" s="1">
        <v>5362595</v>
      </c>
      <c r="C62" s="34" t="s">
        <v>49</v>
      </c>
      <c r="D62" s="34"/>
      <c r="E62" s="34"/>
    </row>
    <row r="63" spans="1:9" x14ac:dyDescent="0.25">
      <c r="A63" s="5" t="s">
        <v>50</v>
      </c>
      <c r="B63" s="18">
        <f>B64*0.29</f>
        <v>115.99999999999999</v>
      </c>
      <c r="C63" s="34" t="s">
        <v>51</v>
      </c>
      <c r="D63" s="34"/>
      <c r="E63" s="34"/>
    </row>
    <row r="64" spans="1:9" x14ac:dyDescent="0.25">
      <c r="A64" t="s">
        <v>52</v>
      </c>
      <c r="B64" s="18">
        <v>400</v>
      </c>
    </row>
    <row r="66" spans="1:6" x14ac:dyDescent="0.25">
      <c r="A66" s="19" t="s">
        <v>62</v>
      </c>
      <c r="B66" s="20">
        <f>(B62+D72)/(1-(B63/B64))</f>
        <v>15267056.619718309</v>
      </c>
      <c r="C66" s="35" t="s">
        <v>54</v>
      </c>
      <c r="D66" s="35"/>
      <c r="E66" s="35"/>
    </row>
    <row r="68" spans="1:6" x14ac:dyDescent="0.25">
      <c r="A68" t="s">
        <v>55</v>
      </c>
      <c r="B68" s="18">
        <f>B66/B64</f>
        <v>38167.641549295775</v>
      </c>
      <c r="C68" s="34" t="s">
        <v>56</v>
      </c>
      <c r="D68" s="34"/>
      <c r="E68" s="34"/>
      <c r="F68" s="23"/>
    </row>
    <row r="70" spans="1:6" x14ac:dyDescent="0.25">
      <c r="A70" t="s">
        <v>57</v>
      </c>
      <c r="B70" s="18">
        <f>B68*B63</f>
        <v>4427446.4197183093</v>
      </c>
      <c r="C70" s="34" t="s">
        <v>58</v>
      </c>
      <c r="D70" s="34"/>
      <c r="E70" s="34"/>
    </row>
    <row r="72" spans="1:6" x14ac:dyDescent="0.25">
      <c r="A72" s="32" t="s">
        <v>0</v>
      </c>
      <c r="B72" s="32"/>
      <c r="C72" s="30"/>
      <c r="D72" s="39">
        <f>O15*0.4</f>
        <v>5477015.2000000002</v>
      </c>
      <c r="E72" s="30"/>
    </row>
    <row r="73" spans="1:6" x14ac:dyDescent="0.25">
      <c r="A73" s="32" t="s">
        <v>68</v>
      </c>
      <c r="B73" s="32"/>
      <c r="C73" s="30"/>
      <c r="D73" s="38"/>
      <c r="E73" s="30"/>
    </row>
    <row r="74" spans="1:6" x14ac:dyDescent="0.25">
      <c r="A74" t="s">
        <v>2</v>
      </c>
      <c r="B74" s="18">
        <f>B66</f>
        <v>15267056.619718309</v>
      </c>
    </row>
    <row r="75" spans="1:6" x14ac:dyDescent="0.25">
      <c r="A75" t="s">
        <v>3</v>
      </c>
      <c r="B75" s="18">
        <f>B70</f>
        <v>4427446.4197183093</v>
      </c>
      <c r="D75" s="37"/>
    </row>
    <row r="76" spans="1:6" x14ac:dyDescent="0.25">
      <c r="A76" t="s">
        <v>4</v>
      </c>
      <c r="B76" s="18">
        <f>B74-B75</f>
        <v>10839610.199999999</v>
      </c>
    </row>
    <row r="77" spans="1:6" x14ac:dyDescent="0.25">
      <c r="A77" t="s">
        <v>5</v>
      </c>
      <c r="B77" s="18">
        <f>B62</f>
        <v>5362595</v>
      </c>
      <c r="D77" s="1">
        <f>B74-B4</f>
        <v>476559.61971830949</v>
      </c>
    </row>
    <row r="78" spans="1:6" x14ac:dyDescent="0.25">
      <c r="A78" t="s">
        <v>69</v>
      </c>
      <c r="B78">
        <f>B76-B77</f>
        <v>5477015.1999999993</v>
      </c>
    </row>
    <row r="79" spans="1:6" x14ac:dyDescent="0.25">
      <c r="A79" t="s">
        <v>63</v>
      </c>
      <c r="B79" s="1">
        <f>B55</f>
        <v>2000000</v>
      </c>
    </row>
    <row r="80" spans="1:6" x14ac:dyDescent="0.25">
      <c r="A80" t="s">
        <v>6</v>
      </c>
      <c r="B80" s="13">
        <f>B78+B79</f>
        <v>7477015.1999999993</v>
      </c>
      <c r="D80" s="37">
        <v>15299429.58</v>
      </c>
    </row>
    <row r="81" spans="4:5" x14ac:dyDescent="0.25">
      <c r="D81" s="40">
        <f>D80-B4</f>
        <v>508932.58000000007</v>
      </c>
      <c r="E81" s="5">
        <f>D81*C4/B4</f>
        <v>3.440943059587518E-2</v>
      </c>
    </row>
  </sheetData>
  <mergeCells count="31">
    <mergeCell ref="D58:E58"/>
    <mergeCell ref="C62:E62"/>
    <mergeCell ref="C63:E63"/>
    <mergeCell ref="C66:E66"/>
    <mergeCell ref="C68:E68"/>
    <mergeCell ref="C70:E70"/>
    <mergeCell ref="A73:B73"/>
    <mergeCell ref="A72:B72"/>
    <mergeCell ref="A40:B40"/>
    <mergeCell ref="D40:E40"/>
    <mergeCell ref="D47:E47"/>
    <mergeCell ref="D54:E54"/>
    <mergeCell ref="A47:B47"/>
    <mergeCell ref="A54:B54"/>
    <mergeCell ref="A1:E1"/>
    <mergeCell ref="A2:E2"/>
    <mergeCell ref="H1:R1"/>
    <mergeCell ref="H2:R2"/>
    <mergeCell ref="E10:F10"/>
    <mergeCell ref="C30:E30"/>
    <mergeCell ref="C22:E22"/>
    <mergeCell ref="C23:E23"/>
    <mergeCell ref="C26:E26"/>
    <mergeCell ref="C28:E28"/>
    <mergeCell ref="A32:B32"/>
    <mergeCell ref="A33:B33"/>
    <mergeCell ref="H38:J38"/>
    <mergeCell ref="H39:J39"/>
    <mergeCell ref="H20:P20"/>
    <mergeCell ref="H21:P21"/>
    <mergeCell ref="H49:I4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Elba Mendoza</dc:creator>
  <cp:lastModifiedBy>Brayan Ramirez</cp:lastModifiedBy>
  <dcterms:created xsi:type="dcterms:W3CDTF">2020-12-16T21:07:24Z</dcterms:created>
  <dcterms:modified xsi:type="dcterms:W3CDTF">2021-05-17T18:07:56Z</dcterms:modified>
</cp:coreProperties>
</file>