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n Franco\Downloads\ESCOM\AF\"/>
    </mc:Choice>
  </mc:AlternateContent>
  <xr:revisionPtr revIDLastSave="0" documentId="13_ncr:1_{425298B7-2487-4107-A285-BAA7813E98C7}" xr6:coauthVersionLast="45" xr6:coauthVersionMax="46" xr10:uidLastSave="{00000000-0000-0000-0000-000000000000}"/>
  <bookViews>
    <workbookView xWindow="-120" yWindow="-120" windowWidth="20730" windowHeight="11160" activeTab="2" xr2:uid="{63312F0F-4E9F-4150-A991-3B359F5ECF50}"/>
  </bookViews>
  <sheets>
    <sheet name="Horizontal" sheetId="1" r:id="rId1"/>
    <sheet name="Vertical" sheetId="2" r:id="rId2"/>
    <sheet name="Propu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3" l="1"/>
  <c r="E42" i="3" l="1"/>
  <c r="P10" i="2"/>
  <c r="B30" i="3" l="1"/>
  <c r="A30" i="3"/>
  <c r="A31" i="3" s="1"/>
  <c r="G10" i="3"/>
  <c r="G17" i="3" s="1"/>
  <c r="K13" i="3"/>
  <c r="S28" i="3"/>
  <c r="S30" i="3" s="1"/>
  <c r="S32" i="3" s="1"/>
  <c r="T27" i="3"/>
  <c r="T28" i="3"/>
  <c r="T29" i="3"/>
  <c r="T31" i="3"/>
  <c r="T26" i="3"/>
  <c r="J43" i="3"/>
  <c r="I43" i="3"/>
  <c r="E43" i="3"/>
  <c r="B43" i="3"/>
  <c r="J35" i="3"/>
  <c r="F35" i="3"/>
  <c r="B35" i="3"/>
  <c r="K16" i="3" l="1"/>
  <c r="P10" i="3" s="1"/>
  <c r="P9" i="3"/>
  <c r="O37" i="3"/>
  <c r="O38" i="3" s="1"/>
  <c r="O40" i="3"/>
  <c r="I44" i="3"/>
  <c r="T32" i="3"/>
  <c r="K17" i="3"/>
  <c r="K18" i="3" s="1"/>
  <c r="T30" i="3"/>
  <c r="I28" i="3" l="1"/>
  <c r="I34" i="3"/>
  <c r="B28" i="3" s="1"/>
  <c r="E34" i="3"/>
  <c r="A34" i="3"/>
  <c r="J26" i="3" s="1"/>
  <c r="L17" i="3"/>
  <c r="L15" i="3" s="1"/>
  <c r="H16" i="3"/>
  <c r="G16" i="3"/>
  <c r="H10" i="3"/>
  <c r="L9" i="3"/>
  <c r="L11" i="3" s="1"/>
  <c r="K9" i="3"/>
  <c r="P5" i="3"/>
  <c r="S5" i="3" s="1"/>
  <c r="I17" i="3" l="1"/>
  <c r="B26" i="3"/>
  <c r="P6" i="3"/>
  <c r="S6" i="3" s="1"/>
  <c r="H17" i="3"/>
  <c r="I16" i="3"/>
  <c r="J27" i="3"/>
  <c r="B27" i="3" s="1"/>
  <c r="R9" i="3"/>
  <c r="I15" i="3"/>
  <c r="I13" i="3"/>
  <c r="P7" i="3"/>
  <c r="S7" i="3" s="1"/>
  <c r="I9" i="3"/>
  <c r="I6" i="3"/>
  <c r="I10" i="3"/>
  <c r="K11" i="3"/>
  <c r="C18" i="1"/>
  <c r="C17" i="1"/>
  <c r="C16" i="1"/>
  <c r="C15" i="1"/>
  <c r="C14" i="1"/>
  <c r="B23" i="1"/>
  <c r="B22" i="1"/>
  <c r="B21" i="1"/>
  <c r="D5" i="1"/>
  <c r="D6" i="1"/>
  <c r="D7" i="1"/>
  <c r="D8" i="1"/>
  <c r="D4" i="1"/>
  <c r="M7" i="1"/>
  <c r="M8" i="1"/>
  <c r="M9" i="1"/>
  <c r="M11" i="1"/>
  <c r="M12" i="1"/>
  <c r="M13" i="1"/>
  <c r="M15" i="1"/>
  <c r="M16" i="1"/>
  <c r="M17" i="1"/>
  <c r="M18" i="1"/>
  <c r="M6" i="1"/>
  <c r="I6" i="1"/>
  <c r="I7" i="1"/>
  <c r="I8" i="1"/>
  <c r="I9" i="1"/>
  <c r="I10" i="1"/>
  <c r="I12" i="1"/>
  <c r="I13" i="1"/>
  <c r="I14" i="1"/>
  <c r="I15" i="1"/>
  <c r="I16" i="1"/>
  <c r="I17" i="1"/>
  <c r="I5" i="1"/>
  <c r="P9" i="2"/>
  <c r="P8" i="2"/>
  <c r="P7" i="2"/>
  <c r="P6" i="2"/>
  <c r="P5" i="2"/>
  <c r="R10" i="2"/>
  <c r="R9" i="2"/>
  <c r="S8" i="2"/>
  <c r="S7" i="2"/>
  <c r="S6" i="2"/>
  <c r="S5" i="2"/>
  <c r="D5" i="2"/>
  <c r="D6" i="2"/>
  <c r="D7" i="2"/>
  <c r="D8" i="2"/>
  <c r="D4" i="2"/>
  <c r="M7" i="2"/>
  <c r="M8" i="2"/>
  <c r="M9" i="2"/>
  <c r="M10" i="2"/>
  <c r="M11" i="2"/>
  <c r="M12" i="2"/>
  <c r="M13" i="2"/>
  <c r="M14" i="2"/>
  <c r="M15" i="2"/>
  <c r="M16" i="2"/>
  <c r="M17" i="2"/>
  <c r="M18" i="2"/>
  <c r="M6" i="2"/>
  <c r="I6" i="2"/>
  <c r="I7" i="2"/>
  <c r="I8" i="2"/>
  <c r="I9" i="2"/>
  <c r="I10" i="2"/>
  <c r="I12" i="2"/>
  <c r="I13" i="2"/>
  <c r="I14" i="2"/>
  <c r="I15" i="2"/>
  <c r="I16" i="2"/>
  <c r="I17" i="2"/>
  <c r="I5" i="2"/>
  <c r="L17" i="2"/>
  <c r="K17" i="2"/>
  <c r="H16" i="2"/>
  <c r="G16" i="2"/>
  <c r="L15" i="2"/>
  <c r="K15" i="2"/>
  <c r="H10" i="2"/>
  <c r="H17" i="2" s="1"/>
  <c r="G10" i="2"/>
  <c r="G17" i="2" s="1"/>
  <c r="L9" i="2"/>
  <c r="L11" i="2" s="1"/>
  <c r="K9" i="2"/>
  <c r="K11" i="2" s="1"/>
  <c r="C6" i="2"/>
  <c r="C8" i="2" s="1"/>
  <c r="B6" i="2"/>
  <c r="B8" i="2" s="1"/>
  <c r="I5" i="3" l="1"/>
  <c r="I8" i="3"/>
  <c r="I7" i="3"/>
  <c r="I12" i="3"/>
  <c r="I14" i="3"/>
  <c r="J28" i="3"/>
  <c r="I29" i="3" s="1"/>
  <c r="L17" i="1"/>
  <c r="L15" i="1" s="1"/>
  <c r="L9" i="1"/>
  <c r="L11" i="1" s="1"/>
  <c r="K15" i="1"/>
  <c r="K17" i="1"/>
  <c r="K9" i="1"/>
  <c r="K11" i="1" s="1"/>
  <c r="H16" i="1"/>
  <c r="G16" i="1"/>
  <c r="H10" i="1"/>
  <c r="H17" i="1" s="1"/>
  <c r="G10" i="1"/>
  <c r="G17" i="1" s="1"/>
  <c r="B6" i="1"/>
  <c r="B8" i="1" s="1"/>
  <c r="C8" i="1"/>
  <c r="C6" i="1"/>
  <c r="P29" i="3" l="1"/>
  <c r="P27" i="3" l="1"/>
  <c r="P26" i="3"/>
  <c r="P28" i="3" l="1"/>
  <c r="P30" i="3" s="1"/>
  <c r="P32" i="3" s="1"/>
  <c r="M6" i="3"/>
  <c r="M18" i="3"/>
  <c r="M16" i="3"/>
  <c r="M8" i="3"/>
  <c r="M7" i="3"/>
  <c r="M11" i="3"/>
  <c r="M12" i="3"/>
  <c r="M10" i="3"/>
  <c r="M9" i="3"/>
  <c r="M14" i="3"/>
  <c r="M13" i="3"/>
  <c r="P8" i="3"/>
  <c r="S8" i="3" s="1"/>
  <c r="M17" i="3" l="1"/>
  <c r="R10" i="3" l="1"/>
  <c r="M15" i="3"/>
</calcChain>
</file>

<file path=xl/sharedStrings.xml><?xml version="1.0" encoding="utf-8"?>
<sst xmlns="http://schemas.openxmlformats.org/spreadsheetml/2006/main" count="202" uniqueCount="81">
  <si>
    <t>Alsea SAB</t>
  </si>
  <si>
    <t>Estado de Resultados comparativo</t>
  </si>
  <si>
    <t>Ventas netas</t>
  </si>
  <si>
    <t>Costo de ventas</t>
  </si>
  <si>
    <t>Utilidad bruta</t>
  </si>
  <si>
    <t>Gastos de operación</t>
  </si>
  <si>
    <t>Utilidad neta</t>
  </si>
  <si>
    <t>Estado de situación financiera comparativo</t>
  </si>
  <si>
    <t>Activo</t>
  </si>
  <si>
    <t>Circulante</t>
  </si>
  <si>
    <t>Efectivo y equivalentes</t>
  </si>
  <si>
    <t xml:space="preserve">Inventarios </t>
  </si>
  <si>
    <t>Clientes</t>
  </si>
  <si>
    <t>Deudores</t>
  </si>
  <si>
    <t>Documentos por cobrar</t>
  </si>
  <si>
    <t>Activo circulante</t>
  </si>
  <si>
    <t>Fijo</t>
  </si>
  <si>
    <t>Pasivo</t>
  </si>
  <si>
    <t>Terrenos y edificios</t>
  </si>
  <si>
    <t>Mobiliario</t>
  </si>
  <si>
    <t>Equipo de reparto</t>
  </si>
  <si>
    <t>Equipo de cómputo</t>
  </si>
  <si>
    <t>Activo fijo</t>
  </si>
  <si>
    <t>Total de activo</t>
  </si>
  <si>
    <t>Proveedores</t>
  </si>
  <si>
    <t>Acreedores</t>
  </si>
  <si>
    <t>Documentos por pagar</t>
  </si>
  <si>
    <t>Pasico circulante</t>
  </si>
  <si>
    <t>Doctos por pagar</t>
  </si>
  <si>
    <t>Pasivo fijo</t>
  </si>
  <si>
    <t>Pasivo total</t>
  </si>
  <si>
    <t>Capital</t>
  </si>
  <si>
    <t>Capital social</t>
  </si>
  <si>
    <t>Capital total</t>
  </si>
  <si>
    <t>Suma de pasivo y capital</t>
  </si>
  <si>
    <t>%</t>
  </si>
  <si>
    <t>Fenomenos Economicos</t>
  </si>
  <si>
    <t>RF</t>
  </si>
  <si>
    <t>RE</t>
  </si>
  <si>
    <t>Diferencias</t>
  </si>
  <si>
    <t>+</t>
  </si>
  <si>
    <t>-</t>
  </si>
  <si>
    <t>Líquidez</t>
  </si>
  <si>
    <t>Solvencia</t>
  </si>
  <si>
    <t>Estabilidad Económica</t>
  </si>
  <si>
    <t>Inmovilización del Capital</t>
  </si>
  <si>
    <t>Rentabilidad en Ventas</t>
  </si>
  <si>
    <t>Rentabilidad en Inversión</t>
  </si>
  <si>
    <t>Estado de Resultados</t>
  </si>
  <si>
    <t>Estado de situación financiera</t>
  </si>
  <si>
    <t>Diferencia +, -</t>
  </si>
  <si>
    <t>Punto de Equilibrio (PE)</t>
  </si>
  <si>
    <t>Grupo Herdez S.A.B de C.V.</t>
  </si>
  <si>
    <t>Estado de Resultados Proforma</t>
  </si>
  <si>
    <t>Ventas Netas</t>
  </si>
  <si>
    <t>Costo de Ventas</t>
  </si>
  <si>
    <t>Utilidad Bruta</t>
  </si>
  <si>
    <t>Gastos de Operación</t>
  </si>
  <si>
    <t>Utilidad Neta</t>
  </si>
  <si>
    <t>PE</t>
  </si>
  <si>
    <t>de Ventas</t>
  </si>
  <si>
    <t>Numero de Unidades</t>
  </si>
  <si>
    <t>unidades a vender</t>
  </si>
  <si>
    <t>Costo Variable Total</t>
  </si>
  <si>
    <t>% Costo de ventas</t>
  </si>
  <si>
    <t>Estado de situación financiera Proforma</t>
  </si>
  <si>
    <t>RF Proforma</t>
  </si>
  <si>
    <t>Pasivo circulante</t>
  </si>
  <si>
    <t>1. Rentamos nuestros espacios y obtenemos 2,000,000</t>
  </si>
  <si>
    <t>2. Con esos 2,000,000 pagamos 40% proveedores, 40% acreedores, 20% documentos con 5% descuento</t>
  </si>
  <si>
    <t>3. Incrementar las ventas tomando en cuenta que el indice de rentabilidad sea del 40%</t>
  </si>
  <si>
    <t>Otros Productos</t>
  </si>
  <si>
    <t>Utilidad de Operación</t>
  </si>
  <si>
    <t>Margen de utilidad</t>
  </si>
  <si>
    <t>Ventas</t>
  </si>
  <si>
    <t>Almacen o Inventarios</t>
  </si>
  <si>
    <t>Punto de Equilibrio con Utilidad (PEU)</t>
  </si>
  <si>
    <t>Para tener 40% de rentabilidad de inversion, debemos tener de utilidad neta de 5,500,00 aproximadamente, para ello vamos a buscar</t>
  </si>
  <si>
    <t>de rentabilidad deseada</t>
  </si>
  <si>
    <t>Aumento de ventas a</t>
  </si>
  <si>
    <t>un aumento de ventas de tal forma que junto a los otros productos de 2 millones, podamos llegar a la utilidad deseada y asi obtener el 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</si>
</sst>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3" applyFont="1" applyBorder="1"/>
    <xf numFmtId="0" fontId="0" fillId="2" borderId="1" xfId="0" applyFill="1" applyBorder="1"/>
    <xf numFmtId="3" fontId="0" fillId="2" borderId="1" xfId="0" applyNumberFormat="1" applyFill="1" applyBorder="1"/>
    <xf numFmtId="9" fontId="0" fillId="2" borderId="1" xfId="3" applyFont="1" applyFill="1" applyBorder="1"/>
    <xf numFmtId="9" fontId="0" fillId="0" borderId="1" xfId="3" applyFont="1" applyFill="1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44" fontId="0" fillId="0" borderId="4" xfId="0" applyNumberFormat="1" applyBorder="1"/>
    <xf numFmtId="0" fontId="0" fillId="0" borderId="4" xfId="0" applyBorder="1"/>
    <xf numFmtId="44" fontId="0" fillId="0" borderId="2" xfId="2" applyFont="1" applyBorder="1"/>
    <xf numFmtId="9" fontId="0" fillId="0" borderId="2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0" xfId="0" applyAlignment="1"/>
    <xf numFmtId="0" fontId="0" fillId="0" borderId="9" xfId="0" applyBorder="1"/>
    <xf numFmtId="44" fontId="0" fillId="0" borderId="1" xfId="2" applyFont="1" applyBorder="1"/>
    <xf numFmtId="9" fontId="0" fillId="0" borderId="10" xfId="0" applyNumberFormat="1" applyBorder="1"/>
    <xf numFmtId="44" fontId="0" fillId="0" borderId="2" xfId="2" applyFont="1" applyBorder="1" applyAlignment="1"/>
    <xf numFmtId="0" fontId="0" fillId="0" borderId="4" xfId="0" applyBorder="1" applyAlignment="1"/>
    <xf numFmtId="0" fontId="0" fillId="0" borderId="1" xfId="0" applyFill="1" applyBorder="1"/>
    <xf numFmtId="44" fontId="0" fillId="0" borderId="8" xfId="2" applyFont="1" applyBorder="1"/>
    <xf numFmtId="44" fontId="0" fillId="0" borderId="0" xfId="2" applyFont="1"/>
    <xf numFmtId="44" fontId="0" fillId="0" borderId="5" xfId="2" applyFont="1" applyBorder="1"/>
    <xf numFmtId="44" fontId="0" fillId="0" borderId="9" xfId="2" applyFont="1" applyBorder="1"/>
    <xf numFmtId="44" fontId="0" fillId="0" borderId="7" xfId="2" applyFont="1" applyBorder="1"/>
    <xf numFmtId="44" fontId="0" fillId="0" borderId="0" xfId="2" applyFont="1" applyBorder="1"/>
    <xf numFmtId="44" fontId="0" fillId="0" borderId="9" xfId="0" applyNumberFormat="1" applyBorder="1"/>
    <xf numFmtId="0" fontId="0" fillId="0" borderId="10" xfId="0" applyBorder="1"/>
    <xf numFmtId="44" fontId="0" fillId="0" borderId="10" xfId="2" applyFont="1" applyBorder="1"/>
    <xf numFmtId="44" fontId="0" fillId="0" borderId="8" xfId="0" applyNumberFormat="1" applyBorder="1"/>
    <xf numFmtId="44" fontId="0" fillId="0" borderId="11" xfId="2" applyFont="1" applyBorder="1"/>
    <xf numFmtId="44" fontId="0" fillId="0" borderId="7" xfId="0" applyNumberFormat="1" applyBorder="1"/>
    <xf numFmtId="44" fontId="0" fillId="2" borderId="1" xfId="2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/>
    <xf numFmtId="166" fontId="0" fillId="0" borderId="2" xfId="0" applyNumberFormat="1" applyBorder="1"/>
    <xf numFmtId="1" fontId="0" fillId="0" borderId="2" xfId="0" applyNumberFormat="1" applyBorder="1"/>
    <xf numFmtId="166" fontId="0" fillId="0" borderId="2" xfId="2" applyNumberFormat="1" applyFont="1" applyBorder="1"/>
    <xf numFmtId="166" fontId="0" fillId="0" borderId="4" xfId="0" applyNumberForma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7079-C230-4740-9AF0-762A688756EA}">
  <dimension ref="A1:M23"/>
  <sheetViews>
    <sheetView workbookViewId="0">
      <selection activeCell="E22" sqref="E22"/>
    </sheetView>
  </sheetViews>
  <sheetFormatPr baseColWidth="10" defaultRowHeight="15" x14ac:dyDescent="0.25"/>
  <cols>
    <col min="1" max="1" width="21.5703125" customWidth="1"/>
    <col min="2" max="2" width="16.7109375" customWidth="1"/>
    <col min="3" max="3" width="17.140625" customWidth="1"/>
    <col min="4" max="4" width="15" customWidth="1"/>
    <col min="6" max="6" width="21.85546875" bestFit="1" customWidth="1"/>
    <col min="7" max="8" width="12.7109375" customWidth="1"/>
    <col min="9" max="9" width="13.7109375" customWidth="1"/>
    <col min="10" max="10" width="22.7109375" bestFit="1" customWidth="1"/>
    <col min="11" max="12" width="12.7109375" customWidth="1"/>
    <col min="13" max="13" width="13.7109375" customWidth="1"/>
  </cols>
  <sheetData>
    <row r="1" spans="1:13" x14ac:dyDescent="0.25">
      <c r="A1" s="45" t="s">
        <v>0</v>
      </c>
      <c r="B1" s="46"/>
      <c r="C1" s="46"/>
      <c r="D1" s="47"/>
      <c r="F1" s="48" t="s">
        <v>0</v>
      </c>
      <c r="G1" s="48"/>
      <c r="H1" s="48"/>
      <c r="I1" s="48"/>
      <c r="J1" s="48"/>
      <c r="K1" s="48"/>
      <c r="L1" s="48"/>
      <c r="M1" s="48"/>
    </row>
    <row r="2" spans="1:13" x14ac:dyDescent="0.25">
      <c r="A2" s="45" t="s">
        <v>1</v>
      </c>
      <c r="B2" s="46"/>
      <c r="C2" s="46"/>
      <c r="D2" s="47"/>
      <c r="F2" s="48" t="s">
        <v>7</v>
      </c>
      <c r="G2" s="48"/>
      <c r="H2" s="48"/>
      <c r="I2" s="48"/>
      <c r="J2" s="48"/>
      <c r="K2" s="48"/>
      <c r="L2" s="48"/>
      <c r="M2" s="48"/>
    </row>
    <row r="3" spans="1:13" x14ac:dyDescent="0.25">
      <c r="A3" s="2"/>
      <c r="B3" s="2">
        <v>2020</v>
      </c>
      <c r="C3" s="2">
        <v>2019</v>
      </c>
      <c r="D3" s="13" t="s">
        <v>50</v>
      </c>
      <c r="F3" s="2" t="s">
        <v>8</v>
      </c>
      <c r="G3" s="2">
        <v>2020</v>
      </c>
      <c r="H3" s="2">
        <v>2019</v>
      </c>
      <c r="I3" s="13" t="s">
        <v>50</v>
      </c>
      <c r="J3" s="2" t="s">
        <v>17</v>
      </c>
      <c r="K3" s="2">
        <v>2020</v>
      </c>
      <c r="L3" s="2">
        <v>2019</v>
      </c>
      <c r="M3" s="13" t="s">
        <v>50</v>
      </c>
    </row>
    <row r="4" spans="1:13" x14ac:dyDescent="0.25">
      <c r="A4" s="2" t="s">
        <v>2</v>
      </c>
      <c r="B4" s="3">
        <v>14790497</v>
      </c>
      <c r="C4" s="3">
        <v>14335674</v>
      </c>
      <c r="D4" s="3">
        <f>B4-C4</f>
        <v>454823</v>
      </c>
      <c r="F4" s="2" t="s">
        <v>9</v>
      </c>
      <c r="G4" s="2"/>
      <c r="H4" s="2"/>
      <c r="I4" s="13"/>
      <c r="J4" s="2" t="s">
        <v>17</v>
      </c>
      <c r="K4" s="2"/>
      <c r="L4" s="2"/>
      <c r="M4" s="13"/>
    </row>
    <row r="5" spans="1:13" x14ac:dyDescent="0.25">
      <c r="A5" s="2" t="s">
        <v>3</v>
      </c>
      <c r="B5" s="3">
        <v>4278645</v>
      </c>
      <c r="C5" s="3">
        <v>4225360</v>
      </c>
      <c r="D5" s="3">
        <f t="shared" ref="D5:D8" si="0">B5-C5</f>
        <v>53285</v>
      </c>
      <c r="F5" s="2" t="s">
        <v>10</v>
      </c>
      <c r="G5" s="3">
        <v>4599514</v>
      </c>
      <c r="H5" s="3">
        <v>1421916</v>
      </c>
      <c r="I5" s="14">
        <f>G5-H5</f>
        <v>3177598</v>
      </c>
      <c r="J5" s="2" t="s">
        <v>9</v>
      </c>
      <c r="K5" s="2"/>
      <c r="L5" s="2"/>
      <c r="M5" s="13"/>
    </row>
    <row r="6" spans="1:13" x14ac:dyDescent="0.25">
      <c r="A6" s="2" t="s">
        <v>4</v>
      </c>
      <c r="B6" s="3">
        <f>B4-B5</f>
        <v>10511852</v>
      </c>
      <c r="C6" s="3">
        <f>C4-C5</f>
        <v>10110314</v>
      </c>
      <c r="D6" s="3">
        <f t="shared" si="0"/>
        <v>401538</v>
      </c>
      <c r="F6" s="2" t="s">
        <v>11</v>
      </c>
      <c r="G6" s="3">
        <v>1659686</v>
      </c>
      <c r="H6" s="3">
        <v>1987072</v>
      </c>
      <c r="I6" s="14">
        <f t="shared" ref="I6:I17" si="1">G6-H6</f>
        <v>-327386</v>
      </c>
      <c r="J6" s="2" t="s">
        <v>24</v>
      </c>
      <c r="K6" s="3">
        <v>6237956</v>
      </c>
      <c r="L6" s="3">
        <v>4800891</v>
      </c>
      <c r="M6" s="14">
        <f>K6-L6</f>
        <v>1437065</v>
      </c>
    </row>
    <row r="7" spans="1:13" x14ac:dyDescent="0.25">
      <c r="A7" s="2" t="s">
        <v>5</v>
      </c>
      <c r="B7" s="3">
        <v>5442595</v>
      </c>
      <c r="C7" s="3">
        <v>5194922</v>
      </c>
      <c r="D7" s="3">
        <f t="shared" si="0"/>
        <v>247673</v>
      </c>
      <c r="F7" s="2" t="s">
        <v>12</v>
      </c>
      <c r="G7" s="3">
        <v>1026997</v>
      </c>
      <c r="H7" s="3">
        <v>1103972</v>
      </c>
      <c r="I7" s="14">
        <f t="shared" si="1"/>
        <v>-76975</v>
      </c>
      <c r="J7" s="2" t="s">
        <v>25</v>
      </c>
      <c r="K7" s="3">
        <v>5690771</v>
      </c>
      <c r="L7" s="3">
        <v>5019788</v>
      </c>
      <c r="M7" s="14">
        <f t="shared" ref="M7:M18" si="2">K7-L7</f>
        <v>670983</v>
      </c>
    </row>
    <row r="8" spans="1:13" x14ac:dyDescent="0.25">
      <c r="A8" s="2" t="s">
        <v>6</v>
      </c>
      <c r="B8" s="3">
        <f>B6-B7</f>
        <v>5069257</v>
      </c>
      <c r="C8" s="3">
        <f>C6-C7</f>
        <v>4915392</v>
      </c>
      <c r="D8" s="3">
        <f t="shared" si="0"/>
        <v>153865</v>
      </c>
      <c r="F8" s="2" t="s">
        <v>13</v>
      </c>
      <c r="G8" s="3">
        <v>906107</v>
      </c>
      <c r="H8" s="3">
        <v>777333</v>
      </c>
      <c r="I8" s="14">
        <f t="shared" si="1"/>
        <v>128774</v>
      </c>
      <c r="J8" s="2" t="s">
        <v>26</v>
      </c>
      <c r="K8" s="3">
        <v>7505088</v>
      </c>
      <c r="L8" s="3">
        <v>5612785</v>
      </c>
      <c r="M8" s="14">
        <f t="shared" si="2"/>
        <v>1892303</v>
      </c>
    </row>
    <row r="9" spans="1:13" x14ac:dyDescent="0.25">
      <c r="F9" s="2" t="s">
        <v>14</v>
      </c>
      <c r="G9" s="3">
        <v>1118976</v>
      </c>
      <c r="H9" s="3">
        <v>941233</v>
      </c>
      <c r="I9" s="14">
        <f t="shared" si="1"/>
        <v>177743</v>
      </c>
      <c r="J9" s="2" t="s">
        <v>67</v>
      </c>
      <c r="K9" s="3">
        <f>SUM(K6:K8)</f>
        <v>19433815</v>
      </c>
      <c r="L9" s="3">
        <f>SUM(L6:L8)</f>
        <v>15433464</v>
      </c>
      <c r="M9" s="14">
        <f t="shared" si="2"/>
        <v>4000351</v>
      </c>
    </row>
    <row r="10" spans="1:13" x14ac:dyDescent="0.25">
      <c r="F10" s="2" t="s">
        <v>15</v>
      </c>
      <c r="G10" s="3">
        <f>SUM(G5:G9)</f>
        <v>9311280</v>
      </c>
      <c r="H10" s="3">
        <f>SUM(H5:H9)</f>
        <v>6231526</v>
      </c>
      <c r="I10" s="14">
        <f t="shared" si="1"/>
        <v>3079754</v>
      </c>
      <c r="J10" s="2" t="s">
        <v>16</v>
      </c>
      <c r="K10" s="3"/>
      <c r="L10" s="3"/>
      <c r="M10" s="14"/>
    </row>
    <row r="11" spans="1:13" x14ac:dyDescent="0.25">
      <c r="A11" s="48" t="s">
        <v>51</v>
      </c>
      <c r="B11" s="48"/>
      <c r="C11" s="48"/>
      <c r="F11" s="2" t="s">
        <v>16</v>
      </c>
      <c r="G11" s="3"/>
      <c r="H11" s="3"/>
      <c r="I11" s="14"/>
      <c r="J11" s="2" t="s">
        <v>28</v>
      </c>
      <c r="K11" s="3">
        <f>K13-K9</f>
        <v>23712067</v>
      </c>
      <c r="L11" s="3">
        <f>L13-L9</f>
        <v>17875936</v>
      </c>
      <c r="M11" s="14">
        <f t="shared" si="2"/>
        <v>5836131</v>
      </c>
    </row>
    <row r="12" spans="1:13" x14ac:dyDescent="0.25">
      <c r="A12" s="48" t="s">
        <v>52</v>
      </c>
      <c r="B12" s="48"/>
      <c r="C12" s="48"/>
      <c r="F12" s="2" t="s">
        <v>18</v>
      </c>
      <c r="G12" s="3">
        <v>17938472</v>
      </c>
      <c r="H12" s="3">
        <v>18374903</v>
      </c>
      <c r="I12" s="14">
        <f t="shared" si="1"/>
        <v>-436431</v>
      </c>
      <c r="J12" s="2" t="s">
        <v>29</v>
      </c>
      <c r="K12" s="3">
        <v>23712067</v>
      </c>
      <c r="L12" s="3">
        <v>17875936</v>
      </c>
      <c r="M12" s="14">
        <f t="shared" si="2"/>
        <v>5836131</v>
      </c>
    </row>
    <row r="13" spans="1:13" x14ac:dyDescent="0.25">
      <c r="A13" s="48" t="s">
        <v>53</v>
      </c>
      <c r="B13" s="48"/>
      <c r="C13" s="48"/>
      <c r="F13" s="2" t="s">
        <v>19</v>
      </c>
      <c r="G13" s="3">
        <v>19851970</v>
      </c>
      <c r="H13" s="3">
        <v>27502708</v>
      </c>
      <c r="I13" s="14">
        <f t="shared" si="1"/>
        <v>-7650738</v>
      </c>
      <c r="J13" s="6" t="s">
        <v>30</v>
      </c>
      <c r="K13" s="7">
        <v>43145882</v>
      </c>
      <c r="L13" s="7">
        <v>33309400</v>
      </c>
      <c r="M13" s="15">
        <f t="shared" si="2"/>
        <v>9836482</v>
      </c>
    </row>
    <row r="14" spans="1:13" x14ac:dyDescent="0.25">
      <c r="A14" s="49" t="s">
        <v>54</v>
      </c>
      <c r="B14" s="49"/>
      <c r="C14" s="16">
        <f>B21</f>
        <v>7665626.760563381</v>
      </c>
      <c r="F14" s="2" t="s">
        <v>20</v>
      </c>
      <c r="G14" s="3">
        <v>13986926</v>
      </c>
      <c r="H14" s="3">
        <v>12971573</v>
      </c>
      <c r="I14" s="14">
        <f t="shared" si="1"/>
        <v>1015353</v>
      </c>
      <c r="J14" s="2" t="s">
        <v>31</v>
      </c>
      <c r="K14" s="3"/>
      <c r="L14" s="3"/>
      <c r="M14" s="14"/>
    </row>
    <row r="15" spans="1:13" x14ac:dyDescent="0.25">
      <c r="A15" s="49" t="s">
        <v>55</v>
      </c>
      <c r="B15" s="49"/>
      <c r="C15" s="16">
        <f>B23</f>
        <v>2223031.7605633806</v>
      </c>
      <c r="F15" s="2" t="s">
        <v>21</v>
      </c>
      <c r="G15" s="3">
        <v>819029</v>
      </c>
      <c r="H15" s="3">
        <v>1629002</v>
      </c>
      <c r="I15" s="14">
        <f t="shared" si="1"/>
        <v>-809973</v>
      </c>
      <c r="J15" s="2" t="s">
        <v>32</v>
      </c>
      <c r="K15" s="3">
        <f>K17-K16</f>
        <v>13692538</v>
      </c>
      <c r="L15" s="3">
        <f>L17-L16</f>
        <v>28484920</v>
      </c>
      <c r="M15" s="14">
        <f t="shared" si="2"/>
        <v>-14792382</v>
      </c>
    </row>
    <row r="16" spans="1:13" x14ac:dyDescent="0.25">
      <c r="A16" s="49" t="s">
        <v>56</v>
      </c>
      <c r="B16" s="49"/>
      <c r="C16" s="16">
        <f>C14-C15</f>
        <v>5442595</v>
      </c>
      <c r="F16" s="2" t="s">
        <v>22</v>
      </c>
      <c r="G16" s="3">
        <f>SUM(G12:G15)</f>
        <v>52596397</v>
      </c>
      <c r="H16" s="3">
        <f>SUM(H12:H15)</f>
        <v>60478186</v>
      </c>
      <c r="I16" s="14">
        <f t="shared" si="1"/>
        <v>-7881789</v>
      </c>
      <c r="J16" s="2" t="s">
        <v>6</v>
      </c>
      <c r="K16" s="3">
        <v>5069257</v>
      </c>
      <c r="L16" s="3">
        <v>4915392</v>
      </c>
      <c r="M16" s="14">
        <f t="shared" si="2"/>
        <v>153865</v>
      </c>
    </row>
    <row r="17" spans="1:13" x14ac:dyDescent="0.25">
      <c r="A17" s="49" t="s">
        <v>57</v>
      </c>
      <c r="B17" s="49"/>
      <c r="C17" s="16">
        <f>B7</f>
        <v>5442595</v>
      </c>
      <c r="F17" s="6" t="s">
        <v>23</v>
      </c>
      <c r="G17" s="7">
        <f>G10+G16</f>
        <v>61907677</v>
      </c>
      <c r="H17" s="7">
        <f>H10+H16</f>
        <v>66709712</v>
      </c>
      <c r="I17" s="15">
        <f t="shared" si="1"/>
        <v>-4802035</v>
      </c>
      <c r="J17" s="6" t="s">
        <v>33</v>
      </c>
      <c r="K17" s="7">
        <f>K18-K13</f>
        <v>18761795</v>
      </c>
      <c r="L17" s="7">
        <f>L18-L13</f>
        <v>33400312</v>
      </c>
      <c r="M17" s="15">
        <f t="shared" si="2"/>
        <v>-14638517</v>
      </c>
    </row>
    <row r="18" spans="1:13" x14ac:dyDescent="0.25">
      <c r="A18" s="49" t="s">
        <v>58</v>
      </c>
      <c r="B18" s="49"/>
      <c r="C18" s="16">
        <f>C16-C17</f>
        <v>0</v>
      </c>
      <c r="F18" s="2"/>
      <c r="G18" s="2"/>
      <c r="H18" s="2"/>
      <c r="I18" s="13"/>
      <c r="J18" s="6" t="s">
        <v>34</v>
      </c>
      <c r="K18" s="7">
        <v>61907677</v>
      </c>
      <c r="L18" s="7">
        <v>66709712</v>
      </c>
      <c r="M18" s="15">
        <f t="shared" si="2"/>
        <v>-4802035</v>
      </c>
    </row>
    <row r="19" spans="1:13" x14ac:dyDescent="0.25">
      <c r="K19" s="1"/>
      <c r="L19" s="1"/>
    </row>
    <row r="20" spans="1:13" x14ac:dyDescent="0.25">
      <c r="A20" s="2" t="s">
        <v>64</v>
      </c>
      <c r="B20" s="22">
        <v>0.28999999999999998</v>
      </c>
      <c r="C20" s="20"/>
      <c r="K20" s="1"/>
      <c r="L20" s="1"/>
    </row>
    <row r="21" spans="1:13" x14ac:dyDescent="0.25">
      <c r="A21" s="17" t="s">
        <v>59</v>
      </c>
      <c r="B21" s="18">
        <f>(B7)/(1-(116/400))</f>
        <v>7665626.760563381</v>
      </c>
      <c r="C21" s="19" t="s">
        <v>60</v>
      </c>
      <c r="I21" s="24"/>
    </row>
    <row r="22" spans="1:13" x14ac:dyDescent="0.25">
      <c r="A22" s="17" t="s">
        <v>61</v>
      </c>
      <c r="B22" s="23">
        <f>B21/400</f>
        <v>19164.066901408452</v>
      </c>
      <c r="C22" s="20" t="s">
        <v>62</v>
      </c>
    </row>
    <row r="23" spans="1:13" x14ac:dyDescent="0.25">
      <c r="A23" s="17" t="s">
        <v>63</v>
      </c>
      <c r="B23" s="21">
        <f>B22*116</f>
        <v>2223031.7605633806</v>
      </c>
      <c r="C23" s="20"/>
    </row>
  </sheetData>
  <mergeCells count="12">
    <mergeCell ref="A17:B17"/>
    <mergeCell ref="A18:B18"/>
    <mergeCell ref="A11:C11"/>
    <mergeCell ref="A12:C12"/>
    <mergeCell ref="A13:C13"/>
    <mergeCell ref="A14:B14"/>
    <mergeCell ref="A15:B15"/>
    <mergeCell ref="A1:D1"/>
    <mergeCell ref="A2:D2"/>
    <mergeCell ref="F1:M1"/>
    <mergeCell ref="F2:M2"/>
    <mergeCell ref="A16:B16"/>
  </mergeCells>
  <pageMargins left="0.7" right="0.7" top="0.75" bottom="0.75" header="0.3" footer="0.3"/>
  <pageSetup orientation="portrait" r:id="rId1"/>
  <ignoredErrors>
    <ignoredError sqref="C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7353-D3A3-4D1C-8B32-A6BC1E542436}">
  <dimension ref="A1:S20"/>
  <sheetViews>
    <sheetView topLeftCell="E1" workbookViewId="0">
      <selection activeCell="O3" sqref="O3:S10"/>
    </sheetView>
  </sheetViews>
  <sheetFormatPr baseColWidth="10" defaultRowHeight="15" x14ac:dyDescent="0.25"/>
  <cols>
    <col min="1" max="1" width="19" bestFit="1" customWidth="1"/>
    <col min="3" max="3" width="0" hidden="1" customWidth="1"/>
    <col min="6" max="6" width="21.85546875" bestFit="1" customWidth="1"/>
    <col min="7" max="7" width="12.7109375" customWidth="1"/>
    <col min="8" max="8" width="12.7109375" hidden="1" customWidth="1"/>
    <col min="10" max="10" width="22.7109375" bestFit="1" customWidth="1"/>
    <col min="11" max="11" width="12.7109375" customWidth="1"/>
    <col min="12" max="12" width="12.7109375" hidden="1" customWidth="1"/>
    <col min="13" max="13" width="11.42578125" customWidth="1"/>
    <col min="15" max="15" width="24.5703125" customWidth="1"/>
  </cols>
  <sheetData>
    <row r="1" spans="1:19" x14ac:dyDescent="0.25">
      <c r="A1" s="45" t="s">
        <v>0</v>
      </c>
      <c r="B1" s="46"/>
      <c r="C1" s="46"/>
      <c r="D1" s="47"/>
      <c r="F1" s="45" t="s">
        <v>0</v>
      </c>
      <c r="G1" s="46"/>
      <c r="H1" s="46"/>
      <c r="I1" s="46"/>
      <c r="J1" s="46"/>
      <c r="K1" s="46"/>
      <c r="L1" s="46"/>
      <c r="M1" s="47"/>
    </row>
    <row r="2" spans="1:19" x14ac:dyDescent="0.25">
      <c r="A2" s="45" t="s">
        <v>48</v>
      </c>
      <c r="B2" s="46"/>
      <c r="C2" s="46"/>
      <c r="D2" s="47"/>
      <c r="F2" s="45" t="s">
        <v>49</v>
      </c>
      <c r="G2" s="46"/>
      <c r="H2" s="46"/>
      <c r="I2" s="46"/>
      <c r="J2" s="46"/>
      <c r="K2" s="46"/>
      <c r="L2" s="46"/>
      <c r="M2" s="47"/>
    </row>
    <row r="3" spans="1:19" x14ac:dyDescent="0.25">
      <c r="A3" s="2"/>
      <c r="B3" s="2">
        <v>2020</v>
      </c>
      <c r="C3" s="2">
        <v>2019</v>
      </c>
      <c r="D3" s="4" t="s">
        <v>35</v>
      </c>
      <c r="F3" s="2" t="s">
        <v>8</v>
      </c>
      <c r="G3" s="2">
        <v>2020</v>
      </c>
      <c r="H3" s="2">
        <v>2019</v>
      </c>
      <c r="I3" s="4" t="s">
        <v>35</v>
      </c>
      <c r="J3" s="2" t="s">
        <v>17</v>
      </c>
      <c r="K3" s="2">
        <v>2020</v>
      </c>
      <c r="L3" s="2">
        <v>2019</v>
      </c>
      <c r="M3" s="4" t="s">
        <v>35</v>
      </c>
      <c r="O3" s="50" t="s">
        <v>36</v>
      </c>
      <c r="P3" s="50" t="s">
        <v>37</v>
      </c>
      <c r="Q3" s="50" t="s">
        <v>38</v>
      </c>
      <c r="R3" s="48" t="s">
        <v>39</v>
      </c>
      <c r="S3" s="48"/>
    </row>
    <row r="4" spans="1:19" x14ac:dyDescent="0.25">
      <c r="A4" s="6" t="s">
        <v>2</v>
      </c>
      <c r="B4" s="7">
        <v>14790497</v>
      </c>
      <c r="C4" s="7">
        <v>14335674</v>
      </c>
      <c r="D4" s="8">
        <f>B4/$B$4</f>
        <v>1</v>
      </c>
      <c r="F4" s="2" t="s">
        <v>9</v>
      </c>
      <c r="G4" s="2"/>
      <c r="H4" s="2"/>
      <c r="I4" s="2"/>
      <c r="J4" s="2" t="s">
        <v>17</v>
      </c>
      <c r="K4" s="2"/>
      <c r="L4" s="2"/>
      <c r="M4" s="2"/>
      <c r="O4" s="50"/>
      <c r="P4" s="50"/>
      <c r="Q4" s="50"/>
      <c r="R4" s="10" t="s">
        <v>40</v>
      </c>
      <c r="S4" s="10" t="s">
        <v>41</v>
      </c>
    </row>
    <row r="5" spans="1:19" x14ac:dyDescent="0.25">
      <c r="A5" s="2" t="s">
        <v>3</v>
      </c>
      <c r="B5" s="3">
        <v>4278645</v>
      </c>
      <c r="C5" s="3">
        <v>4225360</v>
      </c>
      <c r="D5" s="9">
        <f t="shared" ref="D5:D8" si="0">B5/$B$4</f>
        <v>0.28928338243130031</v>
      </c>
      <c r="F5" s="2" t="s">
        <v>10</v>
      </c>
      <c r="G5" s="3">
        <v>4599514</v>
      </c>
      <c r="H5" s="3">
        <v>1421916</v>
      </c>
      <c r="I5" s="5">
        <f>G5/$G$17</f>
        <v>7.4296342923673264E-2</v>
      </c>
      <c r="J5" s="2" t="s">
        <v>9</v>
      </c>
      <c r="K5" s="2"/>
      <c r="L5" s="2"/>
      <c r="M5" s="2"/>
      <c r="O5" s="2" t="s">
        <v>42</v>
      </c>
      <c r="P5" s="11">
        <f>G5/K9</f>
        <v>0.23667581481042194</v>
      </c>
      <c r="Q5" s="11">
        <v>0.43</v>
      </c>
      <c r="R5" s="2"/>
      <c r="S5" s="12">
        <f>Q5-P5</f>
        <v>0.19332418518957806</v>
      </c>
    </row>
    <row r="6" spans="1:19" x14ac:dyDescent="0.25">
      <c r="A6" s="2" t="s">
        <v>4</v>
      </c>
      <c r="B6" s="3">
        <f>B4-B5</f>
        <v>10511852</v>
      </c>
      <c r="C6" s="3">
        <f>C4-C5</f>
        <v>10110314</v>
      </c>
      <c r="D6" s="9">
        <f t="shared" si="0"/>
        <v>0.71071661756869964</v>
      </c>
      <c r="F6" s="2" t="s">
        <v>11</v>
      </c>
      <c r="G6" s="3">
        <v>1659686</v>
      </c>
      <c r="H6" s="3">
        <v>1987072</v>
      </c>
      <c r="I6" s="5">
        <f t="shared" ref="I6:I17" si="1">G6/$G$17</f>
        <v>2.680904986953395E-2</v>
      </c>
      <c r="J6" s="2" t="s">
        <v>24</v>
      </c>
      <c r="K6" s="3">
        <v>6237956</v>
      </c>
      <c r="L6" s="3">
        <v>4800891</v>
      </c>
      <c r="M6" s="5">
        <f>K6/$K$18</f>
        <v>0.10076223664473793</v>
      </c>
      <c r="O6" s="2" t="s">
        <v>43</v>
      </c>
      <c r="P6" s="11">
        <f>G10/K9</f>
        <v>0.47912774717676382</v>
      </c>
      <c r="Q6" s="11">
        <v>1.46</v>
      </c>
      <c r="R6" s="2"/>
      <c r="S6" s="12">
        <f>Q6-P6</f>
        <v>0.98087225282323609</v>
      </c>
    </row>
    <row r="7" spans="1:19" x14ac:dyDescent="0.25">
      <c r="A7" s="2" t="s">
        <v>5</v>
      </c>
      <c r="B7" s="3">
        <v>5442595</v>
      </c>
      <c r="C7" s="3">
        <v>5194922</v>
      </c>
      <c r="D7" s="9">
        <f t="shared" si="0"/>
        <v>0.36797918284963649</v>
      </c>
      <c r="F7" s="2" t="s">
        <v>12</v>
      </c>
      <c r="G7" s="3">
        <v>1026997</v>
      </c>
      <c r="H7" s="3">
        <v>1103972</v>
      </c>
      <c r="I7" s="5">
        <f t="shared" si="1"/>
        <v>1.6589170354429549E-2</v>
      </c>
      <c r="J7" s="2" t="s">
        <v>25</v>
      </c>
      <c r="K7" s="3">
        <v>5690771</v>
      </c>
      <c r="L7" s="3">
        <v>5019788</v>
      </c>
      <c r="M7" s="5">
        <f t="shared" ref="M7:M18" si="2">K7/$K$18</f>
        <v>9.1923510552657309E-2</v>
      </c>
      <c r="O7" s="2" t="s">
        <v>44</v>
      </c>
      <c r="P7" s="11">
        <f>K13/G17</f>
        <v>0.69693912113678569</v>
      </c>
      <c r="Q7" s="11">
        <v>0.37</v>
      </c>
      <c r="R7" s="12"/>
      <c r="S7" s="12">
        <f>P7-Q7</f>
        <v>0.32693912113678569</v>
      </c>
    </row>
    <row r="8" spans="1:19" x14ac:dyDescent="0.25">
      <c r="A8" s="2" t="s">
        <v>6</v>
      </c>
      <c r="B8" s="3">
        <f>B6-B7</f>
        <v>5069257</v>
      </c>
      <c r="C8" s="3">
        <f>C6-C7</f>
        <v>4915392</v>
      </c>
      <c r="D8" s="9">
        <f t="shared" si="0"/>
        <v>0.34273743471906321</v>
      </c>
      <c r="F8" s="2" t="s">
        <v>13</v>
      </c>
      <c r="G8" s="3">
        <v>906107</v>
      </c>
      <c r="H8" s="3">
        <v>777333</v>
      </c>
      <c r="I8" s="5">
        <f t="shared" si="1"/>
        <v>1.4636423847724088E-2</v>
      </c>
      <c r="J8" s="2" t="s">
        <v>26</v>
      </c>
      <c r="K8" s="3">
        <v>7505088</v>
      </c>
      <c r="L8" s="3">
        <v>5612785</v>
      </c>
      <c r="M8" s="5">
        <f t="shared" si="2"/>
        <v>0.1212303281869226</v>
      </c>
      <c r="O8" s="2" t="s">
        <v>45</v>
      </c>
      <c r="P8" s="11">
        <f>G16/K17</f>
        <v>2.8033776618921591</v>
      </c>
      <c r="Q8" s="11">
        <v>0.68</v>
      </c>
      <c r="R8" s="2"/>
      <c r="S8" s="12">
        <f>P8-Q8</f>
        <v>2.1233776618921589</v>
      </c>
    </row>
    <row r="9" spans="1:19" x14ac:dyDescent="0.25">
      <c r="F9" s="2" t="s">
        <v>14</v>
      </c>
      <c r="G9" s="3">
        <v>1118976</v>
      </c>
      <c r="H9" s="3">
        <v>941233</v>
      </c>
      <c r="I9" s="5">
        <f t="shared" si="1"/>
        <v>1.8074915006098518E-2</v>
      </c>
      <c r="J9" s="2" t="s">
        <v>27</v>
      </c>
      <c r="K9" s="3">
        <f>SUM(K6:K8)</f>
        <v>19433815</v>
      </c>
      <c r="L9" s="3">
        <f>SUM(L6:L8)</f>
        <v>15433464</v>
      </c>
      <c r="M9" s="5">
        <f t="shared" si="2"/>
        <v>0.31391607538431787</v>
      </c>
      <c r="O9" s="2" t="s">
        <v>46</v>
      </c>
      <c r="P9" s="11">
        <f>B8/B4</f>
        <v>0.34273743471906321</v>
      </c>
      <c r="Q9" s="11">
        <v>0.18</v>
      </c>
      <c r="R9" s="12">
        <f>P9-Q9</f>
        <v>0.16273743471906321</v>
      </c>
      <c r="S9" s="2"/>
    </row>
    <row r="10" spans="1:19" x14ac:dyDescent="0.25">
      <c r="F10" s="2" t="s">
        <v>15</v>
      </c>
      <c r="G10" s="3">
        <f>SUM(G5:G9)</f>
        <v>9311280</v>
      </c>
      <c r="H10" s="3">
        <f>SUM(H5:H9)</f>
        <v>6231526</v>
      </c>
      <c r="I10" s="5">
        <f t="shared" si="1"/>
        <v>0.15040590200145937</v>
      </c>
      <c r="J10" s="2" t="s">
        <v>16</v>
      </c>
      <c r="K10" s="3"/>
      <c r="L10" s="3"/>
      <c r="M10" s="5">
        <f t="shared" si="2"/>
        <v>0</v>
      </c>
      <c r="O10" s="2" t="s">
        <v>47</v>
      </c>
      <c r="P10" s="11">
        <f>K16/K15</f>
        <v>0.37022040764100855</v>
      </c>
      <c r="Q10" s="11">
        <v>0.09</v>
      </c>
      <c r="R10" s="12">
        <f>P10-Q10</f>
        <v>0.28022040764100853</v>
      </c>
      <c r="S10" s="2"/>
    </row>
    <row r="11" spans="1:19" x14ac:dyDescent="0.25">
      <c r="F11" s="2" t="s">
        <v>16</v>
      </c>
      <c r="G11" s="3"/>
      <c r="H11" s="3"/>
      <c r="I11" s="5"/>
      <c r="J11" s="2" t="s">
        <v>28</v>
      </c>
      <c r="K11" s="3">
        <f>K13-K9</f>
        <v>23712067</v>
      </c>
      <c r="L11" s="3">
        <f>L13-L9</f>
        <v>17875936</v>
      </c>
      <c r="M11" s="5">
        <f t="shared" si="2"/>
        <v>0.38302304575246782</v>
      </c>
    </row>
    <row r="12" spans="1:19" x14ac:dyDescent="0.25">
      <c r="F12" s="2" t="s">
        <v>18</v>
      </c>
      <c r="G12" s="3">
        <v>17938472</v>
      </c>
      <c r="H12" s="3">
        <v>18374903</v>
      </c>
      <c r="I12" s="5">
        <f t="shared" si="1"/>
        <v>0.28976167204594028</v>
      </c>
      <c r="J12" s="2" t="s">
        <v>29</v>
      </c>
      <c r="K12" s="3">
        <v>23712067</v>
      </c>
      <c r="L12" s="3">
        <v>17875936</v>
      </c>
      <c r="M12" s="5">
        <f t="shared" si="2"/>
        <v>0.38302304575246782</v>
      </c>
    </row>
    <row r="13" spans="1:19" x14ac:dyDescent="0.25">
      <c r="F13" s="2" t="s">
        <v>19</v>
      </c>
      <c r="G13" s="3">
        <v>19851970</v>
      </c>
      <c r="H13" s="3">
        <v>27502708</v>
      </c>
      <c r="I13" s="5">
        <f t="shared" si="1"/>
        <v>0.32067056885368189</v>
      </c>
      <c r="J13" s="2" t="s">
        <v>30</v>
      </c>
      <c r="K13" s="3">
        <v>43145882</v>
      </c>
      <c r="L13" s="3">
        <v>33309400</v>
      </c>
      <c r="M13" s="5">
        <f t="shared" si="2"/>
        <v>0.69693912113678569</v>
      </c>
    </row>
    <row r="14" spans="1:19" x14ac:dyDescent="0.25">
      <c r="F14" s="2" t="s">
        <v>20</v>
      </c>
      <c r="G14" s="3">
        <v>13986926</v>
      </c>
      <c r="H14" s="3">
        <v>12971573</v>
      </c>
      <c r="I14" s="5">
        <f t="shared" si="1"/>
        <v>0.22593201163080306</v>
      </c>
      <c r="J14" s="2" t="s">
        <v>31</v>
      </c>
      <c r="K14" s="3"/>
      <c r="L14" s="3"/>
      <c r="M14" s="5">
        <f t="shared" si="2"/>
        <v>0</v>
      </c>
    </row>
    <row r="15" spans="1:19" x14ac:dyDescent="0.25">
      <c r="F15" s="2" t="s">
        <v>21</v>
      </c>
      <c r="G15" s="3">
        <v>819029</v>
      </c>
      <c r="H15" s="3">
        <v>1629002</v>
      </c>
      <c r="I15" s="5">
        <f t="shared" si="1"/>
        <v>1.3229845468115368E-2</v>
      </c>
      <c r="J15" s="2" t="s">
        <v>32</v>
      </c>
      <c r="K15" s="3">
        <f>K17-K16</f>
        <v>13692538</v>
      </c>
      <c r="L15" s="3">
        <f>L17-L16</f>
        <v>28484920</v>
      </c>
      <c r="M15" s="5">
        <f t="shared" si="2"/>
        <v>0.22117673709514249</v>
      </c>
    </row>
    <row r="16" spans="1:19" x14ac:dyDescent="0.25">
      <c r="F16" s="2" t="s">
        <v>22</v>
      </c>
      <c r="G16" s="3">
        <f>SUM(G12:G15)</f>
        <v>52596397</v>
      </c>
      <c r="H16" s="3">
        <f>SUM(H12:H15)</f>
        <v>60478186</v>
      </c>
      <c r="I16" s="5">
        <f t="shared" si="1"/>
        <v>0.84959409799854069</v>
      </c>
      <c r="J16" s="2" t="s">
        <v>6</v>
      </c>
      <c r="K16" s="3">
        <v>5069257</v>
      </c>
      <c r="L16" s="3">
        <v>4915392</v>
      </c>
      <c r="M16" s="5">
        <f t="shared" si="2"/>
        <v>8.1884141768071836E-2</v>
      </c>
    </row>
    <row r="17" spans="6:13" x14ac:dyDescent="0.25">
      <c r="F17" s="6" t="s">
        <v>23</v>
      </c>
      <c r="G17" s="7">
        <f>G10+G16</f>
        <v>61907677</v>
      </c>
      <c r="H17" s="7">
        <f>H10+H16</f>
        <v>66709712</v>
      </c>
      <c r="I17" s="8">
        <f t="shared" si="1"/>
        <v>1</v>
      </c>
      <c r="J17" s="2" t="s">
        <v>33</v>
      </c>
      <c r="K17" s="3">
        <f>K18-K13</f>
        <v>18761795</v>
      </c>
      <c r="L17" s="3">
        <f>L18-L13</f>
        <v>33400312</v>
      </c>
      <c r="M17" s="5">
        <f t="shared" si="2"/>
        <v>0.30306087886321431</v>
      </c>
    </row>
    <row r="18" spans="6:13" x14ac:dyDescent="0.25">
      <c r="F18" s="2"/>
      <c r="G18" s="2"/>
      <c r="H18" s="2"/>
      <c r="I18" s="2"/>
      <c r="J18" s="6" t="s">
        <v>34</v>
      </c>
      <c r="K18" s="7">
        <v>61907677</v>
      </c>
      <c r="L18" s="7">
        <v>66709712</v>
      </c>
      <c r="M18" s="8">
        <f t="shared" si="2"/>
        <v>1</v>
      </c>
    </row>
    <row r="19" spans="6:13" x14ac:dyDescent="0.25">
      <c r="K19" s="1"/>
      <c r="L19" s="1"/>
    </row>
    <row r="20" spans="6:13" x14ac:dyDescent="0.25">
      <c r="K20" s="1"/>
      <c r="L20" s="1"/>
    </row>
  </sheetData>
  <mergeCells count="8">
    <mergeCell ref="A1:D1"/>
    <mergeCell ref="A2:D2"/>
    <mergeCell ref="Q3:Q4"/>
    <mergeCell ref="R3:S3"/>
    <mergeCell ref="O3:O4"/>
    <mergeCell ref="P3:P4"/>
    <mergeCell ref="F1:M1"/>
    <mergeCell ref="F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CFEB-534C-44F8-A3CB-24A738C685DD}">
  <dimension ref="A1:T44"/>
  <sheetViews>
    <sheetView tabSelected="1" topLeftCell="J22" workbookViewId="0">
      <selection activeCell="S37" sqref="S37"/>
    </sheetView>
  </sheetViews>
  <sheetFormatPr baseColWidth="10" defaultRowHeight="15" x14ac:dyDescent="0.25"/>
  <cols>
    <col min="1" max="1" width="19.140625" bestFit="1" customWidth="1"/>
    <col min="2" max="2" width="15.140625" bestFit="1" customWidth="1"/>
    <col min="3" max="3" width="0" hidden="1" customWidth="1"/>
    <col min="5" max="5" width="14.140625" bestFit="1" customWidth="1"/>
    <col min="6" max="6" width="22" bestFit="1" customWidth="1"/>
    <col min="7" max="7" width="12.7109375" customWidth="1"/>
    <col min="8" max="8" width="12.7109375" hidden="1" customWidth="1"/>
    <col min="9" max="9" width="14.140625" bestFit="1" customWidth="1"/>
    <col min="10" max="10" width="22.85546875" bestFit="1" customWidth="1"/>
    <col min="11" max="11" width="12.7109375" customWidth="1"/>
    <col min="12" max="12" width="12.7109375" hidden="1" customWidth="1"/>
    <col min="13" max="13" width="11.42578125" customWidth="1"/>
    <col min="14" max="14" width="21.28515625" customWidth="1"/>
    <col min="15" max="15" width="24.5703125" customWidth="1"/>
    <col min="16" max="16" width="18.5703125" customWidth="1"/>
    <col min="18" max="18" width="20.85546875" customWidth="1"/>
    <col min="19" max="20" width="18.7109375" customWidth="1"/>
  </cols>
  <sheetData>
    <row r="1" spans="6:19" x14ac:dyDescent="0.25">
      <c r="F1" s="45" t="s">
        <v>0</v>
      </c>
      <c r="G1" s="46"/>
      <c r="H1" s="46"/>
      <c r="I1" s="46"/>
      <c r="J1" s="46"/>
      <c r="K1" s="46"/>
      <c r="L1" s="46"/>
      <c r="M1" s="47"/>
    </row>
    <row r="2" spans="6:19" x14ac:dyDescent="0.25">
      <c r="F2" s="45" t="s">
        <v>65</v>
      </c>
      <c r="G2" s="46"/>
      <c r="H2" s="46"/>
      <c r="I2" s="46"/>
      <c r="J2" s="46"/>
      <c r="K2" s="46"/>
      <c r="L2" s="46"/>
      <c r="M2" s="47"/>
    </row>
    <row r="3" spans="6:19" x14ac:dyDescent="0.25">
      <c r="F3" s="2" t="s">
        <v>8</v>
      </c>
      <c r="G3" s="2">
        <v>2020</v>
      </c>
      <c r="H3" s="2">
        <v>2019</v>
      </c>
      <c r="I3" s="4" t="s">
        <v>35</v>
      </c>
      <c r="J3" s="2" t="s">
        <v>17</v>
      </c>
      <c r="K3" s="2">
        <v>2020</v>
      </c>
      <c r="L3" s="2">
        <v>2019</v>
      </c>
      <c r="M3" s="4" t="s">
        <v>35</v>
      </c>
      <c r="O3" s="50" t="s">
        <v>36</v>
      </c>
      <c r="P3" s="50" t="s">
        <v>66</v>
      </c>
      <c r="Q3" s="50" t="s">
        <v>38</v>
      </c>
      <c r="R3" s="48" t="s">
        <v>39</v>
      </c>
      <c r="S3" s="48"/>
    </row>
    <row r="4" spans="6:19" x14ac:dyDescent="0.25">
      <c r="F4" s="2" t="s">
        <v>9</v>
      </c>
      <c r="G4" s="2"/>
      <c r="H4" s="2"/>
      <c r="I4" s="2"/>
      <c r="J4" s="2" t="s">
        <v>17</v>
      </c>
      <c r="K4" s="2"/>
      <c r="L4" s="2"/>
      <c r="M4" s="2"/>
      <c r="O4" s="50"/>
      <c r="P4" s="50"/>
      <c r="Q4" s="50"/>
      <c r="R4" s="10" t="s">
        <v>40</v>
      </c>
      <c r="S4" s="10" t="s">
        <v>41</v>
      </c>
    </row>
    <row r="5" spans="6:19" x14ac:dyDescent="0.25">
      <c r="F5" s="2" t="s">
        <v>10</v>
      </c>
      <c r="G5" s="3">
        <v>5188446.5774647892</v>
      </c>
      <c r="H5" s="3">
        <v>1421916</v>
      </c>
      <c r="I5" s="5">
        <f>G5/$G$17</f>
        <v>8.3216170035436909E-2</v>
      </c>
      <c r="J5" s="2" t="s">
        <v>9</v>
      </c>
      <c r="K5" s="2"/>
      <c r="L5" s="2"/>
      <c r="M5" s="2"/>
      <c r="O5" s="2" t="s">
        <v>42</v>
      </c>
      <c r="P5" s="11">
        <f>G5/K9</f>
        <v>0.29760821584172997</v>
      </c>
      <c r="Q5" s="11">
        <v>0.43</v>
      </c>
      <c r="R5" s="2"/>
      <c r="S5" s="12">
        <f>Q5-P5</f>
        <v>0.13239178415827002</v>
      </c>
    </row>
    <row r="6" spans="6:19" x14ac:dyDescent="0.25">
      <c r="F6" s="2" t="s">
        <v>11</v>
      </c>
      <c r="G6" s="3">
        <v>1512095.5525352112</v>
      </c>
      <c r="H6" s="3">
        <v>1987072</v>
      </c>
      <c r="I6" s="5">
        <f t="shared" ref="I6:I17" si="0">G6/$G$17</f>
        <v>2.4252114526171393E-2</v>
      </c>
      <c r="J6" s="2" t="s">
        <v>24</v>
      </c>
      <c r="K6" s="3">
        <v>5437956</v>
      </c>
      <c r="L6" s="3">
        <v>4800891</v>
      </c>
      <c r="M6" s="5">
        <f>K6/$K$18</f>
        <v>8.7217987963237431E-2</v>
      </c>
      <c r="O6" s="2" t="s">
        <v>43</v>
      </c>
      <c r="P6" s="11">
        <f>G10/K9</f>
        <v>0.55940837561945</v>
      </c>
      <c r="Q6" s="11">
        <v>1.46</v>
      </c>
      <c r="R6" s="2"/>
      <c r="S6" s="12">
        <f>Q6-P6</f>
        <v>0.90059162438054996</v>
      </c>
    </row>
    <row r="7" spans="6:19" x14ac:dyDescent="0.25">
      <c r="F7" s="2" t="s">
        <v>12</v>
      </c>
      <c r="G7" s="3">
        <v>1026997</v>
      </c>
      <c r="H7" s="3">
        <v>1103972</v>
      </c>
      <c r="I7" s="5">
        <f t="shared" si="0"/>
        <v>1.647174268866481E-2</v>
      </c>
      <c r="J7" s="2" t="s">
        <v>25</v>
      </c>
      <c r="K7" s="3">
        <v>4890771</v>
      </c>
      <c r="L7" s="3">
        <v>5019788</v>
      </c>
      <c r="M7" s="5">
        <f t="shared" ref="M7:M18" si="1">K7/$K$18</f>
        <v>7.8441827445634119E-2</v>
      </c>
      <c r="O7" s="2" t="s">
        <v>44</v>
      </c>
      <c r="P7" s="11">
        <f>K13/G17</f>
        <v>0.65992829677415321</v>
      </c>
      <c r="Q7" s="11">
        <v>0.37</v>
      </c>
      <c r="R7" s="12"/>
      <c r="S7" s="12">
        <f>P7-Q7</f>
        <v>0.28992829677415322</v>
      </c>
    </row>
    <row r="8" spans="6:19" x14ac:dyDescent="0.25">
      <c r="F8" s="2" t="s">
        <v>13</v>
      </c>
      <c r="G8" s="3">
        <v>906107</v>
      </c>
      <c r="H8" s="3">
        <v>777333</v>
      </c>
      <c r="I8" s="5">
        <f t="shared" si="0"/>
        <v>1.4532818842117363E-2</v>
      </c>
      <c r="J8" s="2" t="s">
        <v>26</v>
      </c>
      <c r="K8" s="3">
        <v>7105088</v>
      </c>
      <c r="L8" s="3">
        <v>5612785</v>
      </c>
      <c r="M8" s="5">
        <f t="shared" si="1"/>
        <v>0.11395669248918945</v>
      </c>
      <c r="O8" s="2" t="s">
        <v>45</v>
      </c>
      <c r="P8" s="11">
        <f>G16/K17</f>
        <v>2.4805950495684974</v>
      </c>
      <c r="Q8" s="11">
        <v>0.68</v>
      </c>
      <c r="R8" s="2"/>
      <c r="S8" s="12">
        <f>P8-Q8</f>
        <v>1.8005950495684973</v>
      </c>
    </row>
    <row r="9" spans="6:19" x14ac:dyDescent="0.25">
      <c r="F9" s="2" t="s">
        <v>14</v>
      </c>
      <c r="G9" s="3">
        <v>1118976</v>
      </c>
      <c r="H9" s="3">
        <v>941233</v>
      </c>
      <c r="I9" s="5">
        <f t="shared" si="0"/>
        <v>1.794697038724689E-2</v>
      </c>
      <c r="J9" s="2" t="s">
        <v>27</v>
      </c>
      <c r="K9" s="3">
        <f>SUM(K6:K8)</f>
        <v>17433815</v>
      </c>
      <c r="L9" s="3">
        <f>SUM(L6:L8)</f>
        <v>15433464</v>
      </c>
      <c r="M9" s="5">
        <f t="shared" si="1"/>
        <v>0.27961650789806097</v>
      </c>
      <c r="O9" s="2" t="s">
        <v>46</v>
      </c>
      <c r="P9" s="11">
        <f>S32/S26</f>
        <v>0.49090713428052862</v>
      </c>
      <c r="Q9" s="11">
        <v>0.18</v>
      </c>
      <c r="R9" s="12">
        <f>P9-Q9</f>
        <v>0.31090713428052863</v>
      </c>
      <c r="S9" s="2"/>
    </row>
    <row r="10" spans="6:19" x14ac:dyDescent="0.25">
      <c r="F10" s="2" t="s">
        <v>15</v>
      </c>
      <c r="G10" s="3">
        <f>SUM(G5:G9)</f>
        <v>9752622.1300000008</v>
      </c>
      <c r="H10" s="3">
        <f>SUM(H5:H9)</f>
        <v>6231526</v>
      </c>
      <c r="I10" s="5">
        <f t="shared" si="0"/>
        <v>0.15641981647963737</v>
      </c>
      <c r="J10" s="2" t="s">
        <v>16</v>
      </c>
      <c r="K10" s="3"/>
      <c r="L10" s="3"/>
      <c r="M10" s="5">
        <f t="shared" si="1"/>
        <v>0</v>
      </c>
      <c r="O10" s="2" t="s">
        <v>47</v>
      </c>
      <c r="P10" s="11">
        <f>K16/K15</f>
        <v>0.54851767656222672</v>
      </c>
      <c r="Q10" s="11">
        <v>0.09</v>
      </c>
      <c r="R10" s="12">
        <f>P10-Q10</f>
        <v>0.45851767656222675</v>
      </c>
      <c r="S10" s="2"/>
    </row>
    <row r="11" spans="6:19" x14ac:dyDescent="0.25">
      <c r="F11" s="2" t="s">
        <v>16</v>
      </c>
      <c r="G11" s="3"/>
      <c r="H11" s="3"/>
      <c r="I11" s="5"/>
      <c r="J11" s="2" t="s">
        <v>28</v>
      </c>
      <c r="K11" s="3">
        <f>K13-K9</f>
        <v>23712067</v>
      </c>
      <c r="L11" s="3">
        <f>L13-L9</f>
        <v>17875936</v>
      </c>
      <c r="M11" s="5">
        <f t="shared" si="1"/>
        <v>0.38031178887609235</v>
      </c>
    </row>
    <row r="12" spans="6:19" x14ac:dyDescent="0.25">
      <c r="F12" s="2" t="s">
        <v>18</v>
      </c>
      <c r="G12" s="3">
        <v>17938472</v>
      </c>
      <c r="H12" s="3">
        <v>18374903</v>
      </c>
      <c r="I12" s="5">
        <f t="shared" si="0"/>
        <v>0.28771057268114553</v>
      </c>
      <c r="J12" s="2" t="s">
        <v>29</v>
      </c>
      <c r="K12" s="3">
        <v>23712067</v>
      </c>
      <c r="L12" s="3">
        <v>17875936</v>
      </c>
      <c r="M12" s="5">
        <f t="shared" si="1"/>
        <v>0.38031178887609235</v>
      </c>
    </row>
    <row r="13" spans="6:19" x14ac:dyDescent="0.25">
      <c r="F13" s="2" t="s">
        <v>19</v>
      </c>
      <c r="G13" s="3">
        <v>19851970</v>
      </c>
      <c r="H13" s="3">
        <v>27502708</v>
      </c>
      <c r="I13" s="5">
        <f t="shared" si="0"/>
        <v>0.31840067858337773</v>
      </c>
      <c r="J13" s="2" t="s">
        <v>30</v>
      </c>
      <c r="K13" s="3">
        <f>K12+K9</f>
        <v>41145882</v>
      </c>
      <c r="L13" s="3">
        <v>33309400</v>
      </c>
      <c r="M13" s="5">
        <f t="shared" si="1"/>
        <v>0.65992829677415332</v>
      </c>
    </row>
    <row r="14" spans="6:19" x14ac:dyDescent="0.25">
      <c r="F14" s="2" t="s">
        <v>20</v>
      </c>
      <c r="G14" s="3">
        <v>13986926</v>
      </c>
      <c r="H14" s="3">
        <v>12971573</v>
      </c>
      <c r="I14" s="5">
        <f t="shared" si="0"/>
        <v>0.22433273522453887</v>
      </c>
      <c r="J14" s="2" t="s">
        <v>31</v>
      </c>
      <c r="K14" s="3"/>
      <c r="L14" s="3"/>
      <c r="M14" s="5">
        <f t="shared" si="1"/>
        <v>0</v>
      </c>
      <c r="P14" s="24"/>
      <c r="S14" s="24"/>
    </row>
    <row r="15" spans="6:19" x14ac:dyDescent="0.25">
      <c r="F15" s="2" t="s">
        <v>21</v>
      </c>
      <c r="G15" s="3">
        <v>819029</v>
      </c>
      <c r="H15" s="3">
        <v>1629002</v>
      </c>
      <c r="I15" s="5">
        <f t="shared" si="0"/>
        <v>1.3136197031300433E-2</v>
      </c>
      <c r="J15" s="2" t="s">
        <v>32</v>
      </c>
      <c r="K15" s="3">
        <v>13692538</v>
      </c>
      <c r="L15" s="3">
        <f>L17-L16</f>
        <v>28484920</v>
      </c>
      <c r="M15" s="5">
        <f t="shared" si="1"/>
        <v>0.21961112125036891</v>
      </c>
      <c r="P15" s="24"/>
      <c r="S15" s="24"/>
    </row>
    <row r="16" spans="6:19" x14ac:dyDescent="0.25">
      <c r="F16" s="2" t="s">
        <v>22</v>
      </c>
      <c r="G16" s="3">
        <f>SUM(G12:G15)</f>
        <v>52596397</v>
      </c>
      <c r="H16" s="3">
        <f>SUM(H12:H15)</f>
        <v>60478186</v>
      </c>
      <c r="I16" s="5">
        <f t="shared" si="0"/>
        <v>0.84358018352036257</v>
      </c>
      <c r="J16" s="2" t="s">
        <v>6</v>
      </c>
      <c r="K16" s="3">
        <f>S32</f>
        <v>7510599.129999999</v>
      </c>
      <c r="L16" s="3">
        <v>4915392</v>
      </c>
      <c r="M16" s="5">
        <f t="shared" si="1"/>
        <v>0.12046058197547782</v>
      </c>
      <c r="P16" s="24"/>
      <c r="S16" s="24"/>
    </row>
    <row r="17" spans="1:20" x14ac:dyDescent="0.25">
      <c r="F17" s="6" t="s">
        <v>23</v>
      </c>
      <c r="G17" s="7">
        <f>G10+G16</f>
        <v>62349019.130000003</v>
      </c>
      <c r="H17" s="7">
        <f>H10+H16</f>
        <v>66709712</v>
      </c>
      <c r="I17" s="8">
        <f t="shared" si="0"/>
        <v>1</v>
      </c>
      <c r="J17" s="2" t="s">
        <v>33</v>
      </c>
      <c r="K17" s="3">
        <f>K15+K16</f>
        <v>21203137.129999999</v>
      </c>
      <c r="L17" s="3">
        <f>L18-L13</f>
        <v>33400312</v>
      </c>
      <c r="M17" s="5">
        <f t="shared" si="1"/>
        <v>0.34007170322584673</v>
      </c>
      <c r="P17" s="24"/>
      <c r="S17" s="24"/>
    </row>
    <row r="18" spans="1:20" x14ac:dyDescent="0.25">
      <c r="F18" s="2"/>
      <c r="G18" s="2"/>
      <c r="H18" s="2"/>
      <c r="I18" s="2"/>
      <c r="J18" s="6" t="s">
        <v>34</v>
      </c>
      <c r="K18" s="7">
        <f>K13+K17</f>
        <v>62349019.129999995</v>
      </c>
      <c r="L18" s="7">
        <v>66709712</v>
      </c>
      <c r="M18" s="8">
        <f t="shared" si="1"/>
        <v>1</v>
      </c>
      <c r="P18" s="24"/>
      <c r="R18" s="24"/>
    </row>
    <row r="19" spans="1:20" x14ac:dyDescent="0.25">
      <c r="K19" s="1"/>
      <c r="L19" s="1"/>
      <c r="P19" s="24"/>
      <c r="R19" s="24"/>
    </row>
    <row r="20" spans="1:20" x14ac:dyDescent="0.25">
      <c r="A20" s="52" t="s">
        <v>68</v>
      </c>
      <c r="B20" s="52"/>
      <c r="C20" s="52"/>
      <c r="D20" s="52"/>
      <c r="E20" s="52"/>
      <c r="F20" s="52"/>
      <c r="G20" s="52"/>
      <c r="H20" s="52"/>
      <c r="I20" s="52"/>
      <c r="K20" s="1"/>
      <c r="L20" s="1"/>
      <c r="N20" s="52" t="s">
        <v>77</v>
      </c>
      <c r="O20" s="52"/>
      <c r="P20" s="52"/>
      <c r="Q20" s="52"/>
      <c r="R20" s="52"/>
      <c r="S20" s="52"/>
      <c r="T20" s="52"/>
    </row>
    <row r="21" spans="1:20" x14ac:dyDescent="0.25">
      <c r="A21" s="52" t="s">
        <v>69</v>
      </c>
      <c r="B21" s="52"/>
      <c r="C21" s="52"/>
      <c r="D21" s="52"/>
      <c r="E21" s="52"/>
      <c r="F21" s="52"/>
      <c r="G21" s="52"/>
      <c r="H21" s="52"/>
      <c r="I21" s="52"/>
      <c r="N21" s="52" t="s">
        <v>80</v>
      </c>
      <c r="O21" s="52"/>
      <c r="P21" s="52"/>
      <c r="Q21" s="52"/>
      <c r="R21" s="52"/>
      <c r="S21" s="52"/>
      <c r="T21" s="52"/>
    </row>
    <row r="22" spans="1:20" x14ac:dyDescent="0.25">
      <c r="A22" s="52" t="s">
        <v>70</v>
      </c>
      <c r="B22" s="52"/>
      <c r="C22" s="52"/>
      <c r="D22" s="52"/>
      <c r="E22" s="52"/>
      <c r="F22" s="52"/>
      <c r="G22" s="52"/>
      <c r="H22" s="52"/>
      <c r="I22" s="52"/>
      <c r="N22" s="53" t="s">
        <v>78</v>
      </c>
      <c r="O22" s="53"/>
      <c r="P22" s="53"/>
      <c r="Q22" s="53"/>
      <c r="R22" s="53"/>
      <c r="S22" s="53"/>
      <c r="T22" s="53"/>
    </row>
    <row r="23" spans="1:20" x14ac:dyDescent="0.25">
      <c r="A23" s="52"/>
      <c r="B23" s="52"/>
      <c r="C23" s="52"/>
      <c r="D23" s="52"/>
      <c r="E23" s="52"/>
      <c r="F23" s="52"/>
      <c r="G23" s="52"/>
      <c r="H23" s="52"/>
      <c r="I23" s="52"/>
      <c r="N23" s="48" t="s">
        <v>76</v>
      </c>
      <c r="O23" s="48"/>
      <c r="P23" s="48"/>
      <c r="R23" s="45" t="s">
        <v>0</v>
      </c>
      <c r="S23" s="46"/>
      <c r="T23" s="47"/>
    </row>
    <row r="24" spans="1:20" x14ac:dyDescent="0.25">
      <c r="N24" s="48" t="s">
        <v>52</v>
      </c>
      <c r="O24" s="48"/>
      <c r="P24" s="48"/>
      <c r="R24" s="45" t="s">
        <v>53</v>
      </c>
      <c r="S24" s="46"/>
      <c r="T24" s="47"/>
    </row>
    <row r="25" spans="1:20" x14ac:dyDescent="0.25">
      <c r="A25" s="51" t="s">
        <v>10</v>
      </c>
      <c r="B25" s="51"/>
      <c r="C25" s="25"/>
      <c r="D25" s="25"/>
      <c r="E25" s="51" t="s">
        <v>71</v>
      </c>
      <c r="F25" s="51"/>
      <c r="I25" s="51" t="s">
        <v>57</v>
      </c>
      <c r="J25" s="51"/>
      <c r="N25" s="48" t="s">
        <v>53</v>
      </c>
      <c r="O25" s="48"/>
      <c r="P25" s="48"/>
      <c r="R25" s="2"/>
      <c r="S25" s="2">
        <v>2020</v>
      </c>
      <c r="T25" s="4" t="s">
        <v>35</v>
      </c>
    </row>
    <row r="26" spans="1:20" x14ac:dyDescent="0.25">
      <c r="A26" s="32">
        <v>4599514</v>
      </c>
      <c r="B26" s="33">
        <f>A34-J26</f>
        <v>760000</v>
      </c>
      <c r="F26" s="36">
        <v>2000000</v>
      </c>
      <c r="I26" s="34">
        <v>5442595</v>
      </c>
      <c r="J26" s="33">
        <f>A34*0.05</f>
        <v>40000</v>
      </c>
      <c r="N26" s="49" t="s">
        <v>54</v>
      </c>
      <c r="O26" s="49"/>
      <c r="P26" s="27">
        <f>O36</f>
        <v>15299429.577464789</v>
      </c>
      <c r="R26" s="6" t="s">
        <v>2</v>
      </c>
      <c r="S26" s="44">
        <v>15299429.577464789</v>
      </c>
      <c r="T26" s="8">
        <f>S26/$S$26</f>
        <v>1</v>
      </c>
    </row>
    <row r="27" spans="1:20" x14ac:dyDescent="0.25">
      <c r="A27" s="34">
        <v>2000000</v>
      </c>
      <c r="B27" s="33">
        <f>E34-J27</f>
        <v>760000</v>
      </c>
      <c r="I27" s="34"/>
      <c r="J27" s="33">
        <f>E34*0.05</f>
        <v>40000</v>
      </c>
      <c r="N27" s="49" t="s">
        <v>55</v>
      </c>
      <c r="O27" s="49"/>
      <c r="P27" s="27">
        <f>O38</f>
        <v>4436834.5774647882</v>
      </c>
      <c r="R27" s="2" t="s">
        <v>3</v>
      </c>
      <c r="S27" s="27">
        <v>4426235.4474647893</v>
      </c>
      <c r="T27" s="9">
        <f t="shared" ref="T27:T32" si="2">S27/$S$26</f>
        <v>0.28930722057666702</v>
      </c>
    </row>
    <row r="28" spans="1:20" x14ac:dyDescent="0.25">
      <c r="A28" s="34">
        <v>508932.57746478915</v>
      </c>
      <c r="B28" s="33">
        <f>I34</f>
        <v>400000</v>
      </c>
      <c r="I28" s="32">
        <f>I26</f>
        <v>5442595</v>
      </c>
      <c r="J28" s="35">
        <f>SUM(J26:J27)</f>
        <v>80000</v>
      </c>
      <c r="N28" s="49" t="s">
        <v>56</v>
      </c>
      <c r="O28" s="49"/>
      <c r="P28" s="27">
        <f>P26-P27</f>
        <v>10862595</v>
      </c>
      <c r="R28" s="2" t="s">
        <v>4</v>
      </c>
      <c r="S28" s="27">
        <f>S26-S27</f>
        <v>10873194.129999999</v>
      </c>
      <c r="T28" s="9">
        <f t="shared" si="2"/>
        <v>0.71069277942333287</v>
      </c>
    </row>
    <row r="29" spans="1:20" x14ac:dyDescent="0.25">
      <c r="A29" s="39"/>
      <c r="B29" s="33"/>
      <c r="I29" s="32">
        <f>I28-J28</f>
        <v>5362595</v>
      </c>
      <c r="J29" s="35"/>
      <c r="N29" s="49" t="s">
        <v>57</v>
      </c>
      <c r="O29" s="49"/>
      <c r="P29" s="27">
        <f>I29</f>
        <v>5362595</v>
      </c>
      <c r="R29" s="31" t="s">
        <v>57</v>
      </c>
      <c r="S29" s="27">
        <v>5362595</v>
      </c>
      <c r="T29" s="9">
        <f t="shared" si="2"/>
        <v>0.35050947310472313</v>
      </c>
    </row>
    <row r="30" spans="1:20" x14ac:dyDescent="0.25">
      <c r="A30" s="32">
        <f>SUM(A26:A28)</f>
        <v>7108446.5774647892</v>
      </c>
      <c r="B30" s="35">
        <f>SUM(B26:B29)</f>
        <v>1920000</v>
      </c>
      <c r="N30" s="49" t="s">
        <v>72</v>
      </c>
      <c r="O30" s="49"/>
      <c r="P30" s="27">
        <f>P28-P29</f>
        <v>5500000</v>
      </c>
      <c r="R30" s="31" t="s">
        <v>72</v>
      </c>
      <c r="S30" s="27">
        <f>S28-S29</f>
        <v>5510599.129999999</v>
      </c>
      <c r="T30" s="9">
        <f t="shared" si="2"/>
        <v>0.36018330631860979</v>
      </c>
    </row>
    <row r="31" spans="1:20" x14ac:dyDescent="0.25">
      <c r="A31" s="35">
        <f>A30-B30</f>
        <v>5188446.5774647892</v>
      </c>
      <c r="B31" s="35"/>
      <c r="N31" s="49" t="s">
        <v>71</v>
      </c>
      <c r="O31" s="49"/>
      <c r="P31" s="27">
        <v>2000000</v>
      </c>
      <c r="R31" s="2" t="s">
        <v>71</v>
      </c>
      <c r="S31" s="27">
        <v>2000000</v>
      </c>
      <c r="T31" s="9">
        <f t="shared" si="2"/>
        <v>0.13072382796191886</v>
      </c>
    </row>
    <row r="32" spans="1:20" x14ac:dyDescent="0.25">
      <c r="N32" s="49" t="s">
        <v>58</v>
      </c>
      <c r="O32" s="49"/>
      <c r="P32" s="27">
        <f>P30+P31</f>
        <v>7500000</v>
      </c>
      <c r="R32" s="2" t="s">
        <v>6</v>
      </c>
      <c r="S32" s="27">
        <f>S30+S31</f>
        <v>7510599.129999999</v>
      </c>
      <c r="T32" s="9">
        <f t="shared" si="2"/>
        <v>0.49090713428052862</v>
      </c>
    </row>
    <row r="33" spans="1:16" x14ac:dyDescent="0.25">
      <c r="A33" s="51" t="s">
        <v>24</v>
      </c>
      <c r="B33" s="51"/>
      <c r="E33" s="51" t="s">
        <v>25</v>
      </c>
      <c r="F33" s="51"/>
      <c r="I33" s="51" t="s">
        <v>26</v>
      </c>
      <c r="J33" s="51"/>
    </row>
    <row r="34" spans="1:16" x14ac:dyDescent="0.25">
      <c r="A34" s="34">
        <f>A27*0.4</f>
        <v>800000</v>
      </c>
      <c r="B34" s="33">
        <v>6237956</v>
      </c>
      <c r="E34" s="34">
        <f>A27*0.4</f>
        <v>800000</v>
      </c>
      <c r="F34" s="33">
        <v>5690771</v>
      </c>
      <c r="I34" s="34">
        <f>A27*0.2</f>
        <v>400000</v>
      </c>
      <c r="J34" s="33">
        <v>7505088</v>
      </c>
      <c r="N34" s="2" t="s">
        <v>73</v>
      </c>
      <c r="O34" s="29">
        <v>5500000</v>
      </c>
      <c r="P34" s="30"/>
    </row>
    <row r="35" spans="1:16" x14ac:dyDescent="0.25">
      <c r="A35" s="26"/>
      <c r="B35" s="43">
        <f>B34-A34</f>
        <v>5437956</v>
      </c>
      <c r="E35" s="26"/>
      <c r="F35" s="43">
        <f>F34-E34</f>
        <v>4890771</v>
      </c>
      <c r="I35" s="26"/>
      <c r="J35" s="43">
        <f>J34-I34</f>
        <v>7105088</v>
      </c>
      <c r="N35" s="2" t="s">
        <v>64</v>
      </c>
      <c r="O35" s="21">
        <v>116</v>
      </c>
      <c r="P35" s="28">
        <v>0.28999999999999998</v>
      </c>
    </row>
    <row r="36" spans="1:16" x14ac:dyDescent="0.25">
      <c r="N36" s="17" t="s">
        <v>59</v>
      </c>
      <c r="O36" s="55">
        <f>(I29+O34)/(1-(O35/400))</f>
        <v>15299429.577464789</v>
      </c>
      <c r="P36" s="19" t="s">
        <v>60</v>
      </c>
    </row>
    <row r="37" spans="1:16" x14ac:dyDescent="0.25">
      <c r="N37" s="17" t="s">
        <v>61</v>
      </c>
      <c r="O37" s="56">
        <f>O36/400</f>
        <v>38248.57394366197</v>
      </c>
      <c r="P37" s="20" t="s">
        <v>62</v>
      </c>
    </row>
    <row r="38" spans="1:16" x14ac:dyDescent="0.25">
      <c r="N38" s="17" t="s">
        <v>63</v>
      </c>
      <c r="O38" s="57">
        <f>O37*116</f>
        <v>4436834.5774647882</v>
      </c>
      <c r="P38" s="20"/>
    </row>
    <row r="40" spans="1:16" x14ac:dyDescent="0.25">
      <c r="A40" s="51" t="s">
        <v>74</v>
      </c>
      <c r="B40" s="51"/>
      <c r="E40" s="51" t="s">
        <v>55</v>
      </c>
      <c r="F40" s="51"/>
      <c r="I40" s="51" t="s">
        <v>75</v>
      </c>
      <c r="J40" s="51"/>
      <c r="N40" s="17" t="s">
        <v>79</v>
      </c>
      <c r="O40" s="58">
        <f>O36-B41</f>
        <v>508932.57746478915</v>
      </c>
    </row>
    <row r="41" spans="1:16" x14ac:dyDescent="0.25">
      <c r="B41" s="36">
        <v>14790497</v>
      </c>
      <c r="E41" s="32">
        <v>4278645</v>
      </c>
      <c r="I41" s="32">
        <v>1659686</v>
      </c>
      <c r="J41" s="37">
        <v>147590.44746478886</v>
      </c>
    </row>
    <row r="42" spans="1:16" x14ac:dyDescent="0.25">
      <c r="B42" s="42">
        <v>508932.57746478915</v>
      </c>
      <c r="E42" s="40">
        <f>B42*0.29</f>
        <v>147590.44746478886</v>
      </c>
      <c r="I42" s="40"/>
    </row>
    <row r="43" spans="1:16" x14ac:dyDescent="0.25">
      <c r="A43" s="26"/>
      <c r="B43" s="43">
        <f>B41+B42</f>
        <v>15299429.577464789</v>
      </c>
      <c r="E43" s="41">
        <f>SUM(E41+E42)</f>
        <v>4426235.4474647893</v>
      </c>
      <c r="F43" s="26"/>
      <c r="I43" s="41">
        <f>I41+I42</f>
        <v>1659686</v>
      </c>
      <c r="J43" s="38">
        <f>J41</f>
        <v>147590.44746478886</v>
      </c>
    </row>
    <row r="44" spans="1:16" x14ac:dyDescent="0.25">
      <c r="E44" s="54"/>
      <c r="I44" s="41">
        <f>I43-J43</f>
        <v>1512095.5525352112</v>
      </c>
      <c r="J44" s="26"/>
    </row>
  </sheetData>
  <mergeCells count="34">
    <mergeCell ref="F1:M1"/>
    <mergeCell ref="R24:T24"/>
    <mergeCell ref="F2:M2"/>
    <mergeCell ref="O3:O4"/>
    <mergeCell ref="P3:P4"/>
    <mergeCell ref="I25:J25"/>
    <mergeCell ref="Q3:Q4"/>
    <mergeCell ref="N28:O28"/>
    <mergeCell ref="A22:I22"/>
    <mergeCell ref="A20:I20"/>
    <mergeCell ref="A25:B25"/>
    <mergeCell ref="E25:F25"/>
    <mergeCell ref="N20:T20"/>
    <mergeCell ref="N21:T21"/>
    <mergeCell ref="N22:T22"/>
    <mergeCell ref="R3:S3"/>
    <mergeCell ref="A21:I21"/>
    <mergeCell ref="R23:T23"/>
    <mergeCell ref="I40:J40"/>
    <mergeCell ref="A23:I23"/>
    <mergeCell ref="N29:O29"/>
    <mergeCell ref="N32:O32"/>
    <mergeCell ref="N30:O30"/>
    <mergeCell ref="N31:O31"/>
    <mergeCell ref="A40:B40"/>
    <mergeCell ref="E40:F40"/>
    <mergeCell ref="N23:P23"/>
    <mergeCell ref="N24:P24"/>
    <mergeCell ref="N25:P25"/>
    <mergeCell ref="N26:O26"/>
    <mergeCell ref="N27:O27"/>
    <mergeCell ref="A33:B33"/>
    <mergeCell ref="E33:F33"/>
    <mergeCell ref="I33:J33"/>
  </mergeCells>
  <pageMargins left="0.7" right="0.7" top="0.75" bottom="0.75" header="0.3" footer="0.3"/>
  <pageSetup orientation="portrait" r:id="rId1"/>
  <ignoredErrors>
    <ignoredError sqref="P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Horizontal</vt:lpstr>
      <vt:lpstr>Vertical</vt:lpstr>
      <vt:lpstr>Propuestas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Lenin Franco</cp:lastModifiedBy>
  <dcterms:created xsi:type="dcterms:W3CDTF">2020-12-16T21:07:24Z</dcterms:created>
  <dcterms:modified xsi:type="dcterms:W3CDTF">2021-05-17T18:03:29Z</dcterms:modified>
</cp:coreProperties>
</file>