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wnloads\Admin Finan\Parcial 2\Herdez\"/>
    </mc:Choice>
  </mc:AlternateContent>
  <xr:revisionPtr revIDLastSave="0" documentId="13_ncr:1_{EB601BC9-468C-45DF-97B1-3A408A135C6D}" xr6:coauthVersionLast="46" xr6:coauthVersionMax="46" xr10:uidLastSave="{00000000-0000-0000-0000-000000000000}"/>
  <bookViews>
    <workbookView xWindow="15165" yWindow="2130" windowWidth="18900" windowHeight="11055" xr2:uid="{B2130428-E889-4D61-AE15-BB3B5E6CF3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N6" i="1"/>
  <c r="N5" i="1"/>
  <c r="C29" i="1"/>
  <c r="N11" i="1"/>
  <c r="N12" i="1" s="1"/>
  <c r="C27" i="1"/>
  <c r="J23" i="1" s="1"/>
  <c r="P26" i="1"/>
  <c r="P22" i="1"/>
  <c r="N21" i="1"/>
  <c r="H6" i="1" l="1"/>
  <c r="B5" i="1"/>
  <c r="B4" i="1"/>
  <c r="J22" i="1"/>
  <c r="M23" i="1" l="1"/>
  <c r="H9" i="1" s="1"/>
  <c r="J31" i="1" l="1"/>
  <c r="H21" i="1"/>
  <c r="H23" i="1" s="1"/>
  <c r="G32" i="1"/>
  <c r="J21" i="1" l="1"/>
  <c r="B6" i="1" l="1"/>
  <c r="H16" i="1"/>
  <c r="Q17" i="1"/>
  <c r="K16" i="1"/>
  <c r="Q16" i="1"/>
  <c r="K15" i="1"/>
  <c r="Q15" i="1"/>
  <c r="K14" i="1"/>
  <c r="K13" i="1"/>
  <c r="Q13" i="1"/>
  <c r="K12" i="1"/>
  <c r="Q12" i="1"/>
  <c r="Q10" i="1"/>
  <c r="K10" i="1"/>
  <c r="K9" i="1"/>
  <c r="Q8" i="1"/>
  <c r="K8" i="1"/>
  <c r="Q7" i="1"/>
  <c r="K7" i="1"/>
  <c r="Q6" i="1"/>
  <c r="K6" i="1"/>
  <c r="Q5" i="1"/>
  <c r="K5" i="1"/>
  <c r="E8" i="1"/>
  <c r="E7" i="1"/>
  <c r="E6" i="1"/>
  <c r="C6" i="1"/>
  <c r="E5" i="1"/>
  <c r="C5" i="1"/>
  <c r="C31" i="1" l="1"/>
  <c r="P32" i="1" s="1"/>
  <c r="P27" i="1" l="1"/>
  <c r="M29" i="1"/>
  <c r="Q21" i="1"/>
  <c r="Q29" i="1"/>
  <c r="N31" i="1"/>
  <c r="N7" i="1" s="1"/>
  <c r="N8" i="1" s="1"/>
  <c r="N13" i="1" s="1"/>
  <c r="Q23" i="1"/>
  <c r="K22" i="1" s="1"/>
  <c r="Q22" i="1"/>
  <c r="K21" i="1" s="1"/>
  <c r="Q34" i="1"/>
  <c r="K20" i="1" l="1"/>
  <c r="J25" i="1"/>
  <c r="H5" i="1" s="1"/>
  <c r="P24" i="1"/>
  <c r="B7" i="1" s="1"/>
  <c r="B8" i="1" l="1"/>
  <c r="C7" i="1"/>
  <c r="D12" i="1"/>
  <c r="H10" i="1"/>
  <c r="H17" i="1" l="1"/>
  <c r="I10" i="1"/>
  <c r="D13" i="1"/>
  <c r="N16" i="1"/>
  <c r="C8" i="1"/>
  <c r="D17" i="1" l="1"/>
  <c r="N17" i="1"/>
  <c r="O16" i="1"/>
  <c r="D16" i="1"/>
  <c r="I8" i="1"/>
  <c r="I7" i="1"/>
  <c r="I9" i="1"/>
  <c r="I14" i="1"/>
  <c r="I12" i="1"/>
  <c r="O7" i="1"/>
  <c r="O6" i="1"/>
  <c r="O15" i="1"/>
  <c r="O10" i="1"/>
  <c r="I16" i="1"/>
  <c r="I6" i="1"/>
  <c r="O5" i="1"/>
  <c r="I13" i="1"/>
  <c r="O12" i="1"/>
  <c r="I15" i="1"/>
  <c r="D14" i="1"/>
  <c r="O13" i="1"/>
  <c r="O8" i="1"/>
  <c r="I5" i="1"/>
  <c r="N18" i="1" l="1"/>
  <c r="O17" i="1"/>
  <c r="D15" i="1"/>
</calcChain>
</file>

<file path=xl/sharedStrings.xml><?xml version="1.0" encoding="utf-8"?>
<sst xmlns="http://schemas.openxmlformats.org/spreadsheetml/2006/main" count="61" uniqueCount="53">
  <si>
    <t>Grupo Herdez SAB S.A</t>
  </si>
  <si>
    <t>Ventas netas</t>
  </si>
  <si>
    <t>Costo de ventas</t>
  </si>
  <si>
    <t>Utilidad bruta</t>
  </si>
  <si>
    <t>Utilidad neta</t>
  </si>
  <si>
    <t>Activo</t>
  </si>
  <si>
    <t>Pasivo</t>
  </si>
  <si>
    <t>Circulante</t>
  </si>
  <si>
    <t>Proveedores</t>
  </si>
  <si>
    <t>Inventarios</t>
  </si>
  <si>
    <t>Acreedores</t>
  </si>
  <si>
    <t>Clientes</t>
  </si>
  <si>
    <t>Documento por pagar</t>
  </si>
  <si>
    <t>Deudores</t>
  </si>
  <si>
    <t>Pasivo circulante</t>
  </si>
  <si>
    <t>Documentos por cobrar</t>
  </si>
  <si>
    <t>Fijo</t>
  </si>
  <si>
    <t>Activo Circulante</t>
  </si>
  <si>
    <t>Doctos por pagar</t>
  </si>
  <si>
    <t>Pasivo Fijo</t>
  </si>
  <si>
    <t>Terrenos y edificios</t>
  </si>
  <si>
    <t>Pasivo Total</t>
  </si>
  <si>
    <t>Mobiliario</t>
  </si>
  <si>
    <t>Capital</t>
  </si>
  <si>
    <t>Equipo de reparto</t>
  </si>
  <si>
    <t>Capital social</t>
  </si>
  <si>
    <t>Equipo de computo</t>
  </si>
  <si>
    <t>Activo Fijo</t>
  </si>
  <si>
    <t>Capital total</t>
  </si>
  <si>
    <t>Total de activo</t>
  </si>
  <si>
    <t>Suma de pasivo y capital</t>
  </si>
  <si>
    <t>Fenomenos economicos</t>
  </si>
  <si>
    <t xml:space="preserve">Razones </t>
  </si>
  <si>
    <t>Financieras (RF)</t>
  </si>
  <si>
    <t>Estandar (RE)</t>
  </si>
  <si>
    <t>Liquidez</t>
  </si>
  <si>
    <t>Solvencia</t>
  </si>
  <si>
    <t>Estabilidad economica</t>
  </si>
  <si>
    <t>Inmovilizacion de capital</t>
  </si>
  <si>
    <t>Rentabilidad en ventas</t>
  </si>
  <si>
    <t>Rentabilidad en Inversion</t>
  </si>
  <si>
    <t>Gastos de operación</t>
  </si>
  <si>
    <t>Ventas</t>
  </si>
  <si>
    <t>Efectivo y equivalentes</t>
  </si>
  <si>
    <t>Almacen</t>
  </si>
  <si>
    <t>Estado de Resultados Proforma</t>
  </si>
  <si>
    <t>Estado de Situacion financiera Proforma</t>
  </si>
  <si>
    <t>Efectivo y Equivalentes</t>
  </si>
  <si>
    <t>Proforma</t>
  </si>
  <si>
    <t>Acreedores hipotecarios</t>
  </si>
  <si>
    <t>Gastos de operaciones</t>
  </si>
  <si>
    <t>Documentos por pagar</t>
  </si>
  <si>
    <t>Acreedores 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</si>
</sst>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7" borderId="0" applyNumberFormat="0" applyBorder="0" applyAlignment="0" applyProtection="0"/>
  </cellStyleXfs>
  <cellXfs count="23">
    <xf numFmtId="0" fontId="0" fillId="0" borderId="0" xfId="0"/>
    <xf numFmtId="0" fontId="0" fillId="3" borderId="0" xfId="0" applyFill="1"/>
    <xf numFmtId="3" fontId="0" fillId="3" borderId="0" xfId="0" applyNumberFormat="1" applyFill="1"/>
    <xf numFmtId="9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10" fontId="0" fillId="4" borderId="0" xfId="0" applyNumberFormat="1" applyFill="1"/>
    <xf numFmtId="3" fontId="0" fillId="0" borderId="0" xfId="0" applyNumberFormat="1"/>
    <xf numFmtId="10" fontId="0" fillId="0" borderId="0" xfId="0" applyNumberFormat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3" fontId="0" fillId="8" borderId="0" xfId="0" applyNumberFormat="1" applyFill="1"/>
    <xf numFmtId="0" fontId="0" fillId="9" borderId="0" xfId="0" applyFill="1" applyAlignment="1">
      <alignment horizontal="center"/>
    </xf>
    <xf numFmtId="0" fontId="0" fillId="5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2" fontId="0" fillId="0" borderId="0" xfId="0" applyNumberFormat="1" applyFill="1"/>
    <xf numFmtId="3" fontId="0" fillId="9" borderId="0" xfId="0" applyNumberFormat="1" applyFill="1" applyAlignment="1">
      <alignment horizontal="center"/>
    </xf>
    <xf numFmtId="0" fontId="2" fillId="7" borderId="0" xfId="2"/>
    <xf numFmtId="0" fontId="1" fillId="2" borderId="0" xfId="1" applyAlignment="1">
      <alignment horizontal="center"/>
    </xf>
    <xf numFmtId="0" fontId="0" fillId="9" borderId="0" xfId="0" applyFill="1" applyAlignment="1">
      <alignment horizontal="center"/>
    </xf>
  </cellXfs>
  <cellStyles count="3">
    <cellStyle name="Incorrecto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17</xdr:row>
      <xdr:rowOff>171449</xdr:rowOff>
    </xdr:from>
    <xdr:to>
      <xdr:col>4</xdr:col>
      <xdr:colOff>381000</xdr:colOff>
      <xdr:row>24</xdr:row>
      <xdr:rowOff>9524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80A2F3-EAA4-4267-812F-67146F5F3A0C}"/>
            </a:ext>
          </a:extLst>
        </xdr:cNvPr>
        <xdr:cNvSpPr txBox="1"/>
      </xdr:nvSpPr>
      <xdr:spPr>
        <a:xfrm>
          <a:off x="28574" y="3409949"/>
          <a:ext cx="4219576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Propuestas:</a:t>
          </a:r>
        </a:p>
        <a:p>
          <a:r>
            <a:rPr lang="es-MX" sz="1100"/>
            <a:t>1. Incrementar ventas en 10%</a:t>
          </a:r>
        </a:p>
        <a:p>
          <a:r>
            <a:rPr lang="es-MX" sz="1100"/>
            <a:t>2. Cobrar el 35% de Documentos por cobrar</a:t>
          </a:r>
        </a:p>
        <a:p>
          <a:r>
            <a:rPr lang="es-MX" sz="1100"/>
            <a:t>3. Hipotecar nuestros</a:t>
          </a:r>
          <a:r>
            <a:rPr lang="es-MX" sz="1100" baseline="0"/>
            <a:t> terrenos, por 10,000,000 con un interes del 8% y pagar el 40% de nuestras deudas a corto plazo, con un descuento por pronto pago de 6% el resto dejarlo en efectivo y equivalentes</a:t>
          </a:r>
          <a:endParaRPr lang="es-MX" sz="1100"/>
        </a:p>
      </xdr:txBody>
    </xdr:sp>
    <xdr:clientData/>
  </xdr:twoCellAnchor>
  <xdr:twoCellAnchor>
    <xdr:from>
      <xdr:col>0</xdr:col>
      <xdr:colOff>38100</xdr:colOff>
      <xdr:row>25</xdr:row>
      <xdr:rowOff>0</xdr:rowOff>
    </xdr:from>
    <xdr:to>
      <xdr:col>5</xdr:col>
      <xdr:colOff>19050</xdr:colOff>
      <xdr:row>34</xdr:row>
      <xdr:rowOff>38100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875E92D-E72B-4CC1-8954-D2EDB6319809}"/>
            </a:ext>
          </a:extLst>
        </xdr:cNvPr>
        <xdr:cNvSpPr txBox="1"/>
      </xdr:nvSpPr>
      <xdr:spPr>
        <a:xfrm>
          <a:off x="38100" y="4762500"/>
          <a:ext cx="461010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rgbClr val="00B050"/>
              </a:solidFill>
            </a:rPr>
            <a:t>Resultados:</a:t>
          </a:r>
        </a:p>
        <a:p>
          <a:r>
            <a:rPr lang="es-MX" sz="1100">
              <a:solidFill>
                <a:srgbClr val="00B050"/>
              </a:solidFill>
            </a:rPr>
            <a:t>Podemos observar que si bien no tenemos una liquidez ideal esta se incremento en 62 centavos y la solvencia se incremento en 75 centavos sin</a:t>
          </a:r>
          <a:r>
            <a:rPr lang="es-MX" sz="1100" baseline="0">
              <a:solidFill>
                <a:srgbClr val="00B050"/>
              </a:solidFill>
            </a:rPr>
            <a:t> duda alguna un gran cambio, ademas la estabilidad economica se incremento en 2 centavos, la inmovilizacion de capital se redujo en 3 centavos, es importante resaltar que la rentabilidad en ventas aumento en 1 centavo y la rentabilidad en inversion se incremento en 2 centavos, no se redujeron incluso aumentaron, por lo tanto podemos decir que las propuestas son viables.</a:t>
          </a:r>
          <a:endParaRPr lang="es-MX" sz="11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739C-8EB6-40E6-B495-90F2FFF1C17B}">
  <dimension ref="A1:Q34"/>
  <sheetViews>
    <sheetView tabSelected="1" topLeftCell="A5" workbookViewId="0">
      <selection activeCell="F19" sqref="F19"/>
    </sheetView>
  </sheetViews>
  <sheetFormatPr baseColWidth="10" defaultRowHeight="15" x14ac:dyDescent="0.25"/>
  <cols>
    <col min="1" max="1" width="23.7109375" customWidth="1"/>
    <col min="6" max="6" width="4.5703125" customWidth="1"/>
    <col min="7" max="7" width="22.7109375" customWidth="1"/>
    <col min="12" max="12" width="5.28515625" customWidth="1"/>
    <col min="13" max="13" width="22.140625" customWidth="1"/>
  </cols>
  <sheetData>
    <row r="1" spans="1:17" x14ac:dyDescent="0.25">
      <c r="A1" s="21" t="s">
        <v>0</v>
      </c>
      <c r="B1" s="21"/>
      <c r="C1" s="21"/>
      <c r="D1" s="21"/>
      <c r="E1" s="21"/>
      <c r="G1" s="21" t="s">
        <v>0</v>
      </c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21" t="s">
        <v>45</v>
      </c>
      <c r="B2" s="21"/>
      <c r="C2" s="21"/>
      <c r="D2" s="21"/>
      <c r="E2" s="21"/>
      <c r="G2" s="21" t="s">
        <v>46</v>
      </c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5">
      <c r="B3">
        <v>2020</v>
      </c>
      <c r="D3">
        <v>2019</v>
      </c>
      <c r="G3" t="s">
        <v>5</v>
      </c>
      <c r="H3">
        <v>2020</v>
      </c>
      <c r="J3">
        <v>2019</v>
      </c>
      <c r="M3" t="s">
        <v>6</v>
      </c>
      <c r="N3">
        <v>2020</v>
      </c>
      <c r="P3">
        <v>2019</v>
      </c>
    </row>
    <row r="4" spans="1:17" x14ac:dyDescent="0.25">
      <c r="A4" s="1" t="s">
        <v>1</v>
      </c>
      <c r="B4" s="2">
        <f>H23</f>
        <v>15769241.4</v>
      </c>
      <c r="C4" s="3">
        <v>1</v>
      </c>
      <c r="D4" s="2">
        <v>14790497</v>
      </c>
      <c r="E4" s="3">
        <v>1</v>
      </c>
      <c r="G4" t="s">
        <v>7</v>
      </c>
      <c r="M4" t="s">
        <v>7</v>
      </c>
    </row>
    <row r="5" spans="1:17" x14ac:dyDescent="0.25">
      <c r="A5" s="4" t="s">
        <v>2</v>
      </c>
      <c r="B5" s="5">
        <f>G32</f>
        <v>4641094</v>
      </c>
      <c r="C5" s="6">
        <f>(C4/B4)*B5</f>
        <v>0.29431307963869457</v>
      </c>
      <c r="D5" s="5">
        <v>4278645</v>
      </c>
      <c r="E5" s="6">
        <f>(E4/D4)*D5</f>
        <v>0.28928338243130031</v>
      </c>
      <c r="G5" s="4" t="s">
        <v>47</v>
      </c>
      <c r="H5" s="5">
        <f>J25</f>
        <v>6581932.4859999986</v>
      </c>
      <c r="I5" s="6">
        <f>H5*I17/H17</f>
        <v>9.2540919962103924E-2</v>
      </c>
      <c r="J5" s="5">
        <v>4599514</v>
      </c>
      <c r="K5" s="6">
        <f>(K17/J17)*J5</f>
        <v>7.4296342923673264E-2</v>
      </c>
      <c r="M5" t="s">
        <v>8</v>
      </c>
      <c r="N5" s="7">
        <f>Q29</f>
        <v>2743095.8</v>
      </c>
      <c r="O5" s="8">
        <f>N5*I17/H17</f>
        <v>3.8567489018784124E-2</v>
      </c>
      <c r="P5" s="7">
        <v>6237956</v>
      </c>
      <c r="Q5" s="8">
        <f>(K17/J17)*P5</f>
        <v>0.10076223664473793</v>
      </c>
    </row>
    <row r="6" spans="1:17" x14ac:dyDescent="0.25">
      <c r="A6" s="4" t="s">
        <v>3</v>
      </c>
      <c r="B6" s="5">
        <f>B4-B5</f>
        <v>11128147.4</v>
      </c>
      <c r="C6" s="6">
        <f>(C4/B4)*B6</f>
        <v>0.70568692036130531</v>
      </c>
      <c r="D6" s="5">
        <v>10511852</v>
      </c>
      <c r="E6" s="6">
        <f>(E4/D4)*D6</f>
        <v>0.71071661756869964</v>
      </c>
      <c r="G6" t="s">
        <v>9</v>
      </c>
      <c r="H6" s="7">
        <f>J31</f>
        <v>1571338</v>
      </c>
      <c r="I6" s="8">
        <f>H6*I17/H17</f>
        <v>2.2092761419341682E-2</v>
      </c>
      <c r="J6" s="7">
        <v>1659686</v>
      </c>
      <c r="K6" s="8">
        <f>(K17/J17)*J6</f>
        <v>2.680904986953395E-2</v>
      </c>
      <c r="M6" t="s">
        <v>10</v>
      </c>
      <c r="N6" s="7">
        <f>Q34</f>
        <v>2961992.8</v>
      </c>
      <c r="O6" s="8">
        <f>N6*I17/H17</f>
        <v>4.1645145892359153E-2</v>
      </c>
      <c r="P6" s="7">
        <v>5690771</v>
      </c>
      <c r="Q6" s="8">
        <f>(K17/J17)*P6</f>
        <v>9.1923510552657309E-2</v>
      </c>
    </row>
    <row r="7" spans="1:17" x14ac:dyDescent="0.25">
      <c r="A7" s="4" t="s">
        <v>41</v>
      </c>
      <c r="B7" s="5">
        <f>P24</f>
        <v>5624518.8640000001</v>
      </c>
      <c r="C7" s="6">
        <f>(C4/B4)*B7</f>
        <v>0.35667656555755428</v>
      </c>
      <c r="D7" s="5">
        <v>5442595</v>
      </c>
      <c r="E7" s="6">
        <f>(E4/D4)*D7</f>
        <v>0.36797918284963649</v>
      </c>
      <c r="G7" t="s">
        <v>11</v>
      </c>
      <c r="H7" s="7">
        <v>1103972</v>
      </c>
      <c r="I7" s="8">
        <f>H7*I17/H17</f>
        <v>1.5521670073296436E-2</v>
      </c>
      <c r="J7" s="7">
        <v>1026997</v>
      </c>
      <c r="K7" s="8">
        <f>(K17/J17)*J7</f>
        <v>1.6589170354429549E-2</v>
      </c>
      <c r="M7" t="s">
        <v>12</v>
      </c>
      <c r="N7" s="7">
        <f>N31</f>
        <v>3554989.8</v>
      </c>
      <c r="O7" s="8">
        <f>N7*I17/H17</f>
        <v>4.9982589041691353E-2</v>
      </c>
      <c r="P7" s="7">
        <v>7505088</v>
      </c>
      <c r="Q7" s="8">
        <f>(K17/J17)*P7</f>
        <v>0.1212303281869226</v>
      </c>
    </row>
    <row r="8" spans="1:17" x14ac:dyDescent="0.25">
      <c r="A8" s="4" t="s">
        <v>4</v>
      </c>
      <c r="B8" s="5">
        <f>B6-B7</f>
        <v>5503628.5360000003</v>
      </c>
      <c r="C8" s="6">
        <f>(C4/B4)*B8</f>
        <v>0.34901035480375103</v>
      </c>
      <c r="D8" s="5">
        <v>5069257</v>
      </c>
      <c r="E8" s="6">
        <f>(E4/D4)*D8</f>
        <v>0.34273743471906315</v>
      </c>
      <c r="G8" t="s">
        <v>13</v>
      </c>
      <c r="H8" s="7">
        <v>777333</v>
      </c>
      <c r="I8" s="8">
        <f>H8*I17/H17</f>
        <v>1.0929177880494922E-2</v>
      </c>
      <c r="J8" s="7">
        <v>906107</v>
      </c>
      <c r="K8" s="8">
        <f>(K17/J17)*J8</f>
        <v>1.4636423847724088E-2</v>
      </c>
      <c r="M8" s="4" t="s">
        <v>14</v>
      </c>
      <c r="N8" s="5">
        <f>SUM(N5:N7)</f>
        <v>9260078.3999999985</v>
      </c>
      <c r="O8" s="6">
        <f>N8*I17/H17</f>
        <v>0.13019522395283462</v>
      </c>
      <c r="P8" s="5">
        <v>19433815</v>
      </c>
      <c r="Q8" s="6">
        <f>(K17/J17)*P8</f>
        <v>0.31391607538431782</v>
      </c>
    </row>
    <row r="9" spans="1:17" x14ac:dyDescent="0.25">
      <c r="G9" t="s">
        <v>15</v>
      </c>
      <c r="H9" s="7">
        <f>M23</f>
        <v>611801.44999999995</v>
      </c>
      <c r="I9" s="8">
        <f>H9*I17/H17</f>
        <v>8.6018307142430844E-3</v>
      </c>
      <c r="J9" s="7">
        <v>1118976</v>
      </c>
      <c r="K9" s="8">
        <f>(K17/J17)*J9</f>
        <v>1.8074915006098518E-2</v>
      </c>
      <c r="M9" t="s">
        <v>16</v>
      </c>
      <c r="O9" s="8"/>
      <c r="Q9" s="8"/>
    </row>
    <row r="10" spans="1:17" x14ac:dyDescent="0.25">
      <c r="A10" s="9" t="s">
        <v>31</v>
      </c>
      <c r="B10" s="9" t="s">
        <v>32</v>
      </c>
      <c r="C10" s="9" t="s">
        <v>32</v>
      </c>
      <c r="D10" s="15" t="s">
        <v>48</v>
      </c>
      <c r="E10" s="16"/>
      <c r="G10" s="4" t="s">
        <v>17</v>
      </c>
      <c r="H10" s="5">
        <f>SUM(H5:H9)</f>
        <v>10646376.935999997</v>
      </c>
      <c r="I10" s="6">
        <f>H10*I17/H17</f>
        <v>0.14968636004948002</v>
      </c>
      <c r="J10" s="5">
        <v>9311280</v>
      </c>
      <c r="K10" s="6">
        <f>(K17/J17)*J10</f>
        <v>0.15040590200145937</v>
      </c>
      <c r="M10" t="s">
        <v>18</v>
      </c>
      <c r="N10" s="7">
        <v>17875936</v>
      </c>
      <c r="O10" s="8">
        <f>N10*I17/H17</f>
        <v>0.25133280630610416</v>
      </c>
      <c r="P10" s="7">
        <v>23712067</v>
      </c>
      <c r="Q10" s="8">
        <f>(K17/J17)*P10</f>
        <v>0.38302304575246782</v>
      </c>
    </row>
    <row r="11" spans="1:17" x14ac:dyDescent="0.25">
      <c r="A11" s="9"/>
      <c r="B11" s="9" t="s">
        <v>33</v>
      </c>
      <c r="C11" s="9" t="s">
        <v>34</v>
      </c>
      <c r="D11" s="10"/>
      <c r="E11" s="17"/>
      <c r="G11" t="s">
        <v>16</v>
      </c>
      <c r="I11" s="8"/>
      <c r="K11" s="8"/>
      <c r="M11" t="s">
        <v>52</v>
      </c>
      <c r="N11" s="7">
        <f>N26</f>
        <v>10000000</v>
      </c>
      <c r="O11" s="8">
        <f>N11*I17/N18</f>
        <v>0.14059840352197733</v>
      </c>
    </row>
    <row r="12" spans="1:17" x14ac:dyDescent="0.25">
      <c r="A12" s="11" t="s">
        <v>35</v>
      </c>
      <c r="B12" s="12">
        <v>0.09</v>
      </c>
      <c r="C12" s="12">
        <v>0.96</v>
      </c>
      <c r="D12" s="12">
        <f>H5/N8</f>
        <v>0.71078582725606299</v>
      </c>
      <c r="E12" s="18"/>
      <c r="G12" s="4" t="s">
        <v>20</v>
      </c>
      <c r="H12" s="5">
        <v>18374903</v>
      </c>
      <c r="I12" s="6">
        <f>H12*I17/H17</f>
        <v>0.25834820266711922</v>
      </c>
      <c r="J12" s="5">
        <v>17938472</v>
      </c>
      <c r="K12" s="6">
        <f>(K17/J17)*J12</f>
        <v>0.28976167204594028</v>
      </c>
      <c r="M12" s="4" t="s">
        <v>19</v>
      </c>
      <c r="N12" s="5">
        <f>N10+N11</f>
        <v>27875936</v>
      </c>
      <c r="O12" s="6">
        <f>N12*I17/H17</f>
        <v>0.39193120982808149</v>
      </c>
      <c r="P12" s="5">
        <v>23712067</v>
      </c>
      <c r="Q12" s="6">
        <f>(K17/J17)*P12</f>
        <v>0.38302304575246782</v>
      </c>
    </row>
    <row r="13" spans="1:17" x14ac:dyDescent="0.25">
      <c r="A13" s="11" t="s">
        <v>36</v>
      </c>
      <c r="B13" s="12">
        <v>0.4</v>
      </c>
      <c r="C13" s="12">
        <v>2.08</v>
      </c>
      <c r="D13" s="12">
        <f>H10/N8</f>
        <v>1.1497069977290904</v>
      </c>
      <c r="E13" s="18"/>
      <c r="G13" t="s">
        <v>22</v>
      </c>
      <c r="H13" s="7">
        <v>27502708</v>
      </c>
      <c r="I13" s="8">
        <f>H13*I17/H17</f>
        <v>0.38668368373311146</v>
      </c>
      <c r="J13" s="7">
        <v>19851970</v>
      </c>
      <c r="K13" s="8">
        <f>(K17/J17)*J13</f>
        <v>0.32067056885368189</v>
      </c>
      <c r="M13" s="4" t="s">
        <v>21</v>
      </c>
      <c r="N13" s="5">
        <f>N12+N8</f>
        <v>37136014.399999999</v>
      </c>
      <c r="O13" s="6">
        <f>N13*I17/H17</f>
        <v>0.52212643378091605</v>
      </c>
      <c r="P13" s="5">
        <v>43145882</v>
      </c>
      <c r="Q13" s="6">
        <f>(K17/J17)*P13</f>
        <v>0.69693912113678569</v>
      </c>
    </row>
    <row r="14" spans="1:17" x14ac:dyDescent="0.25">
      <c r="A14" s="11" t="s">
        <v>37</v>
      </c>
      <c r="B14" s="12">
        <v>0.5</v>
      </c>
      <c r="C14" s="12">
        <v>0.57999999999999996</v>
      </c>
      <c r="D14" s="12">
        <f>N13/H17</f>
        <v>0.52212643378091605</v>
      </c>
      <c r="G14" t="s">
        <v>24</v>
      </c>
      <c r="H14" s="7">
        <v>12971573</v>
      </c>
      <c r="I14" s="8">
        <f>H14*I17/H17</f>
        <v>0.18237824549687862</v>
      </c>
      <c r="J14" s="7">
        <v>13986926</v>
      </c>
      <c r="K14" s="8">
        <f>(K17/J17)*J14</f>
        <v>0.22593201163080306</v>
      </c>
      <c r="M14" t="s">
        <v>23</v>
      </c>
      <c r="O14" s="8"/>
      <c r="Q14" s="8"/>
    </row>
    <row r="15" spans="1:17" x14ac:dyDescent="0.25">
      <c r="A15" s="11" t="s">
        <v>38</v>
      </c>
      <c r="B15" s="12">
        <v>1.81</v>
      </c>
      <c r="C15" s="12">
        <v>1.24</v>
      </c>
      <c r="D15" s="12">
        <f>H16/N17</f>
        <v>1.7793694819283825</v>
      </c>
      <c r="E15" s="12"/>
      <c r="G15" t="s">
        <v>26</v>
      </c>
      <c r="H15" s="7">
        <v>1629002</v>
      </c>
      <c r="I15" s="8">
        <f>H15*I17/H17</f>
        <v>2.2903508053410813E-2</v>
      </c>
      <c r="J15" s="7">
        <v>819029</v>
      </c>
      <c r="K15" s="8">
        <f>(K17/J17)*J15</f>
        <v>1.3229845468115368E-2</v>
      </c>
      <c r="M15" s="4" t="s">
        <v>25</v>
      </c>
      <c r="N15" s="5">
        <v>28484920</v>
      </c>
      <c r="O15" s="6">
        <f>N15*I17/H17</f>
        <v>0.4004934276451243</v>
      </c>
      <c r="P15" s="5">
        <v>13692538</v>
      </c>
      <c r="Q15" s="6">
        <f>(K17/J17)*P15</f>
        <v>0.22117673709514249</v>
      </c>
    </row>
    <row r="16" spans="1:17" x14ac:dyDescent="0.25">
      <c r="A16" s="11" t="s">
        <v>39</v>
      </c>
      <c r="B16" s="12">
        <v>0.34</v>
      </c>
      <c r="C16" s="12">
        <v>0.1</v>
      </c>
      <c r="D16" s="18">
        <f>N16/B4</f>
        <v>0.34901035480375109</v>
      </c>
      <c r="G16" s="4" t="s">
        <v>27</v>
      </c>
      <c r="H16" s="5">
        <f>SUM(H12:H15)</f>
        <v>60478186</v>
      </c>
      <c r="I16" s="6">
        <f>H16*I17/H17</f>
        <v>0.85031363995052012</v>
      </c>
      <c r="J16" s="5">
        <v>52596397</v>
      </c>
      <c r="K16" s="6">
        <f>(K17/J17)*J16</f>
        <v>0.84959409799854058</v>
      </c>
      <c r="M16" s="4" t="s">
        <v>4</v>
      </c>
      <c r="N16" s="5">
        <f>B8</f>
        <v>5503628.5360000003</v>
      </c>
      <c r="O16" s="6">
        <f>N16*I17/H17</f>
        <v>7.7380138573959742E-2</v>
      </c>
      <c r="P16" s="5">
        <v>5069257</v>
      </c>
      <c r="Q16" s="6">
        <f>(K17/J17)*P16</f>
        <v>8.1884141768071836E-2</v>
      </c>
    </row>
    <row r="17" spans="1:17" x14ac:dyDescent="0.25">
      <c r="A17" s="11" t="s">
        <v>40</v>
      </c>
      <c r="B17" s="12">
        <v>0.17</v>
      </c>
      <c r="C17" s="12">
        <v>0.15</v>
      </c>
      <c r="D17" s="18">
        <f>N16/N15</f>
        <v>0.19321200607198477</v>
      </c>
      <c r="G17" s="1" t="s">
        <v>29</v>
      </c>
      <c r="H17" s="2">
        <f>H16+H10</f>
        <v>71124562.93599999</v>
      </c>
      <c r="I17" s="3">
        <v>1</v>
      </c>
      <c r="J17" s="2">
        <v>61907677</v>
      </c>
      <c r="K17" s="3">
        <v>1</v>
      </c>
      <c r="M17" s="4" t="s">
        <v>28</v>
      </c>
      <c r="N17" s="5">
        <f>N15+N16</f>
        <v>33988548.535999998</v>
      </c>
      <c r="O17" s="6">
        <f>N17*I17/H17</f>
        <v>0.477873566219084</v>
      </c>
      <c r="P17" s="5">
        <v>18761795</v>
      </c>
      <c r="Q17" s="6">
        <f>(K17/J17)*P17</f>
        <v>0.30306087886321431</v>
      </c>
    </row>
    <row r="18" spans="1:17" x14ac:dyDescent="0.25">
      <c r="M18" s="1" t="s">
        <v>30</v>
      </c>
      <c r="N18" s="2">
        <f>N17+N13</f>
        <v>71124562.93599999</v>
      </c>
      <c r="O18" s="1"/>
      <c r="P18" s="2"/>
      <c r="Q18" s="1"/>
    </row>
    <row r="19" spans="1:17" x14ac:dyDescent="0.25">
      <c r="G19" s="22" t="s">
        <v>42</v>
      </c>
      <c r="H19" s="22"/>
      <c r="J19" s="22" t="s">
        <v>43</v>
      </c>
      <c r="K19" s="22"/>
    </row>
    <row r="20" spans="1:17" x14ac:dyDescent="0.25">
      <c r="H20" s="7">
        <v>14335674</v>
      </c>
      <c r="J20" s="7">
        <v>1421916</v>
      </c>
      <c r="K20">
        <f>P27-Q21</f>
        <v>1934327.4880000001</v>
      </c>
      <c r="M20" s="22" t="s">
        <v>15</v>
      </c>
      <c r="N20" s="22"/>
      <c r="P20" s="22" t="s">
        <v>50</v>
      </c>
      <c r="Q20" s="22"/>
    </row>
    <row r="21" spans="1:17" x14ac:dyDescent="0.25">
      <c r="H21">
        <f>H20*0.1</f>
        <v>1433567.4000000001</v>
      </c>
      <c r="J21">
        <f>H20*0.1</f>
        <v>1433567.4000000001</v>
      </c>
      <c r="K21">
        <f>P32-Q22</f>
        <v>1934327.4880000001</v>
      </c>
      <c r="M21" s="7">
        <v>941233</v>
      </c>
      <c r="N21">
        <f>M21*0.35</f>
        <v>329431.55</v>
      </c>
      <c r="P21" s="7">
        <v>5194922</v>
      </c>
      <c r="Q21">
        <f>P27*0.06</f>
        <v>123467.712</v>
      </c>
    </row>
    <row r="22" spans="1:17" x14ac:dyDescent="0.25">
      <c r="J22">
        <f>N21</f>
        <v>329431.55</v>
      </c>
      <c r="K22">
        <f>M29-Q23</f>
        <v>1934327.4880000001</v>
      </c>
      <c r="P22">
        <f>N26*0.08</f>
        <v>800000</v>
      </c>
      <c r="Q22">
        <f>P32*0.06</f>
        <v>123467.712</v>
      </c>
    </row>
    <row r="23" spans="1:17" x14ac:dyDescent="0.25">
      <c r="H23" s="13">
        <f>H20+H21</f>
        <v>15769241.4</v>
      </c>
      <c r="J23">
        <f>C27</f>
        <v>9200000</v>
      </c>
      <c r="M23" s="13">
        <f>M21-N21</f>
        <v>611801.44999999995</v>
      </c>
      <c r="Q23">
        <f>M29*0.06</f>
        <v>123467.712</v>
      </c>
    </row>
    <row r="24" spans="1:17" x14ac:dyDescent="0.25">
      <c r="P24" s="13">
        <f>SUM(P21:P22)-SUM(Q21:Q23)</f>
        <v>5624518.8640000001</v>
      </c>
    </row>
    <row r="25" spans="1:17" x14ac:dyDescent="0.25">
      <c r="J25" s="13">
        <f>SUM(J20:J23)-SUM(K20:K22)</f>
        <v>6581932.4859999986</v>
      </c>
      <c r="M25" s="14" t="s">
        <v>49</v>
      </c>
      <c r="N25" s="14"/>
    </row>
    <row r="26" spans="1:17" x14ac:dyDescent="0.25">
      <c r="M26" s="7"/>
      <c r="N26" s="13">
        <v>10000000</v>
      </c>
      <c r="P26" s="14" t="str">
        <f>M5</f>
        <v>Proveedores</v>
      </c>
      <c r="Q26" s="14"/>
    </row>
    <row r="27" spans="1:17" x14ac:dyDescent="0.25">
      <c r="C27" s="20">
        <f>N26*0.92</f>
        <v>9200000</v>
      </c>
      <c r="P27">
        <f>C31</f>
        <v>2057795.2000000002</v>
      </c>
      <c r="Q27" s="7">
        <v>4800891</v>
      </c>
    </row>
    <row r="28" spans="1:17" x14ac:dyDescent="0.25">
      <c r="C28" s="20"/>
      <c r="G28" s="22" t="s">
        <v>2</v>
      </c>
      <c r="H28" s="22"/>
      <c r="J28" s="22" t="s">
        <v>44</v>
      </c>
      <c r="K28" s="22"/>
      <c r="M28" s="19" t="s">
        <v>51</v>
      </c>
      <c r="N28" s="19"/>
    </row>
    <row r="29" spans="1:17" x14ac:dyDescent="0.25">
      <c r="C29" s="20">
        <f>15433464*0.4</f>
        <v>6173385.6000000006</v>
      </c>
      <c r="G29" s="7">
        <v>4225360</v>
      </c>
      <c r="J29" s="7">
        <v>1987072</v>
      </c>
      <c r="K29" s="7">
        <v>415734</v>
      </c>
      <c r="M29">
        <f>C31</f>
        <v>2057795.2000000002</v>
      </c>
      <c r="N29" s="7">
        <v>5612785</v>
      </c>
      <c r="Q29" s="13">
        <f>Q27-P27</f>
        <v>2743095.8</v>
      </c>
    </row>
    <row r="30" spans="1:17" x14ac:dyDescent="0.25">
      <c r="C30" s="20"/>
      <c r="G30" s="7">
        <v>415734</v>
      </c>
    </row>
    <row r="31" spans="1:17" x14ac:dyDescent="0.25">
      <c r="C31" s="20">
        <f>C29/3</f>
        <v>2057795.2000000002</v>
      </c>
      <c r="J31" s="13">
        <f>J29-K29</f>
        <v>1571338</v>
      </c>
      <c r="N31" s="13">
        <f>N29-M29</f>
        <v>3554989.8</v>
      </c>
      <c r="P31" s="14" t="s">
        <v>10</v>
      </c>
      <c r="Q31" s="14"/>
    </row>
    <row r="32" spans="1:17" x14ac:dyDescent="0.25">
      <c r="G32" s="13">
        <f>G29+G30</f>
        <v>4641094</v>
      </c>
      <c r="P32">
        <f>C31</f>
        <v>2057795.2000000002</v>
      </c>
      <c r="Q32" s="7">
        <v>5019788</v>
      </c>
    </row>
    <row r="34" spans="17:17" x14ac:dyDescent="0.25">
      <c r="Q34" s="13">
        <f>Q32-P32</f>
        <v>2961992.8</v>
      </c>
    </row>
  </sheetData>
  <mergeCells count="10">
    <mergeCell ref="G28:H28"/>
    <mergeCell ref="J28:K28"/>
    <mergeCell ref="M20:N20"/>
    <mergeCell ref="A1:E1"/>
    <mergeCell ref="A2:E2"/>
    <mergeCell ref="G1:Q1"/>
    <mergeCell ref="G2:Q2"/>
    <mergeCell ref="P20:Q20"/>
    <mergeCell ref="G19:H19"/>
    <mergeCell ref="J19:K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Ramirez</dc:creator>
  <cp:lastModifiedBy>Brayan Ramirez</cp:lastModifiedBy>
  <dcterms:created xsi:type="dcterms:W3CDTF">2021-04-29T18:04:46Z</dcterms:created>
  <dcterms:modified xsi:type="dcterms:W3CDTF">2021-05-03T17:17:45Z</dcterms:modified>
</cp:coreProperties>
</file>