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xr:revisionPtr revIDLastSave="0" documentId="13_ncr:1_{0392B415-F113-4C25-8DEF-1EE42B69E2CF}" xr6:coauthVersionLast="46" xr6:coauthVersionMax="46" xr10:uidLastSave="{00000000-0000-0000-0000-000000000000}"/>
  <bookViews>
    <workbookView xWindow="15525" yWindow="4845" windowWidth="18900" windowHeight="11055" xr2:uid="{ACA1B1EB-3572-4345-A868-62A08934AD4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D30" i="1"/>
  <c r="D24" i="1"/>
  <c r="A24" i="1"/>
  <c r="B17" i="1"/>
  <c r="B9" i="1" l="1"/>
  <c r="D17" i="1"/>
  <c r="N11" i="1"/>
  <c r="N12" i="1" s="1"/>
  <c r="N13" i="1" s="1"/>
  <c r="D28" i="1"/>
  <c r="D16" i="1" s="1"/>
  <c r="H6" i="1"/>
  <c r="B5" i="1"/>
  <c r="D15" i="1"/>
  <c r="B15" i="1"/>
  <c r="Q17" i="1"/>
  <c r="K16" i="1"/>
  <c r="H16" i="1"/>
  <c r="Q16" i="1"/>
  <c r="K15" i="1"/>
  <c r="Q15" i="1"/>
  <c r="K14" i="1"/>
  <c r="K13" i="1"/>
  <c r="Q13" i="1"/>
  <c r="K12" i="1"/>
  <c r="Q12" i="1"/>
  <c r="Q10" i="1"/>
  <c r="K10" i="1"/>
  <c r="K9" i="1"/>
  <c r="Q8" i="1"/>
  <c r="K8" i="1"/>
  <c r="Q7" i="1"/>
  <c r="K7" i="1"/>
  <c r="Q6" i="1"/>
  <c r="K6" i="1"/>
  <c r="Q5" i="1"/>
  <c r="K5" i="1"/>
  <c r="E8" i="1"/>
  <c r="E7" i="1"/>
  <c r="E6" i="1"/>
  <c r="E5" i="1"/>
  <c r="D18" i="1" l="1"/>
  <c r="B4" i="1"/>
  <c r="C9" i="1" s="1"/>
  <c r="H5" i="1"/>
  <c r="J20" i="1" s="1"/>
  <c r="C5" i="1" l="1"/>
  <c r="B6" i="1"/>
  <c r="H10" i="1"/>
  <c r="J21" i="1" s="1"/>
  <c r="H17" i="1" l="1"/>
  <c r="O6" i="1" s="1"/>
  <c r="C6" i="1"/>
  <c r="J22" i="1"/>
  <c r="I14" i="1"/>
  <c r="I10" i="1"/>
  <c r="I6" i="1"/>
  <c r="O12" i="1"/>
  <c r="I13" i="1"/>
  <c r="I15" i="1" l="1"/>
  <c r="I5" i="1"/>
  <c r="I12" i="1"/>
  <c r="O10" i="1"/>
  <c r="O13" i="1"/>
  <c r="I7" i="1"/>
  <c r="O8" i="1"/>
  <c r="O15" i="1"/>
  <c r="O7" i="1"/>
  <c r="I9" i="1"/>
  <c r="I16" i="1"/>
  <c r="O5" i="1"/>
  <c r="I8" i="1"/>
  <c r="B7" i="1"/>
  <c r="B8" i="1" s="1"/>
  <c r="C8" i="1" s="1"/>
  <c r="C7" i="1" l="1"/>
  <c r="B10" i="1"/>
  <c r="C10" i="1" l="1"/>
  <c r="N16" i="1"/>
  <c r="J25" i="1" l="1"/>
  <c r="O16" i="1"/>
  <c r="J24" i="1"/>
  <c r="N17" i="1"/>
  <c r="N18" i="1" l="1"/>
  <c r="J23" i="1"/>
  <c r="O17" i="1"/>
</calcChain>
</file>

<file path=xl/sharedStrings.xml><?xml version="1.0" encoding="utf-8"?>
<sst xmlns="http://schemas.openxmlformats.org/spreadsheetml/2006/main" count="58" uniqueCount="50">
  <si>
    <t>Grupo Herdez SAB S.A</t>
  </si>
  <si>
    <t>Activo</t>
  </si>
  <si>
    <t>Pasivo</t>
  </si>
  <si>
    <t>Ventas netas</t>
  </si>
  <si>
    <t>Circulante</t>
  </si>
  <si>
    <t>Costo de ventas</t>
  </si>
  <si>
    <t>Efectivo</t>
  </si>
  <si>
    <t>Proveedores</t>
  </si>
  <si>
    <t>Utilidad bruta</t>
  </si>
  <si>
    <t>Inventarios</t>
  </si>
  <si>
    <t>Acreedores</t>
  </si>
  <si>
    <t>Clientes</t>
  </si>
  <si>
    <t>Documento por pagar</t>
  </si>
  <si>
    <t>Utilidad neta</t>
  </si>
  <si>
    <t>Deudores</t>
  </si>
  <si>
    <t>Pasivo circulante</t>
  </si>
  <si>
    <t>Documentos por cobrar</t>
  </si>
  <si>
    <t>Fijo</t>
  </si>
  <si>
    <t>Activo Circulante</t>
  </si>
  <si>
    <t>Doctos por pagar</t>
  </si>
  <si>
    <t>Pasivo Fijo</t>
  </si>
  <si>
    <t>Liquidez</t>
  </si>
  <si>
    <t>Terrenos y edificios</t>
  </si>
  <si>
    <t>Pasivo Total</t>
  </si>
  <si>
    <t>Solvencia</t>
  </si>
  <si>
    <t>Mobiliario</t>
  </si>
  <si>
    <t>Capital</t>
  </si>
  <si>
    <t>Equipo de reparto</t>
  </si>
  <si>
    <t>Capital social</t>
  </si>
  <si>
    <t>Equipo de computo</t>
  </si>
  <si>
    <t>Rentabilidad en ventas</t>
  </si>
  <si>
    <t>Activo Fijo</t>
  </si>
  <si>
    <t>Capital total</t>
  </si>
  <si>
    <t>Total de activo</t>
  </si>
  <si>
    <t>Suma de pasivo y capital</t>
  </si>
  <si>
    <t>Estado de Resultados Proforma(Pronostico)</t>
  </si>
  <si>
    <t>Estado de Situacion financiera Proforma</t>
  </si>
  <si>
    <t>Ventas</t>
  </si>
  <si>
    <t>Efectivo y equivalentes</t>
  </si>
  <si>
    <t>Almacen</t>
  </si>
  <si>
    <t>Estabilidad</t>
  </si>
  <si>
    <t>Inmovilizacion</t>
  </si>
  <si>
    <t>RF</t>
  </si>
  <si>
    <t>RE</t>
  </si>
  <si>
    <t>PROFORMA</t>
  </si>
  <si>
    <t>Acreedores Hipotecarios</t>
  </si>
  <si>
    <t>Gastos de operación</t>
  </si>
  <si>
    <t>Otros productos</t>
  </si>
  <si>
    <t>Utilidad de Operación</t>
  </si>
  <si>
    <t>Rentabilidad en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</si>
</sst>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2" fillId="2" borderId="0" xfId="2" applyAlignment="1">
      <alignment horizontal="center"/>
    </xf>
    <xf numFmtId="0" fontId="0" fillId="3" borderId="0" xfId="0" applyFill="1"/>
    <xf numFmtId="3" fontId="0" fillId="3" borderId="0" xfId="0" applyNumberFormat="1" applyFill="1"/>
    <xf numFmtId="9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10" fontId="0" fillId="4" borderId="0" xfId="0" applyNumberFormat="1" applyFill="1"/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3" fontId="0" fillId="5" borderId="0" xfId="0" applyNumberFormat="1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0" borderId="1" xfId="0" applyFill="1" applyBorder="1" applyAlignment="1"/>
    <xf numFmtId="10" fontId="0" fillId="4" borderId="0" xfId="1" applyNumberFormat="1" applyFont="1" applyFill="1"/>
    <xf numFmtId="0" fontId="0" fillId="0" borderId="0" xfId="0" applyFill="1"/>
  </cellXfs>
  <cellStyles count="3">
    <cellStyle name="Neutral" xfId="2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C82A-9CA6-4CA1-89D7-9A5E0B3E2BAB}">
  <dimension ref="A1:Q34"/>
  <sheetViews>
    <sheetView tabSelected="1" workbookViewId="0">
      <selection activeCell="G16" sqref="G16"/>
    </sheetView>
  </sheetViews>
  <sheetFormatPr baseColWidth="10" defaultRowHeight="15" x14ac:dyDescent="0.25"/>
  <cols>
    <col min="1" max="1" width="20.85546875" customWidth="1"/>
    <col min="6" max="6" width="2.7109375" customWidth="1"/>
    <col min="7" max="7" width="21.5703125" customWidth="1"/>
    <col min="12" max="12" width="1.7109375" customWidth="1"/>
    <col min="13" max="13" width="23.28515625" customWidth="1"/>
  </cols>
  <sheetData>
    <row r="1" spans="1:17" x14ac:dyDescent="0.25">
      <c r="A1" s="1" t="s">
        <v>0</v>
      </c>
      <c r="B1" s="1"/>
      <c r="C1" s="1"/>
      <c r="D1" s="1"/>
      <c r="E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 t="s">
        <v>35</v>
      </c>
      <c r="B2" s="1"/>
      <c r="C2" s="1"/>
      <c r="D2" s="1"/>
      <c r="E2" s="1"/>
      <c r="G2" s="1" t="s">
        <v>36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B3">
        <v>2020</v>
      </c>
      <c r="D3">
        <v>2019</v>
      </c>
      <c r="G3" t="s">
        <v>1</v>
      </c>
      <c r="H3">
        <v>2020</v>
      </c>
      <c r="J3">
        <v>2019</v>
      </c>
      <c r="M3" t="s">
        <v>2</v>
      </c>
      <c r="N3">
        <v>2020</v>
      </c>
      <c r="P3">
        <v>2019</v>
      </c>
    </row>
    <row r="4" spans="1:17" x14ac:dyDescent="0.25">
      <c r="A4" s="2" t="s">
        <v>3</v>
      </c>
      <c r="B4" s="3">
        <f>B17</f>
        <v>15769241.4</v>
      </c>
      <c r="C4" s="4">
        <v>1</v>
      </c>
      <c r="D4" s="3">
        <v>14790497</v>
      </c>
      <c r="E4" s="4">
        <v>1</v>
      </c>
      <c r="G4" t="s">
        <v>4</v>
      </c>
      <c r="M4" t="s">
        <v>4</v>
      </c>
    </row>
    <row r="5" spans="1:17" x14ac:dyDescent="0.25">
      <c r="A5" s="5" t="s">
        <v>5</v>
      </c>
      <c r="B5" s="6">
        <f>A24</f>
        <v>4641094</v>
      </c>
      <c r="C5" s="7">
        <f>(C4/B4)*B5</f>
        <v>0.29431307963869457</v>
      </c>
      <c r="D5" s="6">
        <v>4278645</v>
      </c>
      <c r="E5" s="7">
        <f>(E4/D4)*D5</f>
        <v>0.28928338243130031</v>
      </c>
      <c r="G5" s="5" t="s">
        <v>6</v>
      </c>
      <c r="H5" s="6">
        <f>D18</f>
        <v>12255483.4</v>
      </c>
      <c r="I5" s="7">
        <f>H5*I17/H17</f>
        <v>0.15889891654713542</v>
      </c>
      <c r="J5" s="6">
        <v>4599514</v>
      </c>
      <c r="K5" s="7">
        <f>(K17/J17)*J5</f>
        <v>7.4296342923673264E-2</v>
      </c>
      <c r="M5" t="s">
        <v>7</v>
      </c>
      <c r="N5" s="8">
        <v>4800891</v>
      </c>
      <c r="O5" s="9">
        <f>N5*I17/H17</f>
        <v>6.224612717935659E-2</v>
      </c>
      <c r="P5" s="8">
        <v>6237956</v>
      </c>
      <c r="Q5" s="9">
        <f>(K17/J17)*P5</f>
        <v>0.10076223664473793</v>
      </c>
    </row>
    <row r="6" spans="1:17" x14ac:dyDescent="0.25">
      <c r="A6" s="5" t="s">
        <v>8</v>
      </c>
      <c r="B6" s="6">
        <f>B4-B5</f>
        <v>11128147.4</v>
      </c>
      <c r="C6" s="7">
        <f>(C4/B4)*B6</f>
        <v>0.70568692036130531</v>
      </c>
      <c r="D6" s="6">
        <v>10511852</v>
      </c>
      <c r="E6" s="7">
        <f>(E4/D4)*D6</f>
        <v>0.71071661756869964</v>
      </c>
      <c r="G6" t="s">
        <v>9</v>
      </c>
      <c r="H6" s="8">
        <f>D24</f>
        <v>1571338</v>
      </c>
      <c r="I6" s="9">
        <f>H6*I17/H17</f>
        <v>2.037324009017406E-2</v>
      </c>
      <c r="J6" s="8">
        <v>1659686</v>
      </c>
      <c r="K6" s="9">
        <f>(K17/J17)*J6</f>
        <v>2.680904986953395E-2</v>
      </c>
      <c r="M6" t="s">
        <v>10</v>
      </c>
      <c r="N6" s="8">
        <v>5019788</v>
      </c>
      <c r="O6" s="9">
        <f>N6*I17/H17</f>
        <v>6.5084244208295519E-2</v>
      </c>
      <c r="P6" s="8">
        <v>5690771</v>
      </c>
      <c r="Q6" s="9">
        <f>(K17/J17)*P6</f>
        <v>9.1923510552657309E-2</v>
      </c>
    </row>
    <row r="7" spans="1:17" x14ac:dyDescent="0.25">
      <c r="A7" s="5" t="s">
        <v>46</v>
      </c>
      <c r="B7" s="6">
        <f>D30</f>
        <v>5994922</v>
      </c>
      <c r="C7" s="7">
        <f>(C4/B4)*B7</f>
        <v>0.38016552907865303</v>
      </c>
      <c r="D7" s="6">
        <v>5442595</v>
      </c>
      <c r="E7" s="7">
        <f>(E4/D4)*D7</f>
        <v>0.36797918284963649</v>
      </c>
      <c r="G7" t="s">
        <v>11</v>
      </c>
      <c r="H7" s="8">
        <v>1103972</v>
      </c>
      <c r="I7" s="9">
        <f>H7*I17/H17</f>
        <v>1.4313589188850289E-2</v>
      </c>
      <c r="J7" s="8">
        <v>1026997</v>
      </c>
      <c r="K7" s="9">
        <f>(K17/J17)*J7</f>
        <v>1.6589170354429549E-2</v>
      </c>
      <c r="M7" t="s">
        <v>12</v>
      </c>
      <c r="N7" s="8">
        <v>5612785</v>
      </c>
      <c r="O7" s="9">
        <f>N7*I17/H17</f>
        <v>7.2772768417442721E-2</v>
      </c>
      <c r="P7" s="8">
        <v>7505088</v>
      </c>
      <c r="Q7" s="9">
        <f>(K17/J17)*P7</f>
        <v>0.1212303281869226</v>
      </c>
    </row>
    <row r="8" spans="1:17" x14ac:dyDescent="0.25">
      <c r="A8" s="5" t="s">
        <v>48</v>
      </c>
      <c r="B8" s="6">
        <f>B6-B7</f>
        <v>5133225.4000000004</v>
      </c>
      <c r="C8" s="7">
        <f>(C4/B4)*B8</f>
        <v>0.32552139128265228</v>
      </c>
      <c r="D8" s="6">
        <v>5069257</v>
      </c>
      <c r="E8" s="7">
        <f>(E4/D4)*D8</f>
        <v>0.34273743471906315</v>
      </c>
      <c r="G8" t="s">
        <v>14</v>
      </c>
      <c r="H8" s="8">
        <v>777333</v>
      </c>
      <c r="I8" s="9">
        <f>H8*I17/H17</f>
        <v>1.0078539333367661E-2</v>
      </c>
      <c r="J8" s="8">
        <v>906107</v>
      </c>
      <c r="K8" s="9">
        <f>(K17/J17)*J8</f>
        <v>1.4636423847724088E-2</v>
      </c>
      <c r="M8" s="5" t="s">
        <v>15</v>
      </c>
      <c r="N8" s="6">
        <v>15433464</v>
      </c>
      <c r="O8" s="7">
        <f>N8*I17/H17</f>
        <v>0.20010313980509484</v>
      </c>
      <c r="P8" s="6">
        <v>19433815</v>
      </c>
      <c r="Q8" s="7">
        <f>(K17/J17)*P8</f>
        <v>0.31391607538431782</v>
      </c>
    </row>
    <row r="9" spans="1:17" x14ac:dyDescent="0.25">
      <c r="A9" s="5" t="s">
        <v>47</v>
      </c>
      <c r="B9" s="6">
        <f>B30</f>
        <v>200000</v>
      </c>
      <c r="C9" s="7">
        <f>B9*C4/B4</f>
        <v>1.2682918279125335E-2</v>
      </c>
      <c r="D9" s="5"/>
      <c r="E9" s="5"/>
      <c r="G9" t="s">
        <v>16</v>
      </c>
      <c r="H9" s="8">
        <v>941233</v>
      </c>
      <c r="I9" s="9">
        <f>H9*I17/H17</f>
        <v>1.2203590755009298E-2</v>
      </c>
      <c r="J9" s="8">
        <v>1118976</v>
      </c>
      <c r="K9" s="9">
        <f>(K17/J17)*J9</f>
        <v>1.8074915006098518E-2</v>
      </c>
      <c r="M9" t="s">
        <v>17</v>
      </c>
      <c r="O9" s="9"/>
      <c r="Q9" s="9"/>
    </row>
    <row r="10" spans="1:17" x14ac:dyDescent="0.25">
      <c r="A10" s="5" t="s">
        <v>13</v>
      </c>
      <c r="B10" s="6">
        <f>B8+B9</f>
        <v>5333225.4000000004</v>
      </c>
      <c r="C10" s="16">
        <f>B10*C4/B4</f>
        <v>0.33820430956177766</v>
      </c>
      <c r="D10" s="5"/>
      <c r="E10" s="5"/>
      <c r="G10" s="5" t="s">
        <v>18</v>
      </c>
      <c r="H10" s="6">
        <f>H5+H6+H7+H8+H9</f>
        <v>16649359.4</v>
      </c>
      <c r="I10" s="7">
        <f>H10*I17/H17</f>
        <v>0.21586787591453674</v>
      </c>
      <c r="J10" s="6">
        <v>9311280</v>
      </c>
      <c r="K10" s="7">
        <f>(K17/J17)*J10</f>
        <v>0.15040590200145937</v>
      </c>
      <c r="M10" t="s">
        <v>19</v>
      </c>
      <c r="N10" s="8">
        <v>17875936</v>
      </c>
      <c r="O10" s="9">
        <f>N10*I17/H17</f>
        <v>0.2317710995117446</v>
      </c>
      <c r="P10" s="8">
        <v>23712067</v>
      </c>
      <c r="Q10" s="9">
        <f>(K17/J17)*P10</f>
        <v>0.38302304575246782</v>
      </c>
    </row>
    <row r="11" spans="1:17" x14ac:dyDescent="0.25">
      <c r="G11" t="s">
        <v>17</v>
      </c>
      <c r="I11" s="9"/>
      <c r="K11" s="9"/>
      <c r="M11" t="s">
        <v>45</v>
      </c>
      <c r="N11" s="8">
        <f>B27</f>
        <v>10000000</v>
      </c>
      <c r="O11" s="9">
        <f>N11*O18/N18</f>
        <v>0.12965536434665273</v>
      </c>
    </row>
    <row r="12" spans="1:17" x14ac:dyDescent="0.25">
      <c r="G12" s="5" t="s">
        <v>22</v>
      </c>
      <c r="H12" s="6">
        <v>18374903</v>
      </c>
      <c r="I12" s="7">
        <f>H12*I17/H17</f>
        <v>0.23824047432994022</v>
      </c>
      <c r="J12" s="6">
        <v>17938472</v>
      </c>
      <c r="K12" s="7">
        <f>(K17/J17)*J12</f>
        <v>0.28976167204594028</v>
      </c>
      <c r="M12" s="5" t="s">
        <v>20</v>
      </c>
      <c r="N12" s="6">
        <f>SUM(N10:N11)</f>
        <v>27875936</v>
      </c>
      <c r="O12" s="7">
        <f>N12*I17/H17</f>
        <v>0.36142646385839733</v>
      </c>
      <c r="P12" s="6">
        <v>23712067</v>
      </c>
      <c r="Q12" s="7">
        <f>(K17/J17)*P12</f>
        <v>0.38302304575246782</v>
      </c>
    </row>
    <row r="13" spans="1:17" x14ac:dyDescent="0.25">
      <c r="A13" s="13" t="s">
        <v>37</v>
      </c>
      <c r="B13" s="13"/>
      <c r="D13" s="13" t="s">
        <v>38</v>
      </c>
      <c r="E13" s="13"/>
      <c r="G13" t="s">
        <v>25</v>
      </c>
      <c r="H13" s="8">
        <v>27502708</v>
      </c>
      <c r="I13" s="9">
        <f>H13*I17/H17</f>
        <v>0.35658736262596008</v>
      </c>
      <c r="J13" s="8">
        <v>19851970</v>
      </c>
      <c r="K13" s="9">
        <f>(K17/J17)*J13</f>
        <v>0.32067056885368189</v>
      </c>
      <c r="M13" s="5" t="s">
        <v>23</v>
      </c>
      <c r="N13" s="6">
        <f>N12+N8</f>
        <v>43309400</v>
      </c>
      <c r="O13" s="7">
        <f>N13*I17/H17</f>
        <v>0.56152960366349214</v>
      </c>
      <c r="P13" s="6">
        <v>43145882</v>
      </c>
      <c r="Q13" s="7">
        <f>(K17/J17)*P13</f>
        <v>0.69693912113678569</v>
      </c>
    </row>
    <row r="14" spans="1:17" x14ac:dyDescent="0.25">
      <c r="B14" s="8">
        <v>14335674</v>
      </c>
      <c r="D14" s="8">
        <v>1421916</v>
      </c>
      <c r="G14" t="s">
        <v>27</v>
      </c>
      <c r="H14" s="8">
        <v>12971573</v>
      </c>
      <c r="I14" s="9">
        <f>H14*I17/H17</f>
        <v>0.16818340234642032</v>
      </c>
      <c r="J14" s="8">
        <v>13986926</v>
      </c>
      <c r="K14" s="9">
        <f>(K17/J17)*J14</f>
        <v>0.22593201163080306</v>
      </c>
      <c r="M14" t="s">
        <v>26</v>
      </c>
      <c r="O14" s="9"/>
      <c r="Q14" s="9"/>
    </row>
    <row r="15" spans="1:17" x14ac:dyDescent="0.25">
      <c r="B15">
        <f>B14*0.1</f>
        <v>1433567.4000000001</v>
      </c>
      <c r="D15">
        <f>B14*0.1</f>
        <v>1433567.4000000001</v>
      </c>
      <c r="G15" t="s">
        <v>29</v>
      </c>
      <c r="H15" s="8">
        <v>1629002</v>
      </c>
      <c r="I15" s="9">
        <f>H15*I17/H17</f>
        <v>2.1120884783142599E-2</v>
      </c>
      <c r="J15" s="8">
        <v>819029</v>
      </c>
      <c r="K15" s="9">
        <f>(K17/J17)*J15</f>
        <v>1.3229845468115368E-2</v>
      </c>
      <c r="M15" s="5" t="s">
        <v>28</v>
      </c>
      <c r="N15" s="6">
        <v>28484920</v>
      </c>
      <c r="O15" s="7">
        <f>N15*I17/H17</f>
        <v>0.36932226809852553</v>
      </c>
      <c r="P15" s="6">
        <v>13692538</v>
      </c>
      <c r="Q15" s="7">
        <f>(K17/J17)*P15</f>
        <v>0.22117673709514249</v>
      </c>
    </row>
    <row r="16" spans="1:17" x14ac:dyDescent="0.25">
      <c r="D16" s="8">
        <f>B27-D28</f>
        <v>9200000</v>
      </c>
      <c r="G16" s="5" t="s">
        <v>31</v>
      </c>
      <c r="H16" s="6">
        <f>H12+H13+H14+H15</f>
        <v>60478186</v>
      </c>
      <c r="I16" s="7">
        <f>H16*I17/H17</f>
        <v>0.78413212408546318</v>
      </c>
      <c r="J16" s="6">
        <v>52596397</v>
      </c>
      <c r="K16" s="7">
        <f>(K17/J17)*J16</f>
        <v>0.84959409799854058</v>
      </c>
      <c r="M16" s="5" t="s">
        <v>13</v>
      </c>
      <c r="N16" s="6">
        <f>B10</f>
        <v>5333225.4000000004</v>
      </c>
      <c r="O16" s="7">
        <f>N16*I17/H17</f>
        <v>6.9148128237982276E-2</v>
      </c>
      <c r="P16" s="6">
        <v>5069257</v>
      </c>
      <c r="Q16" s="7">
        <f>(K17/J17)*P16</f>
        <v>8.1884141768071836E-2</v>
      </c>
    </row>
    <row r="17" spans="1:17" x14ac:dyDescent="0.25">
      <c r="B17" s="11">
        <f>SUM(B14:B16)-SUM(A14:A16)</f>
        <v>15769241.4</v>
      </c>
      <c r="D17" s="8">
        <f>B30</f>
        <v>200000</v>
      </c>
      <c r="G17" s="2" t="s">
        <v>33</v>
      </c>
      <c r="H17" s="3">
        <f>H16+H10</f>
        <v>77127545.400000006</v>
      </c>
      <c r="I17" s="4">
        <v>1</v>
      </c>
      <c r="J17" s="3">
        <v>61907677</v>
      </c>
      <c r="K17" s="4">
        <v>1</v>
      </c>
      <c r="M17" s="5" t="s">
        <v>32</v>
      </c>
      <c r="N17" s="6">
        <f>N15+N16</f>
        <v>33818145.399999999</v>
      </c>
      <c r="O17" s="7">
        <f>N17*I17/H17</f>
        <v>0.43847039633650775</v>
      </c>
      <c r="P17" s="6">
        <v>18761795</v>
      </c>
      <c r="Q17" s="7">
        <f>(K17/J17)*P17</f>
        <v>0.30306087886321431</v>
      </c>
    </row>
    <row r="18" spans="1:17" x14ac:dyDescent="0.25">
      <c r="D18" s="11">
        <f>SUM(D14:D17)-SUM(E14:E17)</f>
        <v>12255483.4</v>
      </c>
      <c r="M18" s="2" t="s">
        <v>34</v>
      </c>
      <c r="N18" s="3">
        <f>N17+N13</f>
        <v>77127545.400000006</v>
      </c>
      <c r="O18" s="4">
        <v>1</v>
      </c>
      <c r="P18" s="3"/>
      <c r="Q18" s="2"/>
    </row>
    <row r="19" spans="1:17" x14ac:dyDescent="0.25">
      <c r="G19" s="14"/>
      <c r="H19" s="14" t="s">
        <v>42</v>
      </c>
      <c r="I19" s="14" t="s">
        <v>43</v>
      </c>
      <c r="J19" s="14" t="s">
        <v>44</v>
      </c>
    </row>
    <row r="20" spans="1:17" x14ac:dyDescent="0.25">
      <c r="A20" s="13" t="s">
        <v>5</v>
      </c>
      <c r="B20" s="13"/>
      <c r="D20" s="13" t="s">
        <v>39</v>
      </c>
      <c r="E20" s="13"/>
      <c r="G20" s="12" t="s">
        <v>21</v>
      </c>
      <c r="H20" s="10">
        <v>0.09</v>
      </c>
      <c r="I20" s="10">
        <v>0.96</v>
      </c>
      <c r="J20" s="10">
        <f>H5/N8</f>
        <v>0.79408507383695592</v>
      </c>
    </row>
    <row r="21" spans="1:17" x14ac:dyDescent="0.25">
      <c r="A21" s="8">
        <v>4225360</v>
      </c>
      <c r="D21" s="8">
        <v>1987072</v>
      </c>
      <c r="E21">
        <v>415734</v>
      </c>
      <c r="G21" s="12" t="s">
        <v>24</v>
      </c>
      <c r="H21" s="10">
        <v>0.4</v>
      </c>
      <c r="I21" s="10">
        <v>2.08</v>
      </c>
      <c r="J21" s="10">
        <f>H10/N8</f>
        <v>1.0787830522039641</v>
      </c>
    </row>
    <row r="22" spans="1:17" x14ac:dyDescent="0.25">
      <c r="A22">
        <v>415734</v>
      </c>
      <c r="G22" s="12" t="s">
        <v>40</v>
      </c>
      <c r="H22" s="10">
        <v>0.5</v>
      </c>
      <c r="I22" s="10">
        <v>0.57999999999999996</v>
      </c>
      <c r="J22" s="10">
        <f>N13/H17</f>
        <v>0.56152960366349214</v>
      </c>
    </row>
    <row r="23" spans="1:17" x14ac:dyDescent="0.25">
      <c r="G23" s="12" t="s">
        <v>41</v>
      </c>
      <c r="H23" s="10">
        <v>1.81</v>
      </c>
      <c r="I23" s="10">
        <v>1.24</v>
      </c>
      <c r="J23" s="10">
        <f>H16/N17</f>
        <v>1.7883353828149311</v>
      </c>
    </row>
    <row r="24" spans="1:17" x14ac:dyDescent="0.25">
      <c r="A24" s="11">
        <f>SUM(A21:A23)-SUM(B21:B23)</f>
        <v>4641094</v>
      </c>
      <c r="D24" s="11">
        <f>SUM(D21:D23)-SUM(E21:E23)</f>
        <v>1571338</v>
      </c>
      <c r="G24" s="12" t="s">
        <v>30</v>
      </c>
      <c r="H24" s="10">
        <v>0.34</v>
      </c>
      <c r="I24" s="10">
        <v>0.1</v>
      </c>
      <c r="J24" s="10">
        <f>N16/B4</f>
        <v>0.33820430956177766</v>
      </c>
    </row>
    <row r="25" spans="1:17" x14ac:dyDescent="0.25">
      <c r="G25" s="12" t="s">
        <v>49</v>
      </c>
      <c r="H25" s="10">
        <v>0.17</v>
      </c>
      <c r="I25" s="10">
        <v>0.15</v>
      </c>
      <c r="J25" s="10">
        <f>N16/N15</f>
        <v>0.18722978333799078</v>
      </c>
    </row>
    <row r="26" spans="1:17" x14ac:dyDescent="0.25">
      <c r="A26" s="13" t="s">
        <v>45</v>
      </c>
      <c r="B26" s="13"/>
      <c r="D26" s="13" t="s">
        <v>46</v>
      </c>
      <c r="E26" s="13"/>
    </row>
    <row r="27" spans="1:17" x14ac:dyDescent="0.25">
      <c r="B27" s="11">
        <v>10000000</v>
      </c>
      <c r="D27" s="8">
        <v>5194922</v>
      </c>
    </row>
    <row r="28" spans="1:17" x14ac:dyDescent="0.25">
      <c r="D28">
        <f>B27*0.08</f>
        <v>800000</v>
      </c>
    </row>
    <row r="29" spans="1:17" x14ac:dyDescent="0.25">
      <c r="A29" s="13" t="s">
        <v>47</v>
      </c>
      <c r="B29" s="13"/>
    </row>
    <row r="30" spans="1:17" x14ac:dyDescent="0.25">
      <c r="B30" s="11">
        <v>200000</v>
      </c>
      <c r="D30" s="11">
        <f>SUM(D27:D29)-SUM(E27:E29)</f>
        <v>5994922</v>
      </c>
    </row>
    <row r="33" spans="4:5" x14ac:dyDescent="0.25">
      <c r="D33" s="15"/>
      <c r="E33" s="15"/>
    </row>
    <row r="34" spans="4:5" x14ac:dyDescent="0.25">
      <c r="D34" s="17"/>
      <c r="E34" s="17"/>
    </row>
  </sheetData>
  <mergeCells count="11">
    <mergeCell ref="A20:B20"/>
    <mergeCell ref="D20:E20"/>
    <mergeCell ref="A29:B29"/>
    <mergeCell ref="A26:B26"/>
    <mergeCell ref="D26:E26"/>
    <mergeCell ref="A13:B13"/>
    <mergeCell ref="D13:E13"/>
    <mergeCell ref="A1:E1"/>
    <mergeCell ref="G1:Q1"/>
    <mergeCell ref="A2:E2"/>
    <mergeCell ref="G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2021-05-03T17:17:59Z</dcterms:created>
  <dcterms:modified xsi:type="dcterms:W3CDTF">2021-05-03T18:01:32Z</dcterms:modified>
</cp:coreProperties>
</file>