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Propietario\Downloads\"/>
    </mc:Choice>
  </mc:AlternateContent>
  <xr:revisionPtr revIDLastSave="0" documentId="13_ncr:1_{9B7A63AC-E582-4940-AAF9-28F769668220}" xr6:coauthVersionLast="46" xr6:coauthVersionMax="46" xr10:uidLastSave="{00000000-0000-0000-0000-000000000000}"/>
  <bookViews>
    <workbookView xWindow="-120" yWindow="-120" windowWidth="25440" windowHeight="15390" xr2:uid="{63312F0F-4E9F-4150-A991-3B359F5ECF50}"/>
  </bookViews>
  <sheets>
    <sheet name="Hoja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D16" i="1"/>
  <c r="D15" i="1"/>
  <c r="D14" i="1"/>
  <c r="D13" i="1"/>
  <c r="D12" i="1"/>
  <c r="H24" i="1"/>
  <c r="H26" i="1" s="1"/>
  <c r="I53" i="1" s="1"/>
  <c r="I56" i="1"/>
  <c r="I55" i="1"/>
  <c r="I54" i="1"/>
  <c r="O64" i="1"/>
  <c r="I44" i="1"/>
  <c r="I43" i="1"/>
  <c r="O65" i="1"/>
  <c r="I65" i="1"/>
  <c r="O60" i="1"/>
  <c r="O61" i="1" s="1"/>
  <c r="O57" i="1"/>
  <c r="K37" i="1"/>
  <c r="H37" i="1"/>
  <c r="K36" i="1"/>
  <c r="H36" i="1"/>
  <c r="L36" i="1"/>
  <c r="I36" i="1"/>
  <c r="K30" i="1"/>
  <c r="L22" i="1"/>
  <c r="I30" i="1"/>
  <c r="I58" i="1" l="1"/>
  <c r="I66" i="1"/>
  <c r="J57" i="1" s="1"/>
  <c r="O66" i="1"/>
  <c r="P65" i="1" s="1"/>
  <c r="P57" i="1"/>
  <c r="J53" i="1"/>
  <c r="J55" i="1"/>
  <c r="J56" i="1"/>
  <c r="J63" i="1"/>
  <c r="P64" i="1"/>
  <c r="H23" i="1"/>
  <c r="J46" i="1"/>
  <c r="I45" i="1"/>
  <c r="I47" i="1" s="1"/>
  <c r="J47" i="1" s="1"/>
  <c r="J44" i="1"/>
  <c r="M15" i="1"/>
  <c r="J61" i="1" l="1"/>
  <c r="J65" i="1"/>
  <c r="J62" i="1"/>
  <c r="J64" i="1"/>
  <c r="P60" i="1"/>
  <c r="P61" i="1"/>
  <c r="J54" i="1"/>
  <c r="J60" i="1"/>
  <c r="J58" i="1"/>
  <c r="P59" i="1"/>
  <c r="P54" i="1"/>
  <c r="P55" i="1"/>
  <c r="P63" i="1"/>
  <c r="P56" i="1"/>
  <c r="J45" i="1"/>
  <c r="E32" i="1"/>
  <c r="B20" i="1"/>
  <c r="B40" i="1"/>
  <c r="E17" i="1"/>
  <c r="E16" i="1"/>
  <c r="E15" i="1"/>
  <c r="E14" i="1"/>
  <c r="F13" i="1"/>
  <c r="F12" i="1"/>
  <c r="B21" i="1"/>
  <c r="L15" i="1"/>
  <c r="K29" i="1" l="1"/>
  <c r="K33" i="1" s="1"/>
  <c r="I29" i="1"/>
  <c r="I33" i="1" s="1"/>
  <c r="H22" i="1"/>
  <c r="K22" i="1"/>
  <c r="K26" i="1" s="1"/>
  <c r="B35" i="1"/>
  <c r="B24" i="1" l="1"/>
  <c r="B26" i="1" s="1"/>
  <c r="B28" i="1" s="1"/>
  <c r="B33" i="1" s="1"/>
  <c r="S7" i="1"/>
  <c r="S8" i="1"/>
  <c r="S11" i="1"/>
  <c r="S15" i="1"/>
  <c r="S6" i="1"/>
  <c r="M6" i="1"/>
  <c r="M7" i="1"/>
  <c r="M8" i="1"/>
  <c r="M9" i="1"/>
  <c r="M12" i="1"/>
  <c r="M13" i="1"/>
  <c r="M14" i="1"/>
  <c r="M16" i="1"/>
  <c r="M5" i="1"/>
  <c r="F5" i="1"/>
  <c r="F4" i="1"/>
  <c r="Q12" i="1"/>
  <c r="B32" i="1" l="1"/>
  <c r="B34" i="1" s="1"/>
  <c r="B36" i="1" s="1"/>
  <c r="E5" i="1"/>
  <c r="C7" i="1"/>
  <c r="C5" i="1"/>
  <c r="O12" i="1"/>
  <c r="S12" i="1" s="1"/>
  <c r="Q9" i="1"/>
  <c r="Q13" i="1" s="1"/>
  <c r="O9" i="1"/>
  <c r="B12" i="1" s="1"/>
  <c r="K17" i="1"/>
  <c r="I17" i="1"/>
  <c r="K10" i="1"/>
  <c r="I10" i="1"/>
  <c r="B6" i="1"/>
  <c r="D6" i="1"/>
  <c r="K18" i="1" l="1"/>
  <c r="L7" i="1" s="1"/>
  <c r="M17" i="1"/>
  <c r="S9" i="1"/>
  <c r="O13" i="1"/>
  <c r="S13" i="1" s="1"/>
  <c r="M10" i="1"/>
  <c r="L17" i="1"/>
  <c r="B8" i="1"/>
  <c r="F6" i="1"/>
  <c r="L8" i="1"/>
  <c r="L10" i="1"/>
  <c r="L9" i="1"/>
  <c r="L13" i="1"/>
  <c r="L12" i="1"/>
  <c r="C6" i="1"/>
  <c r="L5" i="1"/>
  <c r="L14" i="1"/>
  <c r="I18" i="1"/>
  <c r="J15" i="1" s="1"/>
  <c r="B13" i="1"/>
  <c r="L6" i="1"/>
  <c r="L16" i="1"/>
  <c r="E6" i="1"/>
  <c r="O16" i="1" l="1"/>
  <c r="B17" i="1"/>
  <c r="C8" i="1"/>
  <c r="B16" i="1"/>
  <c r="B14" i="1"/>
  <c r="J17" i="1"/>
  <c r="M18" i="1"/>
  <c r="J10" i="1"/>
  <c r="J9" i="1"/>
  <c r="J8" i="1"/>
  <c r="J16" i="1"/>
  <c r="J14" i="1"/>
  <c r="J7" i="1"/>
  <c r="J6" i="1"/>
  <c r="J5" i="1"/>
  <c r="J12" i="1"/>
  <c r="J13" i="1"/>
  <c r="O17" i="1"/>
  <c r="O18" i="1" l="1"/>
  <c r="B15" i="1"/>
  <c r="P17" i="1" l="1"/>
  <c r="P6" i="1"/>
  <c r="P8" i="1"/>
  <c r="P11" i="1"/>
  <c r="P7" i="1"/>
  <c r="P13" i="1"/>
  <c r="P12" i="1"/>
  <c r="P9" i="1"/>
  <c r="P15" i="1"/>
  <c r="P16" i="1"/>
  <c r="E7" i="1"/>
  <c r="F7" i="1"/>
  <c r="D8" i="1"/>
  <c r="F8" i="1" s="1"/>
  <c r="E8" i="1" l="1"/>
  <c r="Q16" i="1"/>
  <c r="S16" i="1" l="1"/>
  <c r="Q17" i="1"/>
  <c r="Q18" i="1" l="1"/>
  <c r="R17" i="1"/>
  <c r="S17" i="1"/>
  <c r="R6" i="1" l="1"/>
  <c r="R11" i="1"/>
  <c r="S18" i="1"/>
  <c r="R15" i="1"/>
  <c r="R7" i="1"/>
  <c r="R16" i="1"/>
  <c r="R8" i="1"/>
  <c r="R13" i="1"/>
  <c r="R9" i="1"/>
  <c r="R12" i="1"/>
</calcChain>
</file>

<file path=xl/sharedStrings.xml><?xml version="1.0" encoding="utf-8"?>
<sst xmlns="http://schemas.openxmlformats.org/spreadsheetml/2006/main" count="124" uniqueCount="70">
  <si>
    <t>Ventas netas</t>
  </si>
  <si>
    <t>Costo de ventas</t>
  </si>
  <si>
    <t>Utilidad bruta</t>
  </si>
  <si>
    <t>Gastos de operación</t>
  </si>
  <si>
    <t>Utilidad neta</t>
  </si>
  <si>
    <t>Activo</t>
  </si>
  <si>
    <t>Circulante</t>
  </si>
  <si>
    <t>Efectivo y equivalentes</t>
  </si>
  <si>
    <t xml:space="preserve">Inventarios </t>
  </si>
  <si>
    <t>Clientes</t>
  </si>
  <si>
    <t>Deudores</t>
  </si>
  <si>
    <t>Documentos por cobrar</t>
  </si>
  <si>
    <t>Activo circulante</t>
  </si>
  <si>
    <t>Fijo</t>
  </si>
  <si>
    <t>Pasivo</t>
  </si>
  <si>
    <t>Terrenos y edificios</t>
  </si>
  <si>
    <t>Mobiliario</t>
  </si>
  <si>
    <t>Equipo de reparto</t>
  </si>
  <si>
    <t>Equipo de cómputo</t>
  </si>
  <si>
    <t>Activo fijo</t>
  </si>
  <si>
    <t>Total de activo</t>
  </si>
  <si>
    <t>Proveedores</t>
  </si>
  <si>
    <t>Acreedores</t>
  </si>
  <si>
    <t>Documentos por pagar</t>
  </si>
  <si>
    <t>Pasico circulante</t>
  </si>
  <si>
    <t>Doctos por pagar</t>
  </si>
  <si>
    <t>Pasivo fijo</t>
  </si>
  <si>
    <t>Pasivo total</t>
  </si>
  <si>
    <t>Capital</t>
  </si>
  <si>
    <t>Capital social</t>
  </si>
  <si>
    <t>Capital total</t>
  </si>
  <si>
    <t>Suma de pasivo y capital</t>
  </si>
  <si>
    <t>Fenomenos economicos</t>
  </si>
  <si>
    <t xml:space="preserve">Razones </t>
  </si>
  <si>
    <t>Diferencias</t>
  </si>
  <si>
    <t>Financieras (RF)</t>
  </si>
  <si>
    <t>Estandar (RE)</t>
  </si>
  <si>
    <t>+</t>
  </si>
  <si>
    <t>-</t>
  </si>
  <si>
    <t>Liquidez</t>
  </si>
  <si>
    <t>Solvencia</t>
  </si>
  <si>
    <t>Estabilidad economica</t>
  </si>
  <si>
    <t>Inmovilizacion de capital</t>
  </si>
  <si>
    <t>Rentabilidad en ventas</t>
  </si>
  <si>
    <t>Rentabilidad en Inversion</t>
  </si>
  <si>
    <t>Costos fijos totales</t>
  </si>
  <si>
    <t>Gastos de operacion</t>
  </si>
  <si>
    <t>Costo variable por unidad</t>
  </si>
  <si>
    <t>precio de venta * costo de ventas</t>
  </si>
  <si>
    <t>Precio de venta</t>
  </si>
  <si>
    <t>Minimo de ventas</t>
  </si>
  <si>
    <t>Numero de unidades</t>
  </si>
  <si>
    <t>Ventas / Precio de ventas</t>
  </si>
  <si>
    <t>Costo variable total</t>
  </si>
  <si>
    <t>No de unidades*Costo variable unitario</t>
  </si>
  <si>
    <t>Proforma</t>
  </si>
  <si>
    <t>PEU (Ventas)</t>
  </si>
  <si>
    <t>Estado de Resultados (Proforma PEU)</t>
  </si>
  <si>
    <t>Inventarios</t>
  </si>
  <si>
    <t>Estado de Resultados</t>
  </si>
  <si>
    <t>Estado de situación financiera</t>
  </si>
  <si>
    <t>Margen de utilidad</t>
  </si>
  <si>
    <t>Industria</t>
  </si>
  <si>
    <t>Equipo de transporte</t>
  </si>
  <si>
    <t>Por aumentar</t>
  </si>
  <si>
    <t>Utilidad de neta</t>
  </si>
  <si>
    <t>Grupo Alpura SAB</t>
  </si>
  <si>
    <t>Grupo Alpura  SAB</t>
  </si>
  <si>
    <t>Estado de Resultados Proforma</t>
  </si>
  <si>
    <t>Estado de situación financiera Proforma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</si>
</sst>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5"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1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7999816888943144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rgb="FF002060"/>
        <bgColor indexed="64"/>
      </patternFill>
    </fill>
    <fill>
      <patternFill patternType="solid">
        <fgColor rgb="FFFFC000"/>
        <bgColor indexed="64"/>
      </patternFill>
    </fill>
    <fill>
      <patternFill patternType="solid">
        <fgColor theme="5" tint="0.59999389629810485"/>
        <bgColor indexed="64"/>
      </patternFill>
    </fill>
  </fills>
  <borders count="1">
    <border>
      <left/>
      <right/>
      <top/>
      <bottom/>
      <diagonal/>
    </border>
  </borders>
  <cellStyleXfs count="8">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9" fontId="1" fillId="0" borderId="0" applyFont="0" applyFill="0" applyBorder="0" applyAlignment="0" applyProtection="0"/>
  </cellStyleXfs>
  <cellXfs count="44">
    <xf numFmtId="0" fontId="0" fillId="0" borderId="0" xfId="0"/>
    <xf numFmtId="3" fontId="0" fillId="0" borderId="0" xfId="0" applyNumberFormat="1"/>
    <xf numFmtId="0" fontId="1" fillId="5" borderId="0" xfId="5"/>
    <xf numFmtId="3" fontId="1" fillId="5" borderId="0" xfId="5" applyNumberFormat="1"/>
    <xf numFmtId="9" fontId="1" fillId="5" borderId="0" xfId="5" applyNumberFormat="1"/>
    <xf numFmtId="10" fontId="0" fillId="0" borderId="0" xfId="0" applyNumberFormat="1"/>
    <xf numFmtId="0" fontId="0" fillId="7" borderId="0" xfId="0" applyFill="1"/>
    <xf numFmtId="0" fontId="0" fillId="7" borderId="0" xfId="0" applyFill="1" applyAlignment="1">
      <alignment horizontal="center"/>
    </xf>
    <xf numFmtId="0" fontId="0" fillId="8" borderId="0" xfId="0" applyFill="1"/>
    <xf numFmtId="2" fontId="0" fillId="0" borderId="0" xfId="0" applyNumberFormat="1"/>
    <xf numFmtId="0" fontId="0" fillId="0" borderId="0" xfId="0" applyFill="1"/>
    <xf numFmtId="0" fontId="0" fillId="9" borderId="0" xfId="0" applyFill="1"/>
    <xf numFmtId="3" fontId="0" fillId="9" borderId="0" xfId="0" applyNumberFormat="1" applyFill="1"/>
    <xf numFmtId="10" fontId="0" fillId="9" borderId="0" xfId="0" applyNumberFormat="1" applyFill="1"/>
    <xf numFmtId="3" fontId="1" fillId="6" borderId="0" xfId="6" applyNumberFormat="1"/>
    <xf numFmtId="0" fontId="0" fillId="0" borderId="0" xfId="1" applyNumberFormat="1" applyFont="1"/>
    <xf numFmtId="0" fontId="0" fillId="11" borderId="0" xfId="0" applyFill="1"/>
    <xf numFmtId="0" fontId="0" fillId="11" borderId="0" xfId="1" applyNumberFormat="1" applyFont="1" applyFill="1"/>
    <xf numFmtId="3" fontId="0" fillId="0" borderId="0" xfId="1" applyNumberFormat="1" applyFont="1"/>
    <xf numFmtId="9" fontId="0" fillId="0" borderId="0" xfId="7" applyFont="1"/>
    <xf numFmtId="2" fontId="3" fillId="0" borderId="0" xfId="3" applyNumberFormat="1" applyFill="1"/>
    <xf numFmtId="3" fontId="0" fillId="13" borderId="0" xfId="0" applyNumberFormat="1" applyFill="1"/>
    <xf numFmtId="0" fontId="4" fillId="0" borderId="0" xfId="4" applyFill="1" applyAlignment="1"/>
    <xf numFmtId="0" fontId="0" fillId="14" borderId="0" xfId="0" applyFill="1"/>
    <xf numFmtId="0" fontId="0" fillId="12" borderId="0" xfId="0" applyFill="1" applyAlignment="1">
      <alignment horizontal="center"/>
    </xf>
    <xf numFmtId="0" fontId="0" fillId="10" borderId="0" xfId="0" applyFill="1" applyAlignment="1">
      <alignment horizontal="center"/>
    </xf>
    <xf numFmtId="0" fontId="0" fillId="11" borderId="0" xfId="0" applyFill="1" applyAlignment="1">
      <alignment horizontal="center"/>
    </xf>
    <xf numFmtId="0" fontId="4" fillId="4" borderId="0" xfId="4" applyAlignment="1">
      <alignment horizontal="center"/>
    </xf>
    <xf numFmtId="0" fontId="0" fillId="7" borderId="0" xfId="0" applyFill="1" applyAlignment="1">
      <alignment horizontal="center"/>
    </xf>
    <xf numFmtId="3" fontId="0" fillId="0" borderId="0" xfId="0" applyNumberFormat="1" applyAlignment="1">
      <alignment horizontal="right"/>
    </xf>
    <xf numFmtId="10" fontId="0" fillId="0" borderId="0" xfId="0" applyNumberFormat="1" applyFill="1"/>
    <xf numFmtId="3" fontId="0" fillId="0" borderId="0" xfId="0" applyNumberFormat="1" applyFill="1"/>
    <xf numFmtId="2" fontId="2" fillId="2" borderId="0" xfId="2" applyNumberFormat="1"/>
    <xf numFmtId="2" fontId="3" fillId="3" borderId="0" xfId="3" applyNumberFormat="1"/>
    <xf numFmtId="0" fontId="0" fillId="15" borderId="0" xfId="0" applyFill="1"/>
    <xf numFmtId="3" fontId="0" fillId="15" borderId="0" xfId="0" applyNumberFormat="1" applyFill="1"/>
    <xf numFmtId="3" fontId="0" fillId="10" borderId="0" xfId="0" applyNumberFormat="1" applyFill="1"/>
    <xf numFmtId="3" fontId="0" fillId="16" borderId="0" xfId="0" applyNumberFormat="1" applyFill="1"/>
    <xf numFmtId="2" fontId="4" fillId="4" borderId="0" xfId="4" applyNumberFormat="1"/>
    <xf numFmtId="9" fontId="1" fillId="0" borderId="0" xfId="5" applyNumberFormat="1" applyFill="1"/>
    <xf numFmtId="0" fontId="0" fillId="0" borderId="0" xfId="0" applyFill="1" applyAlignment="1"/>
    <xf numFmtId="3" fontId="1" fillId="0" borderId="0" xfId="6" applyNumberFormat="1" applyFill="1"/>
    <xf numFmtId="3" fontId="1" fillId="0" borderId="0" xfId="5" applyNumberFormat="1" applyFill="1"/>
    <xf numFmtId="3" fontId="0" fillId="0" borderId="0" xfId="0" applyNumberFormat="1" applyFill="1" applyAlignment="1">
      <alignment horizontal="right"/>
    </xf>
  </cellXfs>
  <cellStyles count="8">
    <cellStyle name="40% - Énfasis1" xfId="5" builtinId="31"/>
    <cellStyle name="40% - Énfasis2" xfId="6" builtinId="35"/>
    <cellStyle name="Bueno" xfId="2" builtinId="26"/>
    <cellStyle name="Incorrecto" xfId="3" builtinId="27"/>
    <cellStyle name="Moneda" xfId="1" builtinId="4"/>
    <cellStyle name="Neutral" xfId="4" builtinId="28"/>
    <cellStyle name="Normal" xfId="0" builtinId="0"/>
    <cellStyle name="Porcentaje" xfId="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46</xdr:row>
      <xdr:rowOff>161925</xdr:rowOff>
    </xdr:from>
    <xdr:to>
      <xdr:col>6</xdr:col>
      <xdr:colOff>390525</xdr:colOff>
      <xdr:row>88</xdr:row>
      <xdr:rowOff>133350</xdr:rowOff>
    </xdr:to>
    <xdr:sp macro="" textlink="">
      <xdr:nvSpPr>
        <xdr:cNvPr id="2" name="CuadroTexto 1">
          <a:extLst>
            <a:ext uri="{FF2B5EF4-FFF2-40B4-BE49-F238E27FC236}">
              <a16:creationId xmlns:a16="http://schemas.microsoft.com/office/drawing/2014/main" id="{11657AE5-F61F-45C2-8F85-9EF078FAF83C}"/>
            </a:ext>
          </a:extLst>
        </xdr:cNvPr>
        <xdr:cNvSpPr txBox="1"/>
      </xdr:nvSpPr>
      <xdr:spPr>
        <a:xfrm>
          <a:off x="0" y="8924925"/>
          <a:ext cx="6172200" cy="797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Para el Estado de Resultados:</a:t>
          </a:r>
        </a:p>
        <a:p>
          <a:r>
            <a:rPr lang="es-MX" sz="1100"/>
            <a:t>Podemos observar que la empresa tiene una cantidad</a:t>
          </a:r>
          <a:r>
            <a:rPr lang="es-MX" sz="1100" baseline="0"/>
            <a:t> muy grande de ventas y estas aumentaron considerablemente del 2019 al 2020, en consecuencia tambien aumentaron los costos de venta, sin embargo no mucho, en general la utilidad neta se incremento considerablemente.</a:t>
          </a:r>
        </a:p>
        <a:p>
          <a:endParaRPr lang="es-MX" sz="1100" baseline="0"/>
        </a:p>
        <a:p>
          <a:r>
            <a:rPr lang="es-MX" sz="1100" baseline="0"/>
            <a:t>Para el Estado de situacion financiera:</a:t>
          </a:r>
        </a:p>
        <a:p>
          <a:r>
            <a:rPr lang="es-MX" sz="1100"/>
            <a:t>Podemos observar que la cuenta de Efectivo y Equivalentes se incremento bastante casi un 6%</a:t>
          </a:r>
          <a:r>
            <a:rPr lang="es-MX" sz="1100" baseline="0"/>
            <a:t>, la cuenta de Documentos por cobrar se redujo considerablemente, esto puede deberse a que se cobro esta cantidad, en general el activo circulante se incremento. En cuanto a la cuenta de Terrenos y edificios podemos observar que se incremento en gran medida,  en general el activo fijo tambien se incremento principalmente por el aumento en Terrenos y edificios. Por ultimo el total de activo tambien se incremento en gran medida donde es importante resaltar el aumento en Activo fijo</a:t>
          </a:r>
          <a:endParaRPr lang="es-MX" sz="1100"/>
        </a:p>
        <a:p>
          <a:endParaRPr lang="es-MX" sz="1100"/>
        </a:p>
        <a:p>
          <a:r>
            <a:rPr lang="es-MX" sz="1100"/>
            <a:t>Podemos observar  que en la cuenta de Proveedores se incremento sin</a:t>
          </a:r>
          <a:r>
            <a:rPr lang="es-MX" sz="1100" baseline="0"/>
            <a:t> embargo no fue un incremento grande, en general el Pasivo circulante se incremento pero no considerablemente. En cuanto a el Pasivo fijo podemos observar que se redujo en una pequeña cantidad principalmente por la disminucion en la cuenta de Documentos por pagar. En general el Pasivo total aumento pero en una parte pequeña esto debido a el aumento de Pasivo circulante.</a:t>
          </a:r>
        </a:p>
        <a:p>
          <a:endParaRPr lang="es-MX" sz="1100" baseline="0"/>
        </a:p>
        <a:p>
          <a:r>
            <a:rPr lang="es-MX" sz="1100" baseline="0"/>
            <a:t>Podemos observar que el capital social aumento en gran medida(Esto puede deberse a alguna aportacion de los socios), la utilidad neta como ya lo habia mencionado se incremento debido a el aumento en ventas, en general poemos observar un aumento en el capital total bastante considerable debido a el aumento de capital social.</a:t>
          </a:r>
        </a:p>
        <a:p>
          <a:endParaRPr lang="es-MX" sz="1100" baseline="0"/>
        </a:p>
        <a:p>
          <a:r>
            <a:rPr lang="es-MX" sz="1100" baseline="0"/>
            <a:t>De las razones estandar:</a:t>
          </a:r>
        </a:p>
        <a:p>
          <a:r>
            <a:rPr lang="es-MX" sz="1100" baseline="0"/>
            <a:t>Podemos observar que la empresa no tiene liquidez y ademas esta por debajo de la competencia en 18 centavos, en cuanto a la solvencia podemos observar que tiene una buena solvencia ya que cuenta con 1 peso para pagar y 79 para seguir trabajando, sin embargo esta por debajo de la competencia en casi 30 centavos, tambien podemos notar que la empresa tiene una buena estabilidad economica mejor que la competencia, al igula que la inmovilizacion de capital la cual se encuentra en el ideal y esta muy por debajo de la competencia (Esto es bastante bueno), en cuanto a la rentabilidad en ventas podemos observar que es mejor que la competencia por 9 centavos y por ultimo podemos observar que la rentabilidad en inversion es excelente ya que es muy superior que la competencia y es mejor que cualquier instrumento bancario (Cetes).</a:t>
          </a:r>
        </a:p>
        <a:p>
          <a:endParaRPr lang="es-MX" sz="1100" baseline="0"/>
        </a:p>
        <a:p>
          <a:r>
            <a:rPr lang="es-MX" sz="1100" baseline="0"/>
            <a:t>Opinion:</a:t>
          </a:r>
        </a:p>
        <a:p>
          <a:r>
            <a:rPr lang="es-MX" sz="1100" baseline="0"/>
            <a:t>La empresa en general se encuentra muy bien debido a que genera muy buenas ventas, las deudas tanto a corto como a largo plazo no son muy grandes y estas no aumentaron de 2019 a 2020, tiene un capital bueno  incremento considerablemente la cuenta de efectivo y equivalentes tal vez por las ventas o por cobrar una parte de la cuenta Documentos por cobrar y su pasivo circulante es bastante bueno superior a el pasivo total, ademas analizando las razones estandar notamos que la mayoria de sus indicadores superan a la competencia y son bastante considerables, sin embargo la empresa no tiene liquidez y esta por debajo de la competencia, ademas su solvencia es muy buena pero esta por debajo de la competencia, entonces debemos mejorar los indicadores de liquidez y solvencia para mejorar donde es importante mencionar que solicitar aportaciones a los socios no es una buena opcion debido a que el capital social aumento de 2019 a 2020 tal vez por una aportacion.</a:t>
          </a:r>
        </a:p>
      </xdr:txBody>
    </xdr:sp>
    <xdr:clientData/>
  </xdr:twoCellAnchor>
  <xdr:twoCellAnchor>
    <xdr:from>
      <xdr:col>0</xdr:col>
      <xdr:colOff>38100</xdr:colOff>
      <xdr:row>41</xdr:row>
      <xdr:rowOff>142875</xdr:rowOff>
    </xdr:from>
    <xdr:to>
      <xdr:col>6</xdr:col>
      <xdr:colOff>9525</xdr:colOff>
      <xdr:row>45</xdr:row>
      <xdr:rowOff>171450</xdr:rowOff>
    </xdr:to>
    <xdr:sp macro="" textlink="">
      <xdr:nvSpPr>
        <xdr:cNvPr id="3" name="CuadroTexto 2">
          <a:extLst>
            <a:ext uri="{FF2B5EF4-FFF2-40B4-BE49-F238E27FC236}">
              <a16:creationId xmlns:a16="http://schemas.microsoft.com/office/drawing/2014/main" id="{F4A9D8F9-27DF-460C-8227-2E692713624B}"/>
            </a:ext>
          </a:extLst>
        </xdr:cNvPr>
        <xdr:cNvSpPr txBox="1"/>
      </xdr:nvSpPr>
      <xdr:spPr>
        <a:xfrm>
          <a:off x="38100" y="7953375"/>
          <a:ext cx="5753100" cy="790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t>Propuestas:</a:t>
          </a:r>
        </a:p>
        <a:p>
          <a:r>
            <a:rPr lang="es-MX" sz="1100"/>
            <a:t>1. Cobrar</a:t>
          </a:r>
          <a:r>
            <a:rPr lang="es-MX" sz="1100" baseline="0"/>
            <a:t> a las cuentas de clientes y deudores un 30%</a:t>
          </a:r>
        </a:p>
        <a:p>
          <a:r>
            <a:rPr lang="es-MX" sz="1100" baseline="0"/>
            <a:t>2. </a:t>
          </a:r>
        </a:p>
        <a:p>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7079-C230-4740-9AF0-762A688756EA}">
  <dimension ref="A1:S68"/>
  <sheetViews>
    <sheetView tabSelected="1" topLeftCell="B15" workbookViewId="0">
      <selection activeCell="Q43" sqref="Q43"/>
    </sheetView>
  </sheetViews>
  <sheetFormatPr baseColWidth="10" defaultRowHeight="15" x14ac:dyDescent="0.25"/>
  <cols>
    <col min="1" max="1" width="23.7109375" customWidth="1"/>
    <col min="2" max="2" width="14.5703125" customWidth="1"/>
    <col min="3" max="3" width="12.5703125" customWidth="1"/>
    <col min="4" max="4" width="13" customWidth="1"/>
    <col min="5" max="5" width="12" bestFit="1" customWidth="1"/>
    <col min="6" max="6" width="10.85546875" customWidth="1"/>
    <col min="7" max="7" width="8.5703125" customWidth="1"/>
    <col min="8" max="8" width="21.7109375" customWidth="1"/>
    <col min="9" max="9" width="12.7109375" customWidth="1"/>
    <col min="10" max="10" width="12" customWidth="1"/>
    <col min="11" max="11" width="12.85546875" customWidth="1"/>
    <col min="12" max="12" width="9.42578125" customWidth="1"/>
    <col min="13" max="13" width="11" customWidth="1"/>
    <col min="14" max="14" width="22" customWidth="1"/>
    <col min="15" max="15" width="10.85546875" customWidth="1"/>
  </cols>
  <sheetData>
    <row r="1" spans="1:19" x14ac:dyDescent="0.25">
      <c r="A1" s="27" t="s">
        <v>66</v>
      </c>
      <c r="B1" s="27"/>
      <c r="C1" s="27"/>
      <c r="D1" s="27"/>
      <c r="E1" s="27"/>
      <c r="H1" s="27" t="s">
        <v>67</v>
      </c>
      <c r="I1" s="27"/>
      <c r="J1" s="27"/>
      <c r="K1" s="27"/>
      <c r="L1" s="27"/>
      <c r="M1" s="27"/>
      <c r="N1" s="27"/>
      <c r="O1" s="27"/>
      <c r="P1" s="27"/>
      <c r="Q1" s="27"/>
      <c r="R1" s="27"/>
    </row>
    <row r="2" spans="1:19" x14ac:dyDescent="0.25">
      <c r="A2" s="27" t="s">
        <v>59</v>
      </c>
      <c r="B2" s="27"/>
      <c r="C2" s="27"/>
      <c r="D2" s="27"/>
      <c r="E2" s="27"/>
      <c r="H2" s="27" t="s">
        <v>60</v>
      </c>
      <c r="I2" s="27"/>
      <c r="J2" s="27"/>
      <c r="K2" s="27"/>
      <c r="L2" s="27"/>
      <c r="M2" s="27"/>
      <c r="N2" s="27"/>
      <c r="O2" s="27"/>
      <c r="P2" s="27"/>
      <c r="Q2" s="27"/>
      <c r="R2" s="27"/>
    </row>
    <row r="3" spans="1:19" x14ac:dyDescent="0.25">
      <c r="B3">
        <v>2020</v>
      </c>
      <c r="D3">
        <v>2019</v>
      </c>
      <c r="H3" t="s">
        <v>5</v>
      </c>
      <c r="I3">
        <v>2020</v>
      </c>
      <c r="K3">
        <v>2019</v>
      </c>
      <c r="N3" t="s">
        <v>14</v>
      </c>
      <c r="O3">
        <v>2020</v>
      </c>
      <c r="Q3">
        <v>2019</v>
      </c>
    </row>
    <row r="4" spans="1:19" x14ac:dyDescent="0.25">
      <c r="A4" s="2" t="s">
        <v>0</v>
      </c>
      <c r="B4" s="36">
        <v>53467693</v>
      </c>
      <c r="C4" s="4">
        <v>1</v>
      </c>
      <c r="D4" s="36">
        <v>48182893</v>
      </c>
      <c r="E4" s="4">
        <v>1</v>
      </c>
      <c r="F4" s="14">
        <f>B4-D4</f>
        <v>5284800</v>
      </c>
      <c r="H4" t="s">
        <v>6</v>
      </c>
      <c r="N4" t="s">
        <v>14</v>
      </c>
    </row>
    <row r="5" spans="1:19" x14ac:dyDescent="0.25">
      <c r="A5" t="s">
        <v>1</v>
      </c>
      <c r="B5" s="1">
        <v>18294524</v>
      </c>
      <c r="C5" s="5">
        <f>B5*C4/B4</f>
        <v>0.3421603397027061</v>
      </c>
      <c r="D5" s="1">
        <v>15858399</v>
      </c>
      <c r="E5" s="5">
        <f>D5*E4/D4</f>
        <v>0.32912924095280038</v>
      </c>
      <c r="F5" s="14">
        <f t="shared" ref="F5:F8" si="0">B5-D5</f>
        <v>2436125</v>
      </c>
      <c r="H5" s="11" t="s">
        <v>7</v>
      </c>
      <c r="I5" s="12">
        <v>7984975</v>
      </c>
      <c r="J5" s="13">
        <f>I5*J18/I18</f>
        <v>0.18746448200173346</v>
      </c>
      <c r="K5" s="12">
        <v>4266101</v>
      </c>
      <c r="L5" s="13">
        <f>K5*L18/K18</f>
        <v>0.12721628725938472</v>
      </c>
      <c r="M5" s="14">
        <f>I5-K5</f>
        <v>3718874</v>
      </c>
      <c r="N5" t="s">
        <v>6</v>
      </c>
    </row>
    <row r="6" spans="1:19" x14ac:dyDescent="0.25">
      <c r="A6" t="s">
        <v>2</v>
      </c>
      <c r="B6" s="1">
        <f>B4-B5</f>
        <v>35173169</v>
      </c>
      <c r="C6" s="5">
        <f>B6*C4/B4</f>
        <v>0.6578396602972939</v>
      </c>
      <c r="D6" s="1">
        <f>D4-D5</f>
        <v>32324494</v>
      </c>
      <c r="E6" s="5">
        <f>D6*E4/D4</f>
        <v>0.67087075904719962</v>
      </c>
      <c r="F6" s="14">
        <f t="shared" si="0"/>
        <v>2848675</v>
      </c>
      <c r="H6" t="s">
        <v>8</v>
      </c>
      <c r="I6" s="1">
        <v>3897223</v>
      </c>
      <c r="J6" s="5">
        <f>I6*J18/I18</f>
        <v>9.1495701732346266E-2</v>
      </c>
      <c r="K6" s="1">
        <v>3066660</v>
      </c>
      <c r="L6" s="5">
        <f>K6*L18/K18</f>
        <v>9.1448631780369175E-2</v>
      </c>
      <c r="M6" s="14">
        <f t="shared" ref="M6:M17" si="1">I6-K6</f>
        <v>830563</v>
      </c>
      <c r="N6" t="s">
        <v>21</v>
      </c>
      <c r="O6" s="1">
        <v>5329201</v>
      </c>
      <c r="P6" s="5">
        <f>O6*P18/O18</f>
        <v>0.12511446873009871</v>
      </c>
      <c r="Q6" s="1">
        <v>4252318</v>
      </c>
      <c r="R6" s="5">
        <f>Q6*R18/Q18</f>
        <v>0.12680527446636924</v>
      </c>
      <c r="S6" s="14">
        <f>O6-Q6</f>
        <v>1076883</v>
      </c>
    </row>
    <row r="7" spans="1:19" x14ac:dyDescent="0.25">
      <c r="A7" t="s">
        <v>3</v>
      </c>
      <c r="B7" s="1">
        <v>24822600</v>
      </c>
      <c r="C7" s="5">
        <f>B7*C4/B4</f>
        <v>0.46425418055721984</v>
      </c>
      <c r="D7" s="1">
        <v>23613186</v>
      </c>
      <c r="E7" s="5">
        <f>D7*E4/D4</f>
        <v>0.49007406010261773</v>
      </c>
      <c r="F7" s="14">
        <f t="shared" si="0"/>
        <v>1209414</v>
      </c>
      <c r="H7" t="s">
        <v>9</v>
      </c>
      <c r="I7" s="1">
        <v>4082293</v>
      </c>
      <c r="J7" s="5">
        <f>I7*J18/I18</f>
        <v>9.5840618489638665E-2</v>
      </c>
      <c r="K7" s="1">
        <v>3199193</v>
      </c>
      <c r="L7" s="5">
        <f>K7*L18/K18</f>
        <v>9.5400801735873744E-2</v>
      </c>
      <c r="M7" s="14">
        <f t="shared" si="1"/>
        <v>883100</v>
      </c>
      <c r="N7" t="s">
        <v>22</v>
      </c>
      <c r="O7" s="1">
        <v>1540934</v>
      </c>
      <c r="P7" s="5">
        <f>O7*P18/O18</f>
        <v>3.6176743710388468E-2</v>
      </c>
      <c r="Q7" s="1">
        <v>1136143</v>
      </c>
      <c r="R7" s="5">
        <f>Q7*R18/Q18</f>
        <v>3.3880091975257765E-2</v>
      </c>
      <c r="S7" s="14">
        <f t="shared" ref="S7:S18" si="2">O7-Q7</f>
        <v>404791</v>
      </c>
    </row>
    <row r="8" spans="1:19" x14ac:dyDescent="0.25">
      <c r="A8" s="11" t="s">
        <v>4</v>
      </c>
      <c r="B8" s="11">
        <f>B6-B7</f>
        <v>10350569</v>
      </c>
      <c r="C8" s="13">
        <f>B8*C4/B4</f>
        <v>0.19358547974007406</v>
      </c>
      <c r="D8" s="11">
        <f>D6-D7</f>
        <v>8711308</v>
      </c>
      <c r="E8" s="13">
        <f>D8*E4/D4</f>
        <v>0.18079669894458184</v>
      </c>
      <c r="F8" s="14">
        <f t="shared" si="0"/>
        <v>1639261</v>
      </c>
      <c r="H8" t="s">
        <v>10</v>
      </c>
      <c r="I8" s="1">
        <v>1292456</v>
      </c>
      <c r="J8" s="5">
        <f>I8*J18/I18</f>
        <v>3.0343187617999107E-2</v>
      </c>
      <c r="K8" s="1">
        <v>1017149</v>
      </c>
      <c r="L8" s="5">
        <f>K8*L18/K18</f>
        <v>3.0331658666683206E-2</v>
      </c>
      <c r="M8" s="14">
        <f t="shared" si="1"/>
        <v>275307</v>
      </c>
      <c r="N8" t="s">
        <v>23</v>
      </c>
      <c r="O8" s="1">
        <v>3387024</v>
      </c>
      <c r="P8" s="5">
        <f>O8*P18/O18</f>
        <v>7.9517681606697491E-2</v>
      </c>
      <c r="Q8" s="29">
        <v>3826158</v>
      </c>
      <c r="R8" s="5">
        <f>Q8*R18/Q18</f>
        <v>0.11409706784433675</v>
      </c>
      <c r="S8" s="14">
        <f t="shared" si="2"/>
        <v>-439134</v>
      </c>
    </row>
    <row r="9" spans="1:19" x14ac:dyDescent="0.25">
      <c r="H9" t="s">
        <v>11</v>
      </c>
      <c r="I9" s="1">
        <v>1062877</v>
      </c>
      <c r="J9" s="5">
        <f>I9*J18/I18</f>
        <v>2.4953326245424245E-2</v>
      </c>
      <c r="K9" s="1">
        <v>5008201</v>
      </c>
      <c r="L9" s="5">
        <f>K9*L18/K18</f>
        <v>0.14934591025124294</v>
      </c>
      <c r="M9" s="14">
        <f t="shared" si="1"/>
        <v>-3945324</v>
      </c>
      <c r="N9" s="11" t="s">
        <v>24</v>
      </c>
      <c r="O9" s="12">
        <f>SUM(O6:O8)</f>
        <v>10257159</v>
      </c>
      <c r="P9" s="13">
        <f>O9*P18/O18</f>
        <v>0.24080889404718467</v>
      </c>
      <c r="Q9" s="12">
        <f>SUM(Q6:Q8)</f>
        <v>9214619</v>
      </c>
      <c r="R9" s="13">
        <f>Q9*R18/Q18</f>
        <v>0.27478243428596377</v>
      </c>
      <c r="S9" s="14">
        <f t="shared" si="2"/>
        <v>1042540</v>
      </c>
    </row>
    <row r="10" spans="1:19" x14ac:dyDescent="0.25">
      <c r="A10" s="6" t="s">
        <v>32</v>
      </c>
      <c r="B10" s="6" t="s">
        <v>33</v>
      </c>
      <c r="C10" s="6" t="s">
        <v>33</v>
      </c>
      <c r="D10" s="6" t="s">
        <v>55</v>
      </c>
      <c r="E10" s="28" t="s">
        <v>34</v>
      </c>
      <c r="F10" s="28"/>
      <c r="H10" s="11" t="s">
        <v>12</v>
      </c>
      <c r="I10" s="12">
        <f>SUM(I5:I9)</f>
        <v>18319824</v>
      </c>
      <c r="J10" s="13">
        <f>I10*J18/I18</f>
        <v>0.43009731608714175</v>
      </c>
      <c r="K10" s="12">
        <f>SUM(K5:K9)</f>
        <v>16557304</v>
      </c>
      <c r="L10" s="13">
        <f>K10*L18/K18</f>
        <v>0.4937432896935538</v>
      </c>
      <c r="M10" s="14">
        <f t="shared" si="1"/>
        <v>1762520</v>
      </c>
      <c r="N10" t="s">
        <v>13</v>
      </c>
      <c r="O10" s="1"/>
      <c r="Q10" s="1"/>
      <c r="S10" s="1"/>
    </row>
    <row r="11" spans="1:19" x14ac:dyDescent="0.25">
      <c r="A11" s="6"/>
      <c r="B11" s="6" t="s">
        <v>35</v>
      </c>
      <c r="C11" s="6" t="s">
        <v>36</v>
      </c>
      <c r="D11" s="6"/>
      <c r="E11" s="7" t="s">
        <v>37</v>
      </c>
      <c r="F11" s="7" t="s">
        <v>38</v>
      </c>
      <c r="H11" t="s">
        <v>13</v>
      </c>
      <c r="I11" s="1"/>
      <c r="K11" s="1"/>
      <c r="N11" t="s">
        <v>25</v>
      </c>
      <c r="O11" s="1">
        <v>1588049</v>
      </c>
      <c r="P11" s="5">
        <f>O11*P18/O18</f>
        <v>3.7282869787115279E-2</v>
      </c>
      <c r="Q11" s="1">
        <v>2046997</v>
      </c>
      <c r="R11" s="5">
        <f>Q11*R18/Q18</f>
        <v>6.1042004952789143E-2</v>
      </c>
      <c r="S11" s="14">
        <f t="shared" si="2"/>
        <v>-458948</v>
      </c>
    </row>
    <row r="12" spans="1:19" x14ac:dyDescent="0.25">
      <c r="A12" s="8" t="s">
        <v>39</v>
      </c>
      <c r="B12" s="9">
        <f>I5/O9</f>
        <v>0.77847823164289454</v>
      </c>
      <c r="C12" s="9">
        <v>0.96</v>
      </c>
      <c r="D12" s="9">
        <f>I53/O57</f>
        <v>0.98668464837213932</v>
      </c>
      <c r="E12" s="10"/>
      <c r="F12" s="33">
        <f>C12-B12</f>
        <v>0.18152176835710543</v>
      </c>
      <c r="H12" s="11" t="s">
        <v>15</v>
      </c>
      <c r="I12" s="12">
        <v>17857702</v>
      </c>
      <c r="J12" s="13">
        <f>I12*J18/I18</f>
        <v>0.41924800705967391</v>
      </c>
      <c r="K12" s="12">
        <v>13843154</v>
      </c>
      <c r="L12" s="13">
        <f>K12*L18/K18</f>
        <v>0.41280660158770277</v>
      </c>
      <c r="M12" s="14">
        <f t="shared" si="1"/>
        <v>4014548</v>
      </c>
      <c r="N12" s="11" t="s">
        <v>26</v>
      </c>
      <c r="O12" s="12">
        <f>SUM(O11)</f>
        <v>1588049</v>
      </c>
      <c r="P12" s="13">
        <f>O12*P18/O18</f>
        <v>3.7282869787115279E-2</v>
      </c>
      <c r="Q12" s="12">
        <f>SUM(Q11)</f>
        <v>2046997</v>
      </c>
      <c r="R12" s="13">
        <f>Q12*R18/Q18</f>
        <v>6.1042004952789143E-2</v>
      </c>
      <c r="S12" s="14">
        <f t="shared" si="2"/>
        <v>-458948</v>
      </c>
    </row>
    <row r="13" spans="1:19" x14ac:dyDescent="0.25">
      <c r="A13" s="8" t="s">
        <v>40</v>
      </c>
      <c r="B13" s="9">
        <f>I10/O9</f>
        <v>1.7860524537057483</v>
      </c>
      <c r="C13" s="9">
        <v>2.08</v>
      </c>
      <c r="D13" s="9">
        <f>I58/O57</f>
        <v>1.8197167334541662</v>
      </c>
      <c r="E13" s="10"/>
      <c r="F13" s="38">
        <f>C13-B13</f>
        <v>0.29394754629425179</v>
      </c>
      <c r="H13" t="s">
        <v>16</v>
      </c>
      <c r="I13" s="1">
        <v>3109195</v>
      </c>
      <c r="J13" s="5">
        <f>I13*J18/I18</f>
        <v>7.2995047588424469E-2</v>
      </c>
      <c r="K13" s="1">
        <v>1173573</v>
      </c>
      <c r="L13" s="5">
        <f>K13*L18/K18</f>
        <v>3.4996264712874328E-2</v>
      </c>
      <c r="M13" s="14">
        <f t="shared" si="1"/>
        <v>1935622</v>
      </c>
      <c r="N13" s="11" t="s">
        <v>27</v>
      </c>
      <c r="O13" s="12">
        <f>O12+O9</f>
        <v>11845208</v>
      </c>
      <c r="P13" s="13">
        <f>O13*P18/O18</f>
        <v>0.27809176383429995</v>
      </c>
      <c r="Q13" s="12">
        <f>Q12+Q9</f>
        <v>11261616</v>
      </c>
      <c r="R13" s="13">
        <f>Q13*R18/Q18</f>
        <v>0.33582443923875288</v>
      </c>
      <c r="S13" s="14">
        <f t="shared" si="2"/>
        <v>583592</v>
      </c>
    </row>
    <row r="14" spans="1:19" x14ac:dyDescent="0.25">
      <c r="A14" s="8" t="s">
        <v>41</v>
      </c>
      <c r="B14" s="9">
        <f>O13/I18</f>
        <v>0.27809176383429995</v>
      </c>
      <c r="C14" s="9">
        <v>0.57999999999999996</v>
      </c>
      <c r="D14" s="9">
        <f>O61/I66</f>
        <v>0.27585549766418221</v>
      </c>
      <c r="E14" s="32">
        <f>-B14+C14</f>
        <v>0.30190823616570001</v>
      </c>
      <c r="F14" s="20"/>
      <c r="H14" t="s">
        <v>17</v>
      </c>
      <c r="I14" s="1">
        <v>2545128</v>
      </c>
      <c r="J14" s="5">
        <f>I14*J18/I18</f>
        <v>5.9752360169957684E-2</v>
      </c>
      <c r="K14" s="1">
        <v>1173573</v>
      </c>
      <c r="L14" s="5">
        <f>K14*L18/K18</f>
        <v>3.4996264712874328E-2</v>
      </c>
      <c r="M14" s="14">
        <f t="shared" si="1"/>
        <v>1371555</v>
      </c>
      <c r="N14" t="s">
        <v>28</v>
      </c>
      <c r="O14" s="1"/>
      <c r="Q14" s="1"/>
      <c r="S14" s="1"/>
    </row>
    <row r="15" spans="1:19" x14ac:dyDescent="0.25">
      <c r="A15" s="8" t="s">
        <v>42</v>
      </c>
      <c r="B15" s="9">
        <f>I17/O17</f>
        <v>0.78943923252601333</v>
      </c>
      <c r="C15" s="9">
        <v>1.24</v>
      </c>
      <c r="D15" s="9">
        <f>I65/O65</f>
        <v>0.78067268008771673</v>
      </c>
      <c r="E15" s="32">
        <f>C15-B15</f>
        <v>0.45056076747398666</v>
      </c>
      <c r="F15" s="20"/>
      <c r="H15" t="s">
        <v>63</v>
      </c>
      <c r="I15" s="1">
        <v>343739</v>
      </c>
      <c r="J15" s="5">
        <f>I15*J18/I18</f>
        <v>8.0700131908733406E-3</v>
      </c>
      <c r="K15" s="1">
        <v>361543</v>
      </c>
      <c r="L15" s="5">
        <f>K15*L18/K18</f>
        <v>1.0781310181034093E-2</v>
      </c>
      <c r="M15" s="37">
        <f>I15-K15</f>
        <v>-17804</v>
      </c>
      <c r="N15" s="11" t="s">
        <v>29</v>
      </c>
      <c r="O15" s="12">
        <v>20398825</v>
      </c>
      <c r="P15" s="13">
        <f>O15*P18/O18</f>
        <v>0.47890634123075032</v>
      </c>
      <c r="Q15" s="12">
        <v>13561312</v>
      </c>
      <c r="R15" s="13">
        <f>Q15*R18/Q18</f>
        <v>0.404401996813048</v>
      </c>
      <c r="S15" s="14">
        <f t="shared" si="2"/>
        <v>6837513</v>
      </c>
    </row>
    <row r="16" spans="1:19" x14ac:dyDescent="0.25">
      <c r="A16" s="8" t="s">
        <v>43</v>
      </c>
      <c r="B16" s="9">
        <f>B8/B4</f>
        <v>0.19358547974007406</v>
      </c>
      <c r="C16" s="9">
        <v>0.1</v>
      </c>
      <c r="D16" s="9">
        <f>I47/I43</f>
        <v>0.19810512322757917</v>
      </c>
      <c r="E16" s="32">
        <f>B16-C16</f>
        <v>9.3585479740074057E-2</v>
      </c>
      <c r="F16" s="10"/>
      <c r="H16" t="s">
        <v>18</v>
      </c>
      <c r="I16" s="1">
        <v>419014</v>
      </c>
      <c r="J16" s="5">
        <f>I16*J18/I18</f>
        <v>9.8372559039288602E-3</v>
      </c>
      <c r="K16" s="1">
        <v>425089</v>
      </c>
      <c r="L16" s="5">
        <f>K16*L18/K18</f>
        <v>1.2676269111960684E-2</v>
      </c>
      <c r="M16" s="14">
        <f>I16-K16</f>
        <v>-6075</v>
      </c>
      <c r="N16" s="11" t="s">
        <v>4</v>
      </c>
      <c r="O16" s="12">
        <f>B8</f>
        <v>10350569</v>
      </c>
      <c r="P16" s="13">
        <f>O16*P18/O18</f>
        <v>0.24300189493494972</v>
      </c>
      <c r="Q16" s="12">
        <f>D8</f>
        <v>8711308</v>
      </c>
      <c r="R16" s="13">
        <f>Q16*R18/Q18</f>
        <v>0.25977356394819912</v>
      </c>
      <c r="S16" s="14">
        <f t="shared" si="2"/>
        <v>1639261</v>
      </c>
    </row>
    <row r="17" spans="1:19" x14ac:dyDescent="0.25">
      <c r="A17" s="8" t="s">
        <v>44</v>
      </c>
      <c r="B17" s="9">
        <f>B8/O15</f>
        <v>0.50741005915781912</v>
      </c>
      <c r="C17" s="9">
        <v>0.15</v>
      </c>
      <c r="D17" s="9">
        <f>O64/O63</f>
        <v>0.52433749836081267</v>
      </c>
      <c r="E17" s="32">
        <f>B17-C17</f>
        <v>0.35741005915781909</v>
      </c>
      <c r="F17" s="10"/>
      <c r="H17" s="11" t="s">
        <v>19</v>
      </c>
      <c r="I17" s="12">
        <f>SUM(I12:I16)</f>
        <v>24274778</v>
      </c>
      <c r="J17" s="13">
        <f>I17*J18/I18</f>
        <v>0.56990268391285825</v>
      </c>
      <c r="K17" s="12">
        <f>SUM(K12:K16)</f>
        <v>16976932</v>
      </c>
      <c r="L17" s="13">
        <f>K17*L18/K18</f>
        <v>0.50625671030644626</v>
      </c>
      <c r="M17" s="14">
        <f>I17-K17</f>
        <v>7297846</v>
      </c>
      <c r="N17" s="11" t="s">
        <v>30</v>
      </c>
      <c r="O17" s="12">
        <f>O15+O16</f>
        <v>30749394</v>
      </c>
      <c r="P17" s="13">
        <f>O17*P18/O18</f>
        <v>0.7219082361657001</v>
      </c>
      <c r="Q17" s="12">
        <f>Q15+Q16</f>
        <v>22272620</v>
      </c>
      <c r="R17" s="13">
        <f>Q17*R18/Q18</f>
        <v>0.66417556076124706</v>
      </c>
      <c r="S17" s="14">
        <f t="shared" si="2"/>
        <v>8476774</v>
      </c>
    </row>
    <row r="18" spans="1:19" x14ac:dyDescent="0.25">
      <c r="H18" s="2" t="s">
        <v>20</v>
      </c>
      <c r="I18" s="3">
        <f>I10+I17</f>
        <v>42594602</v>
      </c>
      <c r="J18" s="4">
        <v>1</v>
      </c>
      <c r="K18" s="3">
        <f>K10+K17</f>
        <v>33534236</v>
      </c>
      <c r="L18" s="4">
        <v>1</v>
      </c>
      <c r="M18" s="14">
        <f>I18-K18</f>
        <v>9060366</v>
      </c>
      <c r="N18" s="2" t="s">
        <v>31</v>
      </c>
      <c r="O18" s="3">
        <f>O17+O13</f>
        <v>42594602</v>
      </c>
      <c r="P18" s="4">
        <v>1</v>
      </c>
      <c r="Q18" s="3">
        <f>Q17+Q13</f>
        <v>33534236</v>
      </c>
      <c r="R18" s="4">
        <v>1</v>
      </c>
      <c r="S18" s="14">
        <f t="shared" si="2"/>
        <v>9060366</v>
      </c>
    </row>
    <row r="19" spans="1:19" x14ac:dyDescent="0.25">
      <c r="A19" s="23"/>
      <c r="B19" s="23"/>
      <c r="C19" s="23"/>
      <c r="D19" s="23"/>
      <c r="E19" s="23"/>
      <c r="F19" s="9"/>
      <c r="K19" s="1"/>
      <c r="L19" s="1"/>
    </row>
    <row r="20" spans="1:19" x14ac:dyDescent="0.25">
      <c r="A20" t="s">
        <v>45</v>
      </c>
      <c r="B20" s="1">
        <f>B7</f>
        <v>24822600</v>
      </c>
      <c r="C20" s="25" t="s">
        <v>46</v>
      </c>
      <c r="D20" s="25"/>
      <c r="E20" s="25"/>
      <c r="F20" s="9"/>
    </row>
    <row r="21" spans="1:19" x14ac:dyDescent="0.25">
      <c r="A21" s="5" t="s">
        <v>47</v>
      </c>
      <c r="B21" s="15">
        <f>B22*0.34</f>
        <v>2040.0000000000002</v>
      </c>
      <c r="C21" s="25" t="s">
        <v>48</v>
      </c>
      <c r="D21" s="25"/>
      <c r="E21" s="25"/>
      <c r="H21" s="24" t="s">
        <v>7</v>
      </c>
      <c r="I21" s="24"/>
      <c r="K21" s="24" t="s">
        <v>58</v>
      </c>
      <c r="L21" s="24"/>
    </row>
    <row r="22" spans="1:19" x14ac:dyDescent="0.25">
      <c r="A22" t="s">
        <v>49</v>
      </c>
      <c r="B22" s="18">
        <v>6000</v>
      </c>
      <c r="H22" s="1">
        <f>I5</f>
        <v>7984975</v>
      </c>
      <c r="K22" s="1">
        <f>I6</f>
        <v>3897223</v>
      </c>
      <c r="L22">
        <f>I30*0.34</f>
        <v>177881.75121212244</v>
      </c>
    </row>
    <row r="23" spans="1:19" x14ac:dyDescent="0.25">
      <c r="H23" s="1">
        <f>E32</f>
        <v>523181.62121212482</v>
      </c>
    </row>
    <row r="24" spans="1:19" x14ac:dyDescent="0.25">
      <c r="A24" s="16" t="s">
        <v>56</v>
      </c>
      <c r="B24" s="17">
        <f>(B20+B40)/(1-(B21/B22))</f>
        <v>53990874.621212125</v>
      </c>
      <c r="C24" s="26" t="s">
        <v>50</v>
      </c>
      <c r="D24" s="26"/>
      <c r="E24" s="26"/>
      <c r="H24">
        <f>I36+L36</f>
        <v>1612424.7</v>
      </c>
    </row>
    <row r="26" spans="1:19" x14ac:dyDescent="0.25">
      <c r="A26" t="s">
        <v>51</v>
      </c>
      <c r="B26" s="15">
        <f>B24/B22</f>
        <v>8998.4791035353537</v>
      </c>
      <c r="C26" s="25" t="s">
        <v>52</v>
      </c>
      <c r="D26" s="25"/>
      <c r="E26" s="25"/>
      <c r="H26" s="21">
        <f>SUM(H22:H25)-SUM(I22:I25)</f>
        <v>10120581.321212124</v>
      </c>
      <c r="K26" s="21">
        <f>SUM(K22:K25)-SUM(L22:L25)</f>
        <v>3719341.2487878776</v>
      </c>
    </row>
    <row r="28" spans="1:19" x14ac:dyDescent="0.25">
      <c r="A28" t="s">
        <v>53</v>
      </c>
      <c r="B28" s="15">
        <f>B26*B21</f>
        <v>18356897.371212125</v>
      </c>
      <c r="C28" s="25" t="s">
        <v>54</v>
      </c>
      <c r="D28" s="25"/>
      <c r="E28" s="25"/>
      <c r="H28" s="24" t="s">
        <v>0</v>
      </c>
      <c r="I28" s="24"/>
      <c r="K28" s="24" t="s">
        <v>1</v>
      </c>
      <c r="L28" s="24"/>
    </row>
    <row r="29" spans="1:19" x14ac:dyDescent="0.25">
      <c r="H29" s="1"/>
      <c r="I29" s="1">
        <f>B4</f>
        <v>53467693</v>
      </c>
      <c r="K29" s="1">
        <f>B5</f>
        <v>18294524</v>
      </c>
    </row>
    <row r="30" spans="1:19" x14ac:dyDescent="0.25">
      <c r="A30" s="27" t="s">
        <v>67</v>
      </c>
      <c r="B30" s="27"/>
      <c r="C30" s="22"/>
      <c r="D30" s="22"/>
      <c r="E30" s="22"/>
      <c r="I30" s="1">
        <f>H23</f>
        <v>523181.62121212482</v>
      </c>
      <c r="K30">
        <f>L22</f>
        <v>177881.75121212244</v>
      </c>
    </row>
    <row r="31" spans="1:19" x14ac:dyDescent="0.25">
      <c r="A31" s="27" t="s">
        <v>57</v>
      </c>
      <c r="B31" s="27"/>
      <c r="C31" s="22"/>
      <c r="D31" s="22"/>
      <c r="E31" s="22"/>
    </row>
    <row r="32" spans="1:19" x14ac:dyDescent="0.25">
      <c r="A32" t="s">
        <v>0</v>
      </c>
      <c r="B32" s="15">
        <f>B24</f>
        <v>53990874.621212125</v>
      </c>
      <c r="D32" s="34" t="s">
        <v>64</v>
      </c>
      <c r="E32" s="35">
        <f>B32-B4</f>
        <v>523181.62121212482</v>
      </c>
    </row>
    <row r="33" spans="1:16" x14ac:dyDescent="0.25">
      <c r="A33" t="s">
        <v>1</v>
      </c>
      <c r="B33" s="15">
        <f>B28</f>
        <v>18356897.371212125</v>
      </c>
      <c r="I33" s="21">
        <f>SUM(I29:I32)-SUM(H29:H32)</f>
        <v>53990874.621212125</v>
      </c>
      <c r="K33" s="21">
        <f>SUM(K29:K32)-SUM(L29:L32)</f>
        <v>18472405.751212124</v>
      </c>
    </row>
    <row r="34" spans="1:16" x14ac:dyDescent="0.25">
      <c r="A34" t="s">
        <v>2</v>
      </c>
      <c r="B34" s="15">
        <f>B32-B33</f>
        <v>35633977.25</v>
      </c>
    </row>
    <row r="35" spans="1:16" x14ac:dyDescent="0.25">
      <c r="A35" t="s">
        <v>3</v>
      </c>
      <c r="B35" s="15">
        <f>B20</f>
        <v>24822600</v>
      </c>
      <c r="H35" s="24" t="s">
        <v>9</v>
      </c>
      <c r="I35" s="24"/>
      <c r="K35" s="24" t="s">
        <v>10</v>
      </c>
      <c r="L35" s="24"/>
      <c r="O35" s="40"/>
      <c r="P35" s="40"/>
    </row>
    <row r="36" spans="1:16" x14ac:dyDescent="0.25">
      <c r="A36" t="s">
        <v>65</v>
      </c>
      <c r="B36" s="11">
        <f>B34-B35</f>
        <v>10811377.25</v>
      </c>
      <c r="H36" s="1">
        <f>I7</f>
        <v>4082293</v>
      </c>
      <c r="I36">
        <f>I7*0.3</f>
        <v>1224687.8999999999</v>
      </c>
      <c r="K36" s="1">
        <f>I8</f>
        <v>1292456</v>
      </c>
      <c r="L36">
        <f>I8*0.3</f>
        <v>387736.8</v>
      </c>
    </row>
    <row r="37" spans="1:16" x14ac:dyDescent="0.25">
      <c r="B37" s="31"/>
      <c r="H37" s="21">
        <f>H36-I36</f>
        <v>2857605.1</v>
      </c>
      <c r="K37" s="21">
        <f>K36-L36</f>
        <v>904719.2</v>
      </c>
    </row>
    <row r="39" spans="1:16" x14ac:dyDescent="0.25">
      <c r="F39" s="10"/>
      <c r="G39" s="10"/>
      <c r="K39" s="40"/>
      <c r="L39" s="40"/>
    </row>
    <row r="40" spans="1:16" x14ac:dyDescent="0.25">
      <c r="A40" s="11" t="s">
        <v>61</v>
      </c>
      <c r="B40" s="12">
        <f>O15*0.53</f>
        <v>10811377.25</v>
      </c>
      <c r="H40" s="27" t="s">
        <v>66</v>
      </c>
      <c r="I40" s="27"/>
      <c r="J40" s="27"/>
    </row>
    <row r="41" spans="1:16" x14ac:dyDescent="0.25">
      <c r="H41" s="27" t="s">
        <v>68</v>
      </c>
      <c r="I41" s="27"/>
      <c r="J41" s="27"/>
    </row>
    <row r="42" spans="1:16" x14ac:dyDescent="0.25">
      <c r="I42">
        <v>2020</v>
      </c>
    </row>
    <row r="43" spans="1:16" x14ac:dyDescent="0.25">
      <c r="H43" s="2" t="s">
        <v>0</v>
      </c>
      <c r="I43" s="36">
        <f>I33</f>
        <v>53990874.621212125</v>
      </c>
      <c r="J43" s="4">
        <v>1</v>
      </c>
    </row>
    <row r="44" spans="1:16" x14ac:dyDescent="0.25">
      <c r="H44" t="s">
        <v>1</v>
      </c>
      <c r="I44" s="1">
        <f>K33</f>
        <v>18472405.751212124</v>
      </c>
      <c r="J44" s="5">
        <f>I44*J43/I43</f>
        <v>0.34213940560901046</v>
      </c>
    </row>
    <row r="45" spans="1:16" x14ac:dyDescent="0.25">
      <c r="H45" t="s">
        <v>2</v>
      </c>
      <c r="I45" s="1">
        <f>I43-I44</f>
        <v>35518468.870000005</v>
      </c>
      <c r="J45" s="5">
        <f>I45*J43/I43</f>
        <v>0.65786059439098965</v>
      </c>
      <c r="K45" s="22"/>
      <c r="L45" s="22"/>
    </row>
    <row r="46" spans="1:16" x14ac:dyDescent="0.25">
      <c r="H46" t="s">
        <v>3</v>
      </c>
      <c r="I46" s="1">
        <v>24822600</v>
      </c>
      <c r="J46" s="5">
        <f>I46*J43/I43</f>
        <v>0.45975547116341042</v>
      </c>
      <c r="K46" s="22"/>
      <c r="L46" s="22"/>
    </row>
    <row r="47" spans="1:16" x14ac:dyDescent="0.25">
      <c r="H47" s="11" t="s">
        <v>4</v>
      </c>
      <c r="I47" s="11">
        <f>I45-I46</f>
        <v>10695868.870000005</v>
      </c>
      <c r="J47" s="13">
        <f>I47*J43/I43</f>
        <v>0.19810512322757917</v>
      </c>
      <c r="K47" s="10"/>
      <c r="L47" s="10"/>
    </row>
    <row r="48" spans="1:16" x14ac:dyDescent="0.25">
      <c r="K48" s="31"/>
      <c r="L48" s="39"/>
    </row>
    <row r="49" spans="1:18" x14ac:dyDescent="0.25">
      <c r="H49" s="27" t="s">
        <v>67</v>
      </c>
      <c r="I49" s="27"/>
      <c r="J49" s="27"/>
      <c r="K49" s="27"/>
      <c r="L49" s="27"/>
      <c r="M49" s="27"/>
      <c r="N49" s="27"/>
      <c r="O49" s="27"/>
      <c r="P49" s="27"/>
      <c r="Q49" s="22"/>
      <c r="R49" s="22"/>
    </row>
    <row r="50" spans="1:18" x14ac:dyDescent="0.25">
      <c r="H50" s="27" t="s">
        <v>69</v>
      </c>
      <c r="I50" s="27"/>
      <c r="J50" s="27"/>
      <c r="K50" s="27"/>
      <c r="L50" s="27"/>
      <c r="M50" s="27"/>
      <c r="N50" s="27"/>
      <c r="O50" s="27"/>
      <c r="P50" s="27"/>
      <c r="Q50" s="22"/>
      <c r="R50" s="22"/>
    </row>
    <row r="51" spans="1:18" x14ac:dyDescent="0.25">
      <c r="H51" t="s">
        <v>5</v>
      </c>
      <c r="I51">
        <v>2020</v>
      </c>
      <c r="N51" t="s">
        <v>14</v>
      </c>
      <c r="O51">
        <v>2020</v>
      </c>
    </row>
    <row r="52" spans="1:18" x14ac:dyDescent="0.25">
      <c r="H52" t="s">
        <v>6</v>
      </c>
      <c r="K52" s="10"/>
      <c r="L52" s="10"/>
      <c r="M52" s="10"/>
      <c r="N52" t="s">
        <v>14</v>
      </c>
      <c r="Q52" s="10"/>
      <c r="R52" s="10"/>
    </row>
    <row r="53" spans="1:18" x14ac:dyDescent="0.25">
      <c r="H53" s="11" t="s">
        <v>7</v>
      </c>
      <c r="I53" s="12">
        <f>H26</f>
        <v>10120581.321212124</v>
      </c>
      <c r="J53" s="13">
        <f>I53*J66/I66</f>
        <v>0.23569176640999442</v>
      </c>
      <c r="K53" s="31"/>
      <c r="L53" s="30"/>
      <c r="M53" s="41"/>
      <c r="N53" t="s">
        <v>6</v>
      </c>
      <c r="Q53" s="10"/>
      <c r="R53" s="10"/>
    </row>
    <row r="54" spans="1:18" x14ac:dyDescent="0.25">
      <c r="H54" t="s">
        <v>8</v>
      </c>
      <c r="I54" s="1">
        <f>K26</f>
        <v>3719341.2487878776</v>
      </c>
      <c r="J54" s="5">
        <f>I54*J66/I66</f>
        <v>8.6617367222871985E-2</v>
      </c>
      <c r="K54" s="31"/>
      <c r="L54" s="30"/>
      <c r="M54" s="41"/>
      <c r="N54" t="s">
        <v>21</v>
      </c>
      <c r="O54" s="1">
        <v>5329201</v>
      </c>
      <c r="P54" s="5">
        <f>O54*P66/O66</f>
        <v>0.12410836466590182</v>
      </c>
      <c r="Q54" s="31"/>
      <c r="R54" s="30"/>
    </row>
    <row r="55" spans="1:18" x14ac:dyDescent="0.25">
      <c r="H55" t="s">
        <v>9</v>
      </c>
      <c r="I55" s="1">
        <f>H37</f>
        <v>2857605.1</v>
      </c>
      <c r="J55" s="5">
        <f>I55*J66/I66</f>
        <v>6.6548943419837386E-2</v>
      </c>
      <c r="K55" s="31"/>
      <c r="L55" s="30"/>
      <c r="M55" s="41"/>
      <c r="N55" t="s">
        <v>22</v>
      </c>
      <c r="O55" s="1">
        <v>1540934</v>
      </c>
      <c r="P55" s="5">
        <f>O55*P66/O66</f>
        <v>3.5885829563960289E-2</v>
      </c>
      <c r="Q55" s="31"/>
      <c r="R55" s="30"/>
    </row>
    <row r="56" spans="1:18" x14ac:dyDescent="0.25">
      <c r="H56" t="s">
        <v>10</v>
      </c>
      <c r="I56" s="1">
        <f>K37</f>
        <v>904719.2</v>
      </c>
      <c r="J56" s="5">
        <f>I56*J66/I66</f>
        <v>2.1069428680555106E-2</v>
      </c>
      <c r="K56" s="31"/>
      <c r="L56" s="30"/>
      <c r="M56" s="41"/>
      <c r="N56" t="s">
        <v>23</v>
      </c>
      <c r="O56" s="1">
        <v>3387024</v>
      </c>
      <c r="P56" s="5">
        <f>O56*P66/O66</f>
        <v>7.8878242671680324E-2</v>
      </c>
      <c r="Q56" s="43"/>
      <c r="R56" s="30"/>
    </row>
    <row r="57" spans="1:18" x14ac:dyDescent="0.25">
      <c r="H57" t="s">
        <v>11</v>
      </c>
      <c r="I57" s="1">
        <v>1062877</v>
      </c>
      <c r="J57" s="5">
        <f>I57*J66/I66</f>
        <v>2.4752664857452315E-2</v>
      </c>
      <c r="K57" s="31"/>
      <c r="L57" s="30"/>
      <c r="M57" s="41"/>
      <c r="N57" s="11" t="s">
        <v>24</v>
      </c>
      <c r="O57" s="12">
        <f>SUM(O54:O56)</f>
        <v>10257159</v>
      </c>
      <c r="P57" s="13">
        <f>O57*P66/O66</f>
        <v>0.23887243690154245</v>
      </c>
      <c r="Q57" s="31"/>
      <c r="R57" s="30"/>
    </row>
    <row r="58" spans="1:18" x14ac:dyDescent="0.25">
      <c r="H58" s="11" t="s">
        <v>12</v>
      </c>
      <c r="I58" s="12">
        <f>SUM(I53:I57)</f>
        <v>18665123.870000001</v>
      </c>
      <c r="J58" s="13">
        <f>I58*J66/I66</f>
        <v>0.43468017059071118</v>
      </c>
      <c r="K58" s="31"/>
      <c r="L58" s="30"/>
      <c r="M58" s="41"/>
      <c r="N58" t="s">
        <v>13</v>
      </c>
      <c r="O58" s="1"/>
      <c r="Q58" s="31"/>
      <c r="R58" s="10"/>
    </row>
    <row r="59" spans="1:18" x14ac:dyDescent="0.25">
      <c r="H59" t="s">
        <v>13</v>
      </c>
      <c r="I59" s="1"/>
      <c r="K59" s="31"/>
      <c r="L59" s="10"/>
      <c r="M59" s="10"/>
      <c r="N59" t="s">
        <v>25</v>
      </c>
      <c r="O59" s="1">
        <v>1588049</v>
      </c>
      <c r="P59" s="5">
        <f>O59*P66/O66</f>
        <v>3.698306076263979E-2</v>
      </c>
      <c r="Q59" s="31"/>
      <c r="R59" s="30"/>
    </row>
    <row r="60" spans="1:18" x14ac:dyDescent="0.25">
      <c r="H60" s="11" t="s">
        <v>15</v>
      </c>
      <c r="I60" s="12">
        <v>17857702</v>
      </c>
      <c r="J60" s="13">
        <f>I60*J66/I66</f>
        <v>0.41587663740042913</v>
      </c>
      <c r="K60" s="31"/>
      <c r="L60" s="30"/>
      <c r="M60" s="41"/>
      <c r="N60" s="11" t="s">
        <v>26</v>
      </c>
      <c r="O60" s="12">
        <f>SUM(O59)</f>
        <v>1588049</v>
      </c>
      <c r="P60" s="13">
        <f>O60*P66/O66</f>
        <v>3.698306076263979E-2</v>
      </c>
      <c r="Q60" s="31"/>
      <c r="R60" s="30"/>
    </row>
    <row r="61" spans="1:18" x14ac:dyDescent="0.25">
      <c r="H61" t="s">
        <v>16</v>
      </c>
      <c r="I61" s="1">
        <v>3109195</v>
      </c>
      <c r="J61" s="5">
        <f>I61*J66/I66</f>
        <v>7.2408060209663436E-2</v>
      </c>
      <c r="K61" s="31"/>
      <c r="L61" s="30"/>
      <c r="M61" s="41"/>
      <c r="N61" s="11" t="s">
        <v>27</v>
      </c>
      <c r="O61" s="12">
        <f>O60+O57</f>
        <v>11845208</v>
      </c>
      <c r="P61" s="13">
        <f>O61*P66/O66</f>
        <v>0.27585549766418221</v>
      </c>
      <c r="Q61" s="31"/>
      <c r="R61" s="30"/>
    </row>
    <row r="62" spans="1:18" x14ac:dyDescent="0.25">
      <c r="A62" t="s">
        <v>62</v>
      </c>
      <c r="H62" t="s">
        <v>17</v>
      </c>
      <c r="I62" s="1">
        <v>2545128</v>
      </c>
      <c r="J62" s="5">
        <f>I62*J66/I66</f>
        <v>5.9271863445457838E-2</v>
      </c>
      <c r="K62" s="31"/>
      <c r="L62" s="30"/>
      <c r="M62" s="41"/>
      <c r="N62" t="s">
        <v>28</v>
      </c>
      <c r="O62" s="1"/>
      <c r="Q62" s="31"/>
      <c r="R62" s="10"/>
    </row>
    <row r="63" spans="1:18" x14ac:dyDescent="0.25">
      <c r="H63" t="s">
        <v>63</v>
      </c>
      <c r="I63" s="1">
        <v>343739</v>
      </c>
      <c r="J63" s="5">
        <f>I63*J66/I66</f>
        <v>8.0051184336812267E-3</v>
      </c>
      <c r="K63" s="31"/>
      <c r="L63" s="30"/>
      <c r="M63" s="31"/>
      <c r="N63" s="11" t="s">
        <v>29</v>
      </c>
      <c r="O63" s="12">
        <v>20398825</v>
      </c>
      <c r="P63" s="13">
        <f>O63*P66/O66</f>
        <v>0.47505523095411761</v>
      </c>
      <c r="Q63" s="31"/>
      <c r="R63" s="30"/>
    </row>
    <row r="64" spans="1:18" x14ac:dyDescent="0.25">
      <c r="H64" t="s">
        <v>18</v>
      </c>
      <c r="I64" s="1">
        <v>419014</v>
      </c>
      <c r="J64" s="5">
        <f>I64*J66/I66</f>
        <v>9.7581499200570937E-3</v>
      </c>
      <c r="K64" s="31"/>
      <c r="L64" s="30"/>
      <c r="M64" s="41"/>
      <c r="N64" s="11" t="s">
        <v>4</v>
      </c>
      <c r="O64" s="12">
        <f>I47</f>
        <v>10695868.870000005</v>
      </c>
      <c r="P64" s="13">
        <f>O64*P66/O66</f>
        <v>0.24908927138170014</v>
      </c>
      <c r="Q64" s="31"/>
      <c r="R64" s="30"/>
    </row>
    <row r="65" spans="6:18" x14ac:dyDescent="0.25">
      <c r="H65" s="11" t="s">
        <v>19</v>
      </c>
      <c r="I65" s="12">
        <f>SUM(I60:I64)</f>
        <v>24274778</v>
      </c>
      <c r="J65" s="13">
        <f>I65*J66/I66</f>
        <v>0.56531982940928871</v>
      </c>
      <c r="K65" s="31"/>
      <c r="L65" s="30"/>
      <c r="M65" s="41"/>
      <c r="N65" s="11" t="s">
        <v>30</v>
      </c>
      <c r="O65" s="12">
        <f>O63+O64</f>
        <v>31094693.870000005</v>
      </c>
      <c r="P65" s="13">
        <f>O65*P66/O66</f>
        <v>0.72414450233581773</v>
      </c>
      <c r="Q65" s="31"/>
      <c r="R65" s="30"/>
    </row>
    <row r="66" spans="6:18" x14ac:dyDescent="0.25">
      <c r="H66" s="2" t="s">
        <v>20</v>
      </c>
      <c r="I66" s="3">
        <f>I58+I65</f>
        <v>42939901.870000005</v>
      </c>
      <c r="J66" s="4">
        <v>1</v>
      </c>
      <c r="K66" s="42"/>
      <c r="L66" s="39"/>
      <c r="M66" s="41"/>
      <c r="N66" s="2" t="s">
        <v>31</v>
      </c>
      <c r="O66" s="3">
        <f>O65+O61</f>
        <v>42939901.870000005</v>
      </c>
      <c r="P66" s="4">
        <v>1</v>
      </c>
      <c r="Q66" s="42"/>
      <c r="R66" s="39"/>
    </row>
    <row r="68" spans="6:18" x14ac:dyDescent="0.25">
      <c r="F68" s="19"/>
    </row>
  </sheetData>
  <mergeCells count="22">
    <mergeCell ref="H40:J40"/>
    <mergeCell ref="H41:J41"/>
    <mergeCell ref="H49:P49"/>
    <mergeCell ref="H50:P50"/>
    <mergeCell ref="C20:E20"/>
    <mergeCell ref="A1:E1"/>
    <mergeCell ref="A2:E2"/>
    <mergeCell ref="H1:R1"/>
    <mergeCell ref="H2:R2"/>
    <mergeCell ref="E10:F10"/>
    <mergeCell ref="K21:L21"/>
    <mergeCell ref="K28:L28"/>
    <mergeCell ref="K35:L35"/>
    <mergeCell ref="H28:I28"/>
    <mergeCell ref="H35:I35"/>
    <mergeCell ref="C26:E26"/>
    <mergeCell ref="C28:E28"/>
    <mergeCell ref="A30:B30"/>
    <mergeCell ref="A31:B31"/>
    <mergeCell ref="H21:I21"/>
    <mergeCell ref="C21:E21"/>
    <mergeCell ref="C24:E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Elba Mendoza</dc:creator>
  <cp:lastModifiedBy>Brayan Ramirez</cp:lastModifiedBy>
  <dcterms:created xsi:type="dcterms:W3CDTF">2020-12-16T21:07:24Z</dcterms:created>
  <dcterms:modified xsi:type="dcterms:W3CDTF">2021-05-19T18:31:48Z</dcterms:modified>
</cp:coreProperties>
</file>