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13_ncr:1_{A78398AB-3F66-481C-9DED-AA1AA194CB83}" xr6:coauthVersionLast="47" xr6:coauthVersionMax="47" xr10:uidLastSave="{00000000-0000-0000-0000-000000000000}"/>
  <bookViews>
    <workbookView xWindow="-120" yWindow="-120" windowWidth="29040" windowHeight="15840" xr2:uid="{743560F4-7520-4F1C-9E56-EF2DC9B3913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0" i="1" l="1"/>
  <c r="B79" i="1"/>
  <c r="K126" i="1"/>
  <c r="K123" i="1"/>
  <c r="F137" i="1"/>
  <c r="F144" i="1"/>
  <c r="F142" i="1"/>
  <c r="F140" i="1"/>
  <c r="F135" i="1"/>
  <c r="F133" i="1"/>
  <c r="F131" i="1"/>
  <c r="F129" i="1"/>
  <c r="F127" i="1"/>
  <c r="F126" i="1"/>
  <c r="F123" i="1"/>
  <c r="F122" i="1"/>
  <c r="F121" i="1"/>
  <c r="F118" i="1"/>
  <c r="E124" i="1"/>
  <c r="E145" i="1"/>
  <c r="E144" i="1"/>
  <c r="E142" i="1"/>
  <c r="E140" i="1"/>
  <c r="D143" i="1"/>
  <c r="D141" i="1"/>
  <c r="E129" i="1"/>
  <c r="E131" i="1"/>
  <c r="E133" i="1"/>
  <c r="E135" i="1"/>
  <c r="E127" i="1"/>
  <c r="D136" i="1"/>
  <c r="D134" i="1"/>
  <c r="D132" i="1"/>
  <c r="D130" i="1"/>
  <c r="D128" i="1"/>
  <c r="D142" i="1"/>
  <c r="D140" i="1"/>
  <c r="D135" i="1"/>
  <c r="D133" i="1"/>
  <c r="D131" i="1"/>
  <c r="D129" i="1"/>
  <c r="D127" i="1"/>
  <c r="E126" i="1"/>
  <c r="E120" i="1"/>
  <c r="E121" i="1"/>
  <c r="E122" i="1"/>
  <c r="E123" i="1"/>
  <c r="E154" i="1"/>
  <c r="D154" i="1"/>
  <c r="D46" i="1"/>
  <c r="B44" i="1"/>
  <c r="D45" i="1" s="1"/>
  <c r="B38" i="1"/>
  <c r="D108" i="1"/>
  <c r="B82" i="1"/>
  <c r="I36" i="1"/>
  <c r="I35" i="1"/>
  <c r="E54" i="1"/>
  <c r="A54" i="1"/>
  <c r="I29" i="1"/>
  <c r="B24" i="1"/>
  <c r="B25" i="1"/>
  <c r="B27" i="1"/>
  <c r="C27" i="1" s="1"/>
  <c r="B41" i="1" s="1"/>
  <c r="D43" i="1" s="1"/>
  <c r="E137" i="1" l="1"/>
  <c r="K36" i="1"/>
  <c r="N36" i="1" s="1"/>
  <c r="Q15" i="1" l="1"/>
  <c r="Q18" i="1" s="1"/>
  <c r="O15" i="1"/>
  <c r="Q11" i="1"/>
  <c r="O11" i="1"/>
  <c r="O18" i="1" s="1"/>
  <c r="P11" i="1" s="1"/>
  <c r="Q8" i="1"/>
  <c r="O8" i="1"/>
  <c r="B12" i="1" s="1"/>
  <c r="D12" i="1" s="1"/>
  <c r="L6" i="1"/>
  <c r="L7" i="1"/>
  <c r="L8" i="1"/>
  <c r="L9" i="1"/>
  <c r="L10" i="1"/>
  <c r="L13" i="1"/>
  <c r="L14" i="1"/>
  <c r="L15" i="1"/>
  <c r="L16" i="1"/>
  <c r="L17" i="1"/>
  <c r="L18" i="1"/>
  <c r="L21" i="1"/>
  <c r="L22" i="1"/>
  <c r="K19" i="1"/>
  <c r="K11" i="1"/>
  <c r="K23" i="1"/>
  <c r="K24" i="1" s="1"/>
  <c r="I23" i="1"/>
  <c r="L23" i="1" s="1"/>
  <c r="I19" i="1"/>
  <c r="B15" i="1" s="1"/>
  <c r="E15" i="1" s="1"/>
  <c r="I11" i="1"/>
  <c r="L11" i="1" s="1"/>
  <c r="D6" i="1"/>
  <c r="D8" i="1" s="1"/>
  <c r="B6" i="1"/>
  <c r="B8" i="1"/>
  <c r="L19" i="1" l="1"/>
  <c r="R11" i="1"/>
  <c r="I24" i="1"/>
  <c r="I72" i="1"/>
  <c r="J14" i="1" l="1"/>
  <c r="J22" i="1"/>
  <c r="J9" i="1"/>
  <c r="L24" i="1"/>
  <c r="J8" i="1"/>
  <c r="J13" i="1"/>
  <c r="J23" i="1"/>
  <c r="B14" i="1"/>
  <c r="E14" i="1" s="1"/>
  <c r="J17" i="1"/>
  <c r="I68" i="1"/>
  <c r="H69" i="1"/>
  <c r="H71" i="1" s="1"/>
  <c r="J123" i="1"/>
  <c r="J118" i="1"/>
  <c r="J119" i="1"/>
  <c r="K119" i="1" s="1"/>
  <c r="J120" i="1"/>
  <c r="J126" i="1"/>
  <c r="D152" i="1"/>
  <c r="D151" i="1"/>
  <c r="D153" i="1" s="1"/>
  <c r="E119" i="1"/>
  <c r="E118" i="1"/>
  <c r="A108" i="1"/>
  <c r="D103" i="1"/>
  <c r="B103" i="1"/>
  <c r="K118" i="1" l="1"/>
  <c r="J121" i="1"/>
  <c r="I69" i="1"/>
  <c r="I70" i="1"/>
  <c r="I71" i="1" s="1"/>
  <c r="I73" i="1" s="1"/>
  <c r="J124" i="1"/>
  <c r="N68" i="1"/>
  <c r="N75" i="1"/>
  <c r="I53" i="1"/>
  <c r="K54" i="1"/>
  <c r="K55" i="1" s="1"/>
  <c r="D38" i="1"/>
  <c r="B28" i="1"/>
  <c r="C28" i="1" s="1"/>
  <c r="E35" i="1" s="1"/>
  <c r="B26" i="1"/>
  <c r="C26" i="1" s="1"/>
  <c r="B35" i="1" s="1"/>
  <c r="C25" i="1"/>
  <c r="E32" i="1" s="1"/>
  <c r="C24" i="1"/>
  <c r="B32" i="1" s="1"/>
  <c r="L5" i="1"/>
  <c r="C8" i="1"/>
  <c r="B17" i="1"/>
  <c r="D17" i="1" s="1"/>
  <c r="R14" i="1"/>
  <c r="R13" i="1"/>
  <c r="R10" i="1"/>
  <c r="R7" i="1"/>
  <c r="E7" i="1"/>
  <c r="C7" i="1"/>
  <c r="R6" i="1"/>
  <c r="R5" i="1"/>
  <c r="E5" i="1"/>
  <c r="C5" i="1"/>
  <c r="B80" i="1" s="1"/>
  <c r="E4" i="1"/>
  <c r="D40" i="1" l="1"/>
  <c r="D44" i="1"/>
  <c r="D41" i="1"/>
  <c r="D39" i="1"/>
  <c r="D42" i="1"/>
  <c r="E55" i="1"/>
  <c r="A55" i="1" s="1"/>
  <c r="A56" i="1" s="1"/>
  <c r="I60" i="1"/>
  <c r="K56" i="1"/>
  <c r="I32" i="1"/>
  <c r="C29" i="1"/>
  <c r="R8" i="1"/>
  <c r="R15" i="1"/>
  <c r="E6" i="1"/>
  <c r="R18" i="1"/>
  <c r="B13" i="1"/>
  <c r="E13" i="1" s="1"/>
  <c r="C6" i="1"/>
  <c r="E8" i="1"/>
  <c r="B16" i="1"/>
  <c r="D16" i="1" s="1"/>
  <c r="J37" i="1" l="1"/>
  <c r="J38" i="1"/>
  <c r="J40" i="1"/>
  <c r="J39" i="1"/>
  <c r="J36" i="1"/>
  <c r="L36" i="1" s="1"/>
  <c r="J35" i="1"/>
  <c r="E56" i="1"/>
  <c r="J21" i="1"/>
  <c r="J15" i="1"/>
  <c r="J18" i="1"/>
  <c r="J11" i="1"/>
  <c r="J6" i="1"/>
  <c r="J19" i="1"/>
  <c r="J10" i="1"/>
  <c r="J7" i="1"/>
  <c r="J16" i="1"/>
  <c r="J5" i="1"/>
  <c r="D155" i="1" l="1"/>
  <c r="J127" i="1" s="1"/>
  <c r="J128" i="1" s="1"/>
  <c r="J131" i="1" s="1"/>
  <c r="M36" i="1"/>
  <c r="I37" i="1" s="1"/>
  <c r="K37" i="1"/>
  <c r="K121" i="1"/>
  <c r="P8" i="1"/>
  <c r="P7" i="1"/>
  <c r="P15" i="1"/>
  <c r="P14" i="1"/>
  <c r="P6" i="1"/>
  <c r="P5" i="1"/>
  <c r="P13" i="1"/>
  <c r="P10" i="1"/>
  <c r="L37" i="1" l="1"/>
  <c r="N37" i="1"/>
  <c r="K124" i="1"/>
  <c r="M37" i="1" l="1"/>
  <c r="I38" i="1" s="1"/>
  <c r="K38" i="1" s="1"/>
  <c r="L38" i="1" s="1"/>
  <c r="H73" i="1"/>
  <c r="M38" i="1" l="1"/>
  <c r="I39" i="1" s="1"/>
  <c r="K39" i="1" s="1"/>
  <c r="L39" i="1" s="1"/>
  <c r="M39" i="1" s="1"/>
  <c r="I40" i="1" s="1"/>
  <c r="K40" i="1" s="1"/>
  <c r="L40" i="1" s="1"/>
  <c r="N38" i="1"/>
  <c r="N39" i="1" l="1"/>
  <c r="L41" i="1"/>
  <c r="N40" i="1"/>
  <c r="B84" i="1" l="1"/>
  <c r="B95" i="1"/>
  <c r="B92" i="1" l="1"/>
  <c r="B86" i="1"/>
  <c r="B88" i="1" s="1"/>
  <c r="B93" i="1" s="1"/>
  <c r="B94" i="1" l="1"/>
  <c r="B96" i="1" s="1"/>
  <c r="B99" i="1"/>
  <c r="B104" i="1" s="1"/>
  <c r="D109" i="1" s="1"/>
  <c r="D110" i="1" s="1"/>
  <c r="F119" i="1" s="1"/>
  <c r="B105" i="1" l="1"/>
  <c r="E151" i="1" s="1"/>
  <c r="E103" i="1"/>
  <c r="A109" i="1" l="1"/>
  <c r="A110" i="1" s="1"/>
  <c r="E152" i="1" s="1"/>
  <c r="D104" i="1"/>
  <c r="F120" i="1" s="1"/>
  <c r="F124" i="1" s="1"/>
  <c r="F145" i="1" s="1"/>
  <c r="E153" i="1" l="1"/>
  <c r="E155" i="1" l="1"/>
  <c r="K127" i="1" s="1"/>
  <c r="K128" i="1" l="1"/>
  <c r="K131" i="1" l="1"/>
</calcChain>
</file>

<file path=xl/sharedStrings.xml><?xml version="1.0" encoding="utf-8"?>
<sst xmlns="http://schemas.openxmlformats.org/spreadsheetml/2006/main" count="199" uniqueCount="128">
  <si>
    <t>Estado de Resultados Comparativo</t>
  </si>
  <si>
    <t xml:space="preserve">Balance General </t>
  </si>
  <si>
    <t>Activo</t>
  </si>
  <si>
    <t>Pasivo</t>
  </si>
  <si>
    <t>Ventas</t>
  </si>
  <si>
    <t>Circulante</t>
  </si>
  <si>
    <t>Costo de ventas</t>
  </si>
  <si>
    <t>Proveedores</t>
  </si>
  <si>
    <t>Utilidad Bruta</t>
  </si>
  <si>
    <t>Bancos</t>
  </si>
  <si>
    <t>Acreedores</t>
  </si>
  <si>
    <t>Gastos de operación</t>
  </si>
  <si>
    <t>Inventario</t>
  </si>
  <si>
    <t>Documentos por pagar</t>
  </si>
  <si>
    <t>Utilidad Neta</t>
  </si>
  <si>
    <t>Suma</t>
  </si>
  <si>
    <t>Fijo</t>
  </si>
  <si>
    <t xml:space="preserve">Fenomenos </t>
  </si>
  <si>
    <t xml:space="preserve">Razones </t>
  </si>
  <si>
    <t>Diferencias</t>
  </si>
  <si>
    <t>economicos</t>
  </si>
  <si>
    <t>Financieras (RF)</t>
  </si>
  <si>
    <t>Estandar (RE)</t>
  </si>
  <si>
    <t>+</t>
  </si>
  <si>
    <t>-</t>
  </si>
  <si>
    <t>Suma de Pasivo</t>
  </si>
  <si>
    <t>Liquidez</t>
  </si>
  <si>
    <t>Mobiliario</t>
  </si>
  <si>
    <t>Capital</t>
  </si>
  <si>
    <t>Solvencia</t>
  </si>
  <si>
    <t>Equipo de Reparto</t>
  </si>
  <si>
    <t>Capital Social</t>
  </si>
  <si>
    <t>Estabilidad economica</t>
  </si>
  <si>
    <t>Equipo de cómputo</t>
  </si>
  <si>
    <t>Inmovilizacion de capital</t>
  </si>
  <si>
    <t>Suma de Capital</t>
  </si>
  <si>
    <t>Rentabilidad en ventas</t>
  </si>
  <si>
    <t>Diferido</t>
  </si>
  <si>
    <t>Rentabilidad en Inversion</t>
  </si>
  <si>
    <t>Y Capital</t>
  </si>
  <si>
    <t>Suma de Activo</t>
  </si>
  <si>
    <t>Depreciacion</t>
  </si>
  <si>
    <t>P</t>
  </si>
  <si>
    <t>Interes</t>
  </si>
  <si>
    <t>Tasa de interes (I) * Saldo insoluto</t>
  </si>
  <si>
    <t>I</t>
  </si>
  <si>
    <t>Pago a capital</t>
  </si>
  <si>
    <t>Anualidad -  Interes</t>
  </si>
  <si>
    <t>N</t>
  </si>
  <si>
    <t>Saldo final</t>
  </si>
  <si>
    <t>Saldo insoluto - Pago a capital</t>
  </si>
  <si>
    <t>Nombre</t>
  </si>
  <si>
    <t>Precio</t>
  </si>
  <si>
    <t>A</t>
  </si>
  <si>
    <t>Equipo de reparto</t>
  </si>
  <si>
    <t>Tabla de anualidades o amortización de pasivos</t>
  </si>
  <si>
    <t>No.</t>
  </si>
  <si>
    <t>Saldo insoluto</t>
  </si>
  <si>
    <t>Anualidad</t>
  </si>
  <si>
    <t>Intereses acumulados</t>
  </si>
  <si>
    <t>Mobiliario Depreciacion</t>
  </si>
  <si>
    <t>E. Reparto Depreciacion</t>
  </si>
  <si>
    <t>E. computo Depreciacion</t>
  </si>
  <si>
    <t>Amortizacion gastos inst</t>
  </si>
  <si>
    <t>Gastos de Operación</t>
  </si>
  <si>
    <t>Operación 6</t>
  </si>
  <si>
    <t>Vidad util</t>
  </si>
  <si>
    <t>Inversion inicial</t>
  </si>
  <si>
    <t>Flujos esperados</t>
  </si>
  <si>
    <t>Operación  5</t>
  </si>
  <si>
    <t>PR</t>
  </si>
  <si>
    <t>Operación 7</t>
  </si>
  <si>
    <t>ROI</t>
  </si>
  <si>
    <t>Opcion 1</t>
  </si>
  <si>
    <t>Opcion 2</t>
  </si>
  <si>
    <t>Inversion</t>
  </si>
  <si>
    <t>Capital social</t>
  </si>
  <si>
    <t>Rendimiento</t>
  </si>
  <si>
    <t>Valor futuro</t>
  </si>
  <si>
    <t>Operación 8</t>
  </si>
  <si>
    <t>Costos fijos totales</t>
  </si>
  <si>
    <t>Gastos de operacion</t>
  </si>
  <si>
    <t>TIR</t>
  </si>
  <si>
    <t>Costo variable por unidad</t>
  </si>
  <si>
    <t>precio de venta * costo de ventas</t>
  </si>
  <si>
    <t>Inicio</t>
  </si>
  <si>
    <t>Precio de venta</t>
  </si>
  <si>
    <t>Margen de utilidad</t>
  </si>
  <si>
    <t>Capital social * 0.35</t>
  </si>
  <si>
    <t>PEU (ventas)</t>
  </si>
  <si>
    <t>Minimo de ventas</t>
  </si>
  <si>
    <t>Numero de unidades</t>
  </si>
  <si>
    <t>Ventas / Precio de ventas</t>
  </si>
  <si>
    <t>Costo variable total</t>
  </si>
  <si>
    <t>No de unidades*Costo variable unitario</t>
  </si>
  <si>
    <t>Estado de Resultados (PEU)</t>
  </si>
  <si>
    <t>Ventas netas</t>
  </si>
  <si>
    <t>Utilidad bruta</t>
  </si>
  <si>
    <t>Utilidad neta</t>
  </si>
  <si>
    <t>Aumento de ventas</t>
  </si>
  <si>
    <t>Almacen</t>
  </si>
  <si>
    <t>proforma</t>
  </si>
  <si>
    <t>Estado de resultados</t>
  </si>
  <si>
    <t>Pasivos (m + i)</t>
  </si>
  <si>
    <t>Operación 10</t>
  </si>
  <si>
    <t>Operacion 9</t>
  </si>
  <si>
    <t>Porcentaje</t>
  </si>
  <si>
    <t>Hotel Fiesta Americana SAB</t>
  </si>
  <si>
    <t>Efectivo</t>
  </si>
  <si>
    <t>Doctos por cobrar</t>
  </si>
  <si>
    <t>Deudores</t>
  </si>
  <si>
    <t>Clientes</t>
  </si>
  <si>
    <t>Terrenos</t>
  </si>
  <si>
    <t>Edificios</t>
  </si>
  <si>
    <t>Equipo de transporte</t>
  </si>
  <si>
    <t>Gastos de organización</t>
  </si>
  <si>
    <t>Gastos de instalacion</t>
  </si>
  <si>
    <t>Edificios Depreciacion</t>
  </si>
  <si>
    <t>Equipo de transporte depreciacion</t>
  </si>
  <si>
    <t>Documentos por pagar (Lp)</t>
  </si>
  <si>
    <t>2 años y 7 meses</t>
  </si>
  <si>
    <t>1 bimestre</t>
  </si>
  <si>
    <t>2 bimestre</t>
  </si>
  <si>
    <t>3bimestre</t>
  </si>
  <si>
    <t>4bimestre</t>
  </si>
  <si>
    <t>6bimestre</t>
  </si>
  <si>
    <t>5bimestre</t>
  </si>
  <si>
    <t>Amortizacion gastos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</si>
</sst>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17" borderId="0" applyNumberFormat="0" applyBorder="0" applyAlignment="0" applyProtection="0"/>
  </cellStyleXfs>
  <cellXfs count="54">
    <xf numFmtId="0" fontId="0" fillId="0" borderId="0" xfId="0"/>
    <xf numFmtId="44" fontId="0" fillId="0" borderId="0" xfId="0" applyNumberFormat="1"/>
    <xf numFmtId="9" fontId="0" fillId="0" borderId="0" xfId="0" applyNumberFormat="1"/>
    <xf numFmtId="44" fontId="0" fillId="4" borderId="0" xfId="0" applyNumberFormat="1" applyFill="1"/>
    <xf numFmtId="44" fontId="0" fillId="0" borderId="0" xfId="1" applyFont="1"/>
    <xf numFmtId="10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3" fontId="0" fillId="0" borderId="0" xfId="0" applyNumberFormat="1"/>
    <xf numFmtId="0" fontId="0" fillId="9" borderId="0" xfId="0" applyFill="1"/>
    <xf numFmtId="0" fontId="0" fillId="0" borderId="0" xfId="0" applyAlignment="1">
      <alignment horizontal="center"/>
    </xf>
    <xf numFmtId="0" fontId="3" fillId="3" borderId="0" xfId="3"/>
    <xf numFmtId="0" fontId="0" fillId="10" borderId="0" xfId="0" applyFill="1"/>
    <xf numFmtId="44" fontId="0" fillId="11" borderId="0" xfId="1" applyFont="1" applyFill="1"/>
    <xf numFmtId="44" fontId="0" fillId="13" borderId="0" xfId="1" applyFont="1" applyFill="1"/>
    <xf numFmtId="2" fontId="0" fillId="0" borderId="0" xfId="1" applyNumberFormat="1" applyFont="1" applyAlignment="1"/>
    <xf numFmtId="2" fontId="0" fillId="0" borderId="0" xfId="1" applyNumberFormat="1" applyFont="1"/>
    <xf numFmtId="44" fontId="0" fillId="11" borderId="0" xfId="0" applyNumberFormat="1" applyFill="1"/>
    <xf numFmtId="44" fontId="0" fillId="6" borderId="0" xfId="0" applyNumberFormat="1" applyFill="1"/>
    <xf numFmtId="0" fontId="0" fillId="14" borderId="0" xfId="0" applyFill="1"/>
    <xf numFmtId="44" fontId="0" fillId="14" borderId="0" xfId="1" applyFont="1" applyFill="1"/>
    <xf numFmtId="0" fontId="0" fillId="0" borderId="0" xfId="1" applyNumberFormat="1" applyFont="1"/>
    <xf numFmtId="44" fontId="0" fillId="15" borderId="0" xfId="1" applyFont="1" applyFill="1"/>
    <xf numFmtId="0" fontId="0" fillId="11" borderId="0" xfId="0" applyFill="1"/>
    <xf numFmtId="164" fontId="0" fillId="0" borderId="0" xfId="1" applyNumberFormat="1" applyFont="1"/>
    <xf numFmtId="164" fontId="0" fillId="0" borderId="0" xfId="0" applyNumberFormat="1"/>
    <xf numFmtId="44" fontId="0" fillId="0" borderId="0" xfId="1" applyFont="1" applyAlignment="1"/>
    <xf numFmtId="44" fontId="0" fillId="0" borderId="0" xfId="0" applyNumberFormat="1" applyFill="1"/>
    <xf numFmtId="6" fontId="0" fillId="0" borderId="0" xfId="0" applyNumberFormat="1"/>
    <xf numFmtId="0" fontId="0" fillId="0" borderId="0" xfId="0" applyFill="1"/>
    <xf numFmtId="6" fontId="0" fillId="0" borderId="0" xfId="1" applyNumberFormat="1" applyFont="1"/>
    <xf numFmtId="2" fontId="3" fillId="3" borderId="0" xfId="3" applyNumberFormat="1"/>
    <xf numFmtId="2" fontId="4" fillId="17" borderId="0" xfId="4" applyNumberFormat="1"/>
    <xf numFmtId="2" fontId="2" fillId="2" borderId="0" xfId="2" applyNumberFormat="1"/>
    <xf numFmtId="9" fontId="4" fillId="17" borderId="0" xfId="4" applyNumberFormat="1"/>
    <xf numFmtId="44" fontId="0" fillId="0" borderId="0" xfId="1" applyFont="1" applyFill="1"/>
    <xf numFmtId="0" fontId="0" fillId="0" borderId="0" xfId="0" applyAlignment="1"/>
    <xf numFmtId="164" fontId="0" fillId="0" borderId="0" xfId="0" applyNumberFormat="1" applyFill="1"/>
    <xf numFmtId="0" fontId="0" fillId="16" borderId="0" xfId="0" applyFill="1" applyAlignment="1">
      <alignment horizontal="center"/>
    </xf>
    <xf numFmtId="0" fontId="3" fillId="3" borderId="0" xfId="3" applyAlignment="1">
      <alignment horizontal="center"/>
    </xf>
    <xf numFmtId="0" fontId="5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14" borderId="0" xfId="0" applyFill="1" applyAlignment="1">
      <alignment horizontal="center"/>
    </xf>
    <xf numFmtId="0" fontId="3" fillId="3" borderId="0" xfId="3" applyBorder="1" applyAlignment="1">
      <alignment horizontal="center"/>
    </xf>
  </cellXfs>
  <cellStyles count="5">
    <cellStyle name="Bueno" xfId="2" builtinId="26"/>
    <cellStyle name="Incorrecto" xfId="4" builtinId="27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132</xdr:row>
      <xdr:rowOff>38100</xdr:rowOff>
    </xdr:from>
    <xdr:to>
      <xdr:col>14</xdr:col>
      <xdr:colOff>247650</xdr:colOff>
      <xdr:row>139</xdr:row>
      <xdr:rowOff>161925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BACEF38-1BD3-48C3-A222-0F70AD90B378}"/>
            </a:ext>
          </a:extLst>
        </xdr:cNvPr>
        <xdr:cNvSpPr txBox="1"/>
      </xdr:nvSpPr>
      <xdr:spPr>
        <a:xfrm>
          <a:off x="8477250" y="25184100"/>
          <a:ext cx="86963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Opinion:</a:t>
          </a:r>
        </a:p>
        <a:p>
          <a:r>
            <a:rPr lang="es-MX" sz="1100"/>
            <a:t>La</a:t>
          </a:r>
          <a:r>
            <a:rPr lang="es-MX" sz="1100" baseline="0"/>
            <a:t> empresa se ecnuentra en una situacion bastante mala puesto que no tiene liquidez aunque tiene solvencia esta no es muy buena, la estabilidad economica no es del todo mala y la inmovilizacion del capital es bastante mala por ultimo la rentabilidad es buena y esta por encima de la competencia, en cuanto a los pasivos de la empresa se incrementaron bastante al igual que el capital y esto puede ser debido a que la empresa busca crecer puesto que el activo fijo tambien se incremento en gran medida y por ultimo la utilidad disminuyo en gran medida pese a que las ventas aumentaron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D906-684C-4E75-B841-AA50975AEEF6}">
  <dimension ref="A1:R168"/>
  <sheetViews>
    <sheetView tabSelected="1" topLeftCell="D25" zoomScaleNormal="100" workbookViewId="0">
      <selection activeCell="L40" sqref="L40"/>
    </sheetView>
  </sheetViews>
  <sheetFormatPr baseColWidth="10" defaultRowHeight="15" x14ac:dyDescent="0.25"/>
  <cols>
    <col min="1" max="1" width="20.140625" customWidth="1"/>
    <col min="2" max="2" width="17.85546875" bestFit="1" customWidth="1"/>
    <col min="3" max="3" width="21.28515625" customWidth="1"/>
    <col min="4" max="6" width="17.85546875" bestFit="1" customWidth="1"/>
    <col min="7" max="7" width="14.5703125" customWidth="1"/>
    <col min="8" max="8" width="20.42578125" customWidth="1"/>
    <col min="9" max="9" width="20.85546875" customWidth="1"/>
    <col min="10" max="12" width="17.85546875" bestFit="1" customWidth="1"/>
    <col min="13" max="13" width="18.28515625" customWidth="1"/>
    <col min="14" max="14" width="20.85546875" customWidth="1"/>
    <col min="15" max="15" width="16.28515625" bestFit="1" customWidth="1"/>
    <col min="17" max="18" width="17.85546875" bestFit="1" customWidth="1"/>
  </cols>
  <sheetData>
    <row r="1" spans="1:18" x14ac:dyDescent="0.25">
      <c r="A1" s="43" t="s">
        <v>107</v>
      </c>
      <c r="B1" s="43"/>
      <c r="C1" s="43"/>
      <c r="D1" s="43"/>
      <c r="H1" s="43" t="s">
        <v>107</v>
      </c>
      <c r="I1" s="43"/>
      <c r="J1" s="43"/>
      <c r="K1" s="43"/>
      <c r="L1" s="43"/>
      <c r="M1" s="43"/>
      <c r="N1" s="43"/>
      <c r="O1" s="43"/>
      <c r="P1" s="43"/>
      <c r="Q1" s="43"/>
    </row>
    <row r="2" spans="1:18" x14ac:dyDescent="0.25">
      <c r="A2" s="43" t="s">
        <v>0</v>
      </c>
      <c r="B2" s="43"/>
      <c r="C2" s="43"/>
      <c r="D2" s="43"/>
      <c r="H2" s="43" t="s">
        <v>1</v>
      </c>
      <c r="I2" s="43"/>
      <c r="J2" s="43"/>
      <c r="K2" s="43"/>
      <c r="L2" s="43"/>
      <c r="M2" s="43"/>
      <c r="N2" s="43"/>
      <c r="O2" s="43"/>
      <c r="P2" s="43"/>
      <c r="Q2" s="43"/>
    </row>
    <row r="3" spans="1:18" x14ac:dyDescent="0.25">
      <c r="B3">
        <v>2020</v>
      </c>
      <c r="D3">
        <v>2019</v>
      </c>
      <c r="H3" t="s">
        <v>2</v>
      </c>
      <c r="I3">
        <v>2020</v>
      </c>
      <c r="K3">
        <v>2019</v>
      </c>
      <c r="N3" t="s">
        <v>3</v>
      </c>
      <c r="O3">
        <v>2020</v>
      </c>
      <c r="Q3">
        <v>2019</v>
      </c>
    </row>
    <row r="4" spans="1:18" x14ac:dyDescent="0.25">
      <c r="A4" t="s">
        <v>4</v>
      </c>
      <c r="B4" s="1">
        <v>417681600</v>
      </c>
      <c r="C4" s="2">
        <v>1</v>
      </c>
      <c r="D4" s="1">
        <v>403721500</v>
      </c>
      <c r="E4" s="3">
        <f>B4-D4</f>
        <v>13960100</v>
      </c>
      <c r="H4" t="s">
        <v>5</v>
      </c>
      <c r="N4" t="s">
        <v>5</v>
      </c>
    </row>
    <row r="5" spans="1:18" x14ac:dyDescent="0.25">
      <c r="A5" t="s">
        <v>6</v>
      </c>
      <c r="B5" s="4">
        <v>116189200</v>
      </c>
      <c r="C5" s="5">
        <f>(C4/B4)*B5</f>
        <v>0.27817648658691213</v>
      </c>
      <c r="D5" s="4">
        <v>99942600</v>
      </c>
      <c r="E5" s="3">
        <f t="shared" ref="E5:E8" si="0">B5-D5</f>
        <v>16246600</v>
      </c>
      <c r="H5" t="s">
        <v>108</v>
      </c>
      <c r="I5" s="32">
        <v>192370000</v>
      </c>
      <c r="J5" s="5">
        <f>(J24/I24)*I5</f>
        <v>2.5013430376771215E-2</v>
      </c>
      <c r="K5" s="32">
        <v>239548000</v>
      </c>
      <c r="L5" s="3">
        <f>I5-K5</f>
        <v>-47178000</v>
      </c>
      <c r="N5" t="s">
        <v>7</v>
      </c>
      <c r="O5" s="12">
        <v>345913000</v>
      </c>
      <c r="P5" s="5">
        <f>(P18/O18)*O5</f>
        <v>4.4978274896917719E-2</v>
      </c>
      <c r="Q5" s="12">
        <v>343717000</v>
      </c>
      <c r="R5" s="3">
        <f>O5-Q5</f>
        <v>2196000</v>
      </c>
    </row>
    <row r="6" spans="1:18" x14ac:dyDescent="0.25">
      <c r="A6" t="s">
        <v>8</v>
      </c>
      <c r="B6" s="4">
        <f>B4-B5</f>
        <v>301492400</v>
      </c>
      <c r="C6" s="5">
        <f>(C4/B4)*B6</f>
        <v>0.72182351341308781</v>
      </c>
      <c r="D6" s="4">
        <f>D4-D5</f>
        <v>303778900</v>
      </c>
      <c r="E6" s="3">
        <f>B6-D6</f>
        <v>-2286500</v>
      </c>
      <c r="H6" t="s">
        <v>9</v>
      </c>
      <c r="I6" s="4">
        <v>343882400</v>
      </c>
      <c r="J6" s="5">
        <f>(J24/I24)*I6</f>
        <v>4.4714240631059887E-2</v>
      </c>
      <c r="K6" s="4">
        <v>311862700</v>
      </c>
      <c r="L6" s="3">
        <f t="shared" ref="L6:L24" si="1">I6-K6</f>
        <v>32019700</v>
      </c>
      <c r="N6" t="s">
        <v>10</v>
      </c>
      <c r="O6" s="12">
        <v>260351000</v>
      </c>
      <c r="P6" s="5">
        <f>(P18/O18)*O6</f>
        <v>3.3852844061042588E-2</v>
      </c>
      <c r="Q6" s="12">
        <v>250766000</v>
      </c>
      <c r="R6" s="3">
        <f t="shared" ref="R6:R15" si="2">O6-Q6</f>
        <v>9585000</v>
      </c>
    </row>
    <row r="7" spans="1:18" x14ac:dyDescent="0.25">
      <c r="A7" t="s">
        <v>11</v>
      </c>
      <c r="B7" s="4">
        <v>95860500</v>
      </c>
      <c r="C7" s="5">
        <f>(C4/B4)*B7</f>
        <v>0.22950615971591756</v>
      </c>
      <c r="D7" s="4">
        <v>82154000</v>
      </c>
      <c r="E7" s="3">
        <f t="shared" si="0"/>
        <v>13706500</v>
      </c>
      <c r="H7" t="s">
        <v>12</v>
      </c>
      <c r="I7" s="4">
        <v>312337000</v>
      </c>
      <c r="J7" s="5">
        <f>(J24/I24)*I7</f>
        <v>4.0612464540154866E-2</v>
      </c>
      <c r="K7" s="4">
        <v>322572000</v>
      </c>
      <c r="L7" s="3">
        <f t="shared" si="1"/>
        <v>-10235000</v>
      </c>
      <c r="N7" t="s">
        <v>13</v>
      </c>
      <c r="O7" s="12">
        <v>514097000</v>
      </c>
      <c r="P7" s="5">
        <f>(P18/O18)*O7</f>
        <v>6.6846855104262373E-2</v>
      </c>
      <c r="Q7" s="12">
        <v>416142000</v>
      </c>
      <c r="R7" s="3">
        <f t="shared" si="2"/>
        <v>97955000</v>
      </c>
    </row>
    <row r="8" spans="1:18" x14ac:dyDescent="0.25">
      <c r="A8" t="s">
        <v>14</v>
      </c>
      <c r="B8" s="4">
        <f>B6-B7</f>
        <v>205631900</v>
      </c>
      <c r="C8" s="5">
        <f>(C4/B4)*B8</f>
        <v>0.49231735369717022</v>
      </c>
      <c r="D8" s="4">
        <f>D6-D7</f>
        <v>221624900</v>
      </c>
      <c r="E8" s="3">
        <f t="shared" si="0"/>
        <v>-15993000</v>
      </c>
      <c r="H8" t="s">
        <v>111</v>
      </c>
      <c r="I8" s="4">
        <v>218006000</v>
      </c>
      <c r="J8" s="5">
        <f>(J24/I24)*I8</f>
        <v>2.8346820724220959E-2</v>
      </c>
      <c r="K8" s="4">
        <v>217664000</v>
      </c>
      <c r="L8" s="3">
        <f t="shared" si="1"/>
        <v>342000</v>
      </c>
      <c r="N8" t="s">
        <v>15</v>
      </c>
      <c r="O8" s="12">
        <f>SUM(O5:O7)</f>
        <v>1120361000</v>
      </c>
      <c r="P8" s="5">
        <f>(P18/O18)*O8</f>
        <v>0.14567797406222269</v>
      </c>
      <c r="Q8" s="12">
        <f>SUM(Q5:Q7)</f>
        <v>1010625000</v>
      </c>
      <c r="R8" s="3">
        <f t="shared" si="2"/>
        <v>109736000</v>
      </c>
    </row>
    <row r="9" spans="1:18" x14ac:dyDescent="0.25">
      <c r="H9" t="s">
        <v>110</v>
      </c>
      <c r="I9" s="4">
        <v>1133430</v>
      </c>
      <c r="J9" s="5">
        <f>(J24/I24)*I9</f>
        <v>1.4737730619090189E-4</v>
      </c>
      <c r="K9" s="4">
        <v>3874060</v>
      </c>
      <c r="L9" s="3">
        <f t="shared" si="1"/>
        <v>-2740630</v>
      </c>
      <c r="N9" t="s">
        <v>16</v>
      </c>
      <c r="O9" s="1"/>
      <c r="Q9" s="1"/>
      <c r="R9" s="1"/>
    </row>
    <row r="10" spans="1:18" x14ac:dyDescent="0.25">
      <c r="A10" s="6" t="s">
        <v>17</v>
      </c>
      <c r="B10" s="6" t="s">
        <v>18</v>
      </c>
      <c r="C10" s="6" t="s">
        <v>18</v>
      </c>
      <c r="D10" s="47" t="s">
        <v>19</v>
      </c>
      <c r="E10" s="47"/>
      <c r="H10" t="s">
        <v>109</v>
      </c>
      <c r="I10" s="4">
        <v>151653700</v>
      </c>
      <c r="J10" s="5">
        <f>(J24/I24)*I10</f>
        <v>1.9719183169567753E-2</v>
      </c>
      <c r="K10" s="4">
        <v>148984411</v>
      </c>
      <c r="L10" s="3">
        <f t="shared" si="1"/>
        <v>2669289</v>
      </c>
      <c r="N10" t="s">
        <v>13</v>
      </c>
      <c r="O10" s="12">
        <v>4268338000</v>
      </c>
      <c r="P10" s="5">
        <f>(P18/O18)*O10</f>
        <v>0.5550022112986791</v>
      </c>
      <c r="Q10" s="12">
        <v>3838835000</v>
      </c>
      <c r="R10" s="3">
        <f t="shared" si="2"/>
        <v>429503000</v>
      </c>
    </row>
    <row r="11" spans="1:18" x14ac:dyDescent="0.25">
      <c r="A11" s="6" t="s">
        <v>20</v>
      </c>
      <c r="B11" s="6" t="s">
        <v>21</v>
      </c>
      <c r="C11" s="6" t="s">
        <v>22</v>
      </c>
      <c r="D11" s="7" t="s">
        <v>23</v>
      </c>
      <c r="E11" s="7" t="s">
        <v>24</v>
      </c>
      <c r="H11" t="s">
        <v>15</v>
      </c>
      <c r="I11" s="32">
        <f>SUM(I5:I10)</f>
        <v>1219382530</v>
      </c>
      <c r="J11" s="5">
        <f>(J24/I24)*I11</f>
        <v>0.15855351674796558</v>
      </c>
      <c r="K11" s="34">
        <f>SUM(K5:K10)</f>
        <v>1244505171</v>
      </c>
      <c r="L11" s="3">
        <f t="shared" si="1"/>
        <v>-25122641</v>
      </c>
      <c r="N11" t="s">
        <v>25</v>
      </c>
      <c r="O11" s="12">
        <f>O8+O10</f>
        <v>5388699000</v>
      </c>
      <c r="P11" s="5">
        <f>(P18/O18)*O11</f>
        <v>0.70068018536090182</v>
      </c>
      <c r="Q11" s="12">
        <f>Q7+Q10</f>
        <v>4254977000</v>
      </c>
      <c r="R11" s="3">
        <f>O11-Q11</f>
        <v>1133722000</v>
      </c>
    </row>
    <row r="12" spans="1:18" x14ac:dyDescent="0.25">
      <c r="A12" s="8" t="s">
        <v>26</v>
      </c>
      <c r="B12" s="9">
        <f>(I5+I6)/O8</f>
        <v>0.47864250897701721</v>
      </c>
      <c r="C12" s="9">
        <v>0.43</v>
      </c>
      <c r="D12" s="36">
        <f>B12-C12</f>
        <v>4.8642508977017218E-2</v>
      </c>
      <c r="H12" t="s">
        <v>16</v>
      </c>
      <c r="I12" s="1"/>
      <c r="K12" s="1"/>
      <c r="L12" s="3"/>
      <c r="N12" t="s">
        <v>28</v>
      </c>
      <c r="Q12" s="1"/>
      <c r="R12" s="1"/>
    </row>
    <row r="13" spans="1:18" x14ac:dyDescent="0.25">
      <c r="A13" s="8" t="s">
        <v>29</v>
      </c>
      <c r="B13" s="9">
        <f>I11/O8</f>
        <v>1.0883835924313681</v>
      </c>
      <c r="C13" s="9">
        <v>1.46</v>
      </c>
      <c r="E13" s="35">
        <f>C13-B13</f>
        <v>0.3716164075686319</v>
      </c>
      <c r="H13" t="s">
        <v>112</v>
      </c>
      <c r="I13" s="4">
        <v>1081694000</v>
      </c>
      <c r="J13" s="5">
        <f>(J24/I24)*I13</f>
        <v>0.140650192639035</v>
      </c>
      <c r="K13" s="4">
        <v>1081694000</v>
      </c>
      <c r="L13" s="3">
        <f t="shared" si="1"/>
        <v>0</v>
      </c>
      <c r="N13" t="s">
        <v>31</v>
      </c>
      <c r="O13" s="12">
        <v>2096337557</v>
      </c>
      <c r="P13" s="5">
        <f>(P18/O18)*O13</f>
        <v>0.27258196978858534</v>
      </c>
      <c r="Q13" s="12">
        <v>2029383316</v>
      </c>
      <c r="R13" s="3">
        <f>O13-Q13</f>
        <v>66954241</v>
      </c>
    </row>
    <row r="14" spans="1:18" x14ac:dyDescent="0.25">
      <c r="A14" s="8" t="s">
        <v>32</v>
      </c>
      <c r="B14" s="9">
        <f>O11/I24</f>
        <v>0.70068018536090171</v>
      </c>
      <c r="C14" s="9">
        <v>0.37</v>
      </c>
      <c r="E14" s="35">
        <f>B14-C14</f>
        <v>0.33068018536090171</v>
      </c>
      <c r="H14" t="s">
        <v>113</v>
      </c>
      <c r="I14" s="4">
        <v>2513155000</v>
      </c>
      <c r="J14" s="5">
        <f>(J24/I24)*I14</f>
        <v>0.32677978696540244</v>
      </c>
      <c r="K14" s="4">
        <v>2080122000</v>
      </c>
      <c r="L14" s="3">
        <f t="shared" si="1"/>
        <v>433033000</v>
      </c>
      <c r="N14" t="s">
        <v>14</v>
      </c>
      <c r="O14" s="12">
        <v>205631900</v>
      </c>
      <c r="P14" s="5">
        <f>(P18/O18)*O14</f>
        <v>2.6737844850512976E-2</v>
      </c>
      <c r="Q14" s="12">
        <v>221624900</v>
      </c>
      <c r="R14" s="3">
        <f t="shared" si="2"/>
        <v>-15993000</v>
      </c>
    </row>
    <row r="15" spans="1:18" x14ac:dyDescent="0.25">
      <c r="A15" s="8" t="s">
        <v>34</v>
      </c>
      <c r="B15" s="9">
        <f>I19/O15</f>
        <v>2.8007843372528289</v>
      </c>
      <c r="C15" s="9">
        <v>0.68</v>
      </c>
      <c r="E15" s="36">
        <f>B15-C15</f>
        <v>2.1207843372528288</v>
      </c>
      <c r="H15" t="s">
        <v>27</v>
      </c>
      <c r="I15" s="4">
        <v>1077407000</v>
      </c>
      <c r="J15" s="5">
        <f>(J24/I24)*I15</f>
        <v>0.14009276385063132</v>
      </c>
      <c r="K15" s="4">
        <v>1055409000</v>
      </c>
      <c r="L15" s="3">
        <f t="shared" si="1"/>
        <v>21998000</v>
      </c>
      <c r="N15" t="s">
        <v>35</v>
      </c>
      <c r="O15" s="12">
        <f>SUM(O13:O14)</f>
        <v>2301969457</v>
      </c>
      <c r="P15" s="5">
        <f>(P18/O18)*O15</f>
        <v>0.29931981463909829</v>
      </c>
      <c r="Q15" s="12">
        <f>SUM(Q13:Q14)</f>
        <v>2251008216</v>
      </c>
      <c r="R15" s="3">
        <f t="shared" si="2"/>
        <v>50961241</v>
      </c>
    </row>
    <row r="16" spans="1:18" x14ac:dyDescent="0.25">
      <c r="A16" s="8" t="s">
        <v>36</v>
      </c>
      <c r="B16" s="9">
        <f>B8/B4</f>
        <v>0.49231735369717028</v>
      </c>
      <c r="C16" s="9">
        <v>0.18</v>
      </c>
      <c r="D16" s="37">
        <f>B16-C16</f>
        <v>0.31231735369717029</v>
      </c>
      <c r="H16" t="s">
        <v>30</v>
      </c>
      <c r="I16" s="4">
        <v>478255000</v>
      </c>
      <c r="J16" s="5">
        <f>(J24/I24)*I16</f>
        <v>6.2186401958947431E-2</v>
      </c>
      <c r="K16" s="4">
        <v>535695510</v>
      </c>
      <c r="L16" s="3">
        <f t="shared" si="1"/>
        <v>-57440510</v>
      </c>
      <c r="N16" t="s">
        <v>25</v>
      </c>
      <c r="R16" s="1"/>
    </row>
    <row r="17" spans="1:18" x14ac:dyDescent="0.25">
      <c r="A17" s="8" t="s">
        <v>38</v>
      </c>
      <c r="B17" s="9">
        <f>O14/O13</f>
        <v>9.8091025137322388E-2</v>
      </c>
      <c r="C17" s="9">
        <v>0.09</v>
      </c>
      <c r="D17" s="37">
        <f>B17-C17</f>
        <v>8.0910251373223913E-3</v>
      </c>
      <c r="H17" t="s">
        <v>114</v>
      </c>
      <c r="I17" s="4">
        <v>514097000</v>
      </c>
      <c r="J17" s="5">
        <f>(J24/I24)*I17</f>
        <v>6.6846855104262373E-2</v>
      </c>
      <c r="K17" s="4">
        <v>416142000</v>
      </c>
      <c r="L17" s="3">
        <f t="shared" si="1"/>
        <v>97955000</v>
      </c>
      <c r="N17" t="s">
        <v>39</v>
      </c>
      <c r="O17" s="1"/>
      <c r="R17" s="1"/>
    </row>
    <row r="18" spans="1:18" x14ac:dyDescent="0.25">
      <c r="H18" t="s">
        <v>33</v>
      </c>
      <c r="I18" s="4">
        <v>782712000</v>
      </c>
      <c r="J18" s="5">
        <f>(J24/I24)*I18</f>
        <v>0.10177424815232808</v>
      </c>
      <c r="K18" s="4">
        <v>664051000</v>
      </c>
      <c r="L18" s="3">
        <f t="shared" si="1"/>
        <v>118661000</v>
      </c>
      <c r="O18" s="12">
        <f>O11+O15</f>
        <v>7690668457</v>
      </c>
      <c r="P18" s="2">
        <v>1</v>
      </c>
      <c r="Q18" s="1">
        <f>SUM(Q15+Q11)</f>
        <v>6505985216</v>
      </c>
      <c r="R18" s="3">
        <f>O18-Q18</f>
        <v>1184683241</v>
      </c>
    </row>
    <row r="19" spans="1:18" x14ac:dyDescent="0.25">
      <c r="H19" t="s">
        <v>15</v>
      </c>
      <c r="I19" s="1">
        <f>SUM(I13:I18)</f>
        <v>6447320000</v>
      </c>
      <c r="J19" s="5">
        <f>(J24/I24)*I19</f>
        <v>0.83833024867060657</v>
      </c>
      <c r="K19" s="4">
        <f>SUM(K13:K18)</f>
        <v>5833113510</v>
      </c>
      <c r="L19" s="3">
        <f t="shared" si="1"/>
        <v>614206490</v>
      </c>
    </row>
    <row r="20" spans="1:18" x14ac:dyDescent="0.25">
      <c r="H20" t="s">
        <v>37</v>
      </c>
      <c r="I20" s="1"/>
      <c r="K20" s="1"/>
      <c r="L20" s="3"/>
    </row>
    <row r="21" spans="1:18" x14ac:dyDescent="0.25">
      <c r="A21" s="33"/>
      <c r="B21" s="33"/>
      <c r="C21" s="33"/>
      <c r="D21" s="33"/>
      <c r="E21" s="33"/>
      <c r="F21" s="33"/>
      <c r="G21" s="33"/>
      <c r="H21" t="s">
        <v>115</v>
      </c>
      <c r="I21" s="1">
        <v>2487552</v>
      </c>
      <c r="J21" s="5">
        <f>(J24/I24)*I21</f>
        <v>3.2345068753234906E-4</v>
      </c>
      <c r="K21" s="4">
        <v>2154025</v>
      </c>
      <c r="L21" s="3">
        <f t="shared" si="1"/>
        <v>333527</v>
      </c>
      <c r="M21" s="33"/>
      <c r="N21" s="33"/>
      <c r="O21" s="33"/>
      <c r="P21" s="33"/>
      <c r="Q21" s="33"/>
      <c r="R21" s="33"/>
    </row>
    <row r="22" spans="1:18" x14ac:dyDescent="0.25">
      <c r="H22" t="s">
        <v>116</v>
      </c>
      <c r="I22" s="4">
        <v>21478375</v>
      </c>
      <c r="J22" s="5">
        <f>(J24/I24)*I22</f>
        <v>2.7927838938955319E-3</v>
      </c>
      <c r="K22" s="4">
        <v>20695510</v>
      </c>
      <c r="L22" s="3">
        <f t="shared" si="1"/>
        <v>782865</v>
      </c>
    </row>
    <row r="23" spans="1:18" x14ac:dyDescent="0.25">
      <c r="A23" s="15" t="s">
        <v>51</v>
      </c>
      <c r="B23" s="15" t="s">
        <v>52</v>
      </c>
      <c r="C23" s="15" t="s">
        <v>41</v>
      </c>
      <c r="H23" t="s">
        <v>15</v>
      </c>
      <c r="I23" s="1">
        <f>SUM(I21:I22)</f>
        <v>23965927</v>
      </c>
      <c r="J23" s="5">
        <f>(J24/I24)*I23</f>
        <v>3.1162345814278809E-3</v>
      </c>
      <c r="K23" s="4">
        <f>SUM(K21:K22)</f>
        <v>22849535</v>
      </c>
      <c r="L23" s="3">
        <f t="shared" si="1"/>
        <v>1116392</v>
      </c>
    </row>
    <row r="24" spans="1:18" x14ac:dyDescent="0.25">
      <c r="A24" t="s">
        <v>113</v>
      </c>
      <c r="B24" s="1">
        <f>I14</f>
        <v>2513155000</v>
      </c>
      <c r="C24" s="4">
        <f>B24*0.05</f>
        <v>125657750</v>
      </c>
      <c r="H24" t="s">
        <v>40</v>
      </c>
      <c r="I24" s="1">
        <f>SUM(I23+I19+I11)</f>
        <v>7690668457</v>
      </c>
      <c r="J24" s="2">
        <v>1</v>
      </c>
      <c r="K24" s="4">
        <f>SUM(K23+K19+K11)</f>
        <v>7100468216</v>
      </c>
      <c r="L24" s="3">
        <f t="shared" si="1"/>
        <v>590200241</v>
      </c>
    </row>
    <row r="25" spans="1:18" x14ac:dyDescent="0.25">
      <c r="A25" t="s">
        <v>27</v>
      </c>
      <c r="B25" s="1">
        <f>I15</f>
        <v>1077407000</v>
      </c>
      <c r="C25" s="4">
        <f>B25*0.1</f>
        <v>107740700</v>
      </c>
    </row>
    <row r="26" spans="1:18" x14ac:dyDescent="0.25">
      <c r="A26" t="s">
        <v>54</v>
      </c>
      <c r="B26" s="1">
        <f>I16</f>
        <v>478255000</v>
      </c>
      <c r="C26" s="4">
        <f>B26*0.25</f>
        <v>119563750</v>
      </c>
    </row>
    <row r="27" spans="1:18" x14ac:dyDescent="0.25">
      <c r="A27" t="s">
        <v>114</v>
      </c>
      <c r="B27" s="1">
        <f>I17</f>
        <v>514097000</v>
      </c>
      <c r="C27" s="1">
        <f>B27*0.25</f>
        <v>128524250</v>
      </c>
    </row>
    <row r="28" spans="1:18" x14ac:dyDescent="0.25">
      <c r="A28" t="s">
        <v>33</v>
      </c>
      <c r="B28" s="1">
        <f>I18</f>
        <v>782712000</v>
      </c>
      <c r="C28" s="4">
        <f>B28*0.3</f>
        <v>234813600</v>
      </c>
      <c r="H28" s="11" t="s">
        <v>42</v>
      </c>
      <c r="I28" s="12">
        <v>350000000</v>
      </c>
      <c r="K28" s="13" t="s">
        <v>43</v>
      </c>
      <c r="L28" s="45" t="s">
        <v>44</v>
      </c>
      <c r="M28" s="45"/>
      <c r="N28" s="45"/>
    </row>
    <row r="29" spans="1:18" x14ac:dyDescent="0.25">
      <c r="C29" s="17">
        <f>SUM(C24:C28)</f>
        <v>716300050</v>
      </c>
      <c r="H29" s="11" t="s">
        <v>45</v>
      </c>
      <c r="I29">
        <f>I31/I30</f>
        <v>2.4E-2</v>
      </c>
      <c r="K29" s="13" t="s">
        <v>46</v>
      </c>
      <c r="L29" s="45" t="s">
        <v>47</v>
      </c>
      <c r="M29" s="45"/>
      <c r="N29" s="45"/>
    </row>
    <row r="30" spans="1:18" x14ac:dyDescent="0.25">
      <c r="H30" s="11" t="s">
        <v>48</v>
      </c>
      <c r="I30">
        <v>5</v>
      </c>
      <c r="K30" s="13" t="s">
        <v>49</v>
      </c>
      <c r="L30" s="45" t="s">
        <v>50</v>
      </c>
      <c r="M30" s="45"/>
      <c r="N30" s="45"/>
    </row>
    <row r="31" spans="1:18" x14ac:dyDescent="0.25">
      <c r="A31" s="46" t="s">
        <v>117</v>
      </c>
      <c r="B31" s="46"/>
      <c r="D31" s="46" t="s">
        <v>60</v>
      </c>
      <c r="E31" s="46"/>
      <c r="H31" s="11" t="s">
        <v>106</v>
      </c>
      <c r="I31" s="2">
        <v>0.12</v>
      </c>
      <c r="L31" s="14"/>
      <c r="M31" s="14"/>
      <c r="N31" s="14"/>
    </row>
    <row r="32" spans="1:18" x14ac:dyDescent="0.25">
      <c r="B32" s="17">
        <f>C24</f>
        <v>125657750</v>
      </c>
      <c r="E32" s="17">
        <f>C25</f>
        <v>107740700</v>
      </c>
      <c r="H32" s="16" t="s">
        <v>53</v>
      </c>
      <c r="I32">
        <f>(I28*I29)/(1-(1+I29)^-I30)</f>
        <v>75119668.113019854</v>
      </c>
    </row>
    <row r="33" spans="1:18" x14ac:dyDescent="0.25">
      <c r="H33" s="43" t="s">
        <v>55</v>
      </c>
      <c r="I33" s="43"/>
      <c r="J33" s="43"/>
      <c r="K33" s="43"/>
      <c r="L33" s="43"/>
      <c r="M33" s="43"/>
      <c r="N33" s="43"/>
    </row>
    <row r="34" spans="1:18" x14ac:dyDescent="0.25">
      <c r="A34" s="46" t="s">
        <v>61</v>
      </c>
      <c r="B34" s="46"/>
      <c r="D34" s="46" t="s">
        <v>62</v>
      </c>
      <c r="E34" s="46"/>
      <c r="H34" t="s">
        <v>56</v>
      </c>
      <c r="I34" t="s">
        <v>57</v>
      </c>
      <c r="J34" t="s">
        <v>58</v>
      </c>
      <c r="K34" s="13" t="s">
        <v>43</v>
      </c>
      <c r="L34" s="13" t="s">
        <v>46</v>
      </c>
      <c r="M34" s="13" t="s">
        <v>49</v>
      </c>
      <c r="N34" t="s">
        <v>59</v>
      </c>
      <c r="O34" s="4"/>
    </row>
    <row r="35" spans="1:18" x14ac:dyDescent="0.25">
      <c r="B35" s="17">
        <f>C26</f>
        <v>119563750</v>
      </c>
      <c r="E35" s="17">
        <f>C28</f>
        <v>234813600</v>
      </c>
      <c r="H35">
        <v>0</v>
      </c>
      <c r="I35" s="4">
        <f>I28</f>
        <v>350000000</v>
      </c>
      <c r="J35" s="4">
        <f>I32</f>
        <v>75119668.113019854</v>
      </c>
      <c r="K35" s="4"/>
      <c r="L35" s="4"/>
      <c r="M35" s="4"/>
      <c r="N35" s="4"/>
    </row>
    <row r="36" spans="1:18" x14ac:dyDescent="0.25">
      <c r="H36">
        <v>1</v>
      </c>
      <c r="I36" s="4">
        <f>I28</f>
        <v>350000000</v>
      </c>
      <c r="J36" s="4">
        <f>I32</f>
        <v>75119668.113019854</v>
      </c>
      <c r="K36" s="4">
        <f>I29*I36</f>
        <v>8400000</v>
      </c>
      <c r="L36" s="4">
        <f>J36-K36</f>
        <v>66719668.113019854</v>
      </c>
      <c r="M36" s="4">
        <f>I36-L36</f>
        <v>283280331.88698018</v>
      </c>
      <c r="N36" s="4">
        <f>K36</f>
        <v>8400000</v>
      </c>
    </row>
    <row r="37" spans="1:18" x14ac:dyDescent="0.25">
      <c r="A37" s="46" t="s">
        <v>63</v>
      </c>
      <c r="B37" s="46"/>
      <c r="D37" s="46" t="s">
        <v>64</v>
      </c>
      <c r="E37" s="46"/>
      <c r="H37">
        <v>2</v>
      </c>
      <c r="I37" s="4">
        <f t="shared" ref="I37:I40" si="3">M36</f>
        <v>283280331.88698018</v>
      </c>
      <c r="J37" s="4">
        <f>I32</f>
        <v>75119668.113019854</v>
      </c>
      <c r="K37" s="4">
        <f>I29*I37</f>
        <v>6798727.9652875243</v>
      </c>
      <c r="L37" s="4">
        <f>J37-K37</f>
        <v>68320940.147732332</v>
      </c>
      <c r="M37" s="4">
        <f>I37-L37</f>
        <v>214959391.73924786</v>
      </c>
      <c r="N37" s="4">
        <f>K37+N36</f>
        <v>15198727.965287525</v>
      </c>
    </row>
    <row r="38" spans="1:18" x14ac:dyDescent="0.25">
      <c r="B38" s="17">
        <f>I22*0.05</f>
        <v>1073918.75</v>
      </c>
      <c r="D38" s="4">
        <f>B7</f>
        <v>95860500</v>
      </c>
      <c r="H38">
        <v>3</v>
      </c>
      <c r="I38" s="4">
        <f t="shared" si="3"/>
        <v>214959391.73924786</v>
      </c>
      <c r="J38" s="4">
        <f>I32</f>
        <v>75119668.113019854</v>
      </c>
      <c r="K38" s="4">
        <f>I29*I38</f>
        <v>5159025.4017419489</v>
      </c>
      <c r="L38" s="4">
        <f t="shared" ref="L38:L40" si="4">J38-K38</f>
        <v>69960642.711277902</v>
      </c>
      <c r="M38" s="4">
        <f t="shared" ref="M38:M39" si="5">I38-L38</f>
        <v>144998749.02796996</v>
      </c>
      <c r="N38" s="4">
        <f t="shared" ref="N38:N40" si="6">N37+K38</f>
        <v>20357753.367029473</v>
      </c>
    </row>
    <row r="39" spans="1:18" x14ac:dyDescent="0.25">
      <c r="D39" s="4">
        <f>B32</f>
        <v>125657750</v>
      </c>
      <c r="H39">
        <v>4</v>
      </c>
      <c r="I39" s="4">
        <f t="shared" si="3"/>
        <v>144998749.02796996</v>
      </c>
      <c r="J39" s="4">
        <f>I32</f>
        <v>75119668.113019854</v>
      </c>
      <c r="K39" s="4">
        <f>I29*I39</f>
        <v>3479969.9766712789</v>
      </c>
      <c r="L39" s="4">
        <f t="shared" si="4"/>
        <v>71639698.136348575</v>
      </c>
      <c r="M39" s="4">
        <f t="shared" si="5"/>
        <v>73359050.891621381</v>
      </c>
      <c r="N39" s="4">
        <f t="shared" si="6"/>
        <v>23837723.343700752</v>
      </c>
    </row>
    <row r="40" spans="1:18" x14ac:dyDescent="0.25">
      <c r="A40" s="42" t="s">
        <v>118</v>
      </c>
      <c r="B40" s="42"/>
      <c r="D40" s="4">
        <f>E32</f>
        <v>107740700</v>
      </c>
      <c r="H40">
        <v>5</v>
      </c>
      <c r="I40" s="4">
        <f t="shared" si="3"/>
        <v>73359050.891621381</v>
      </c>
      <c r="J40" s="4">
        <f>I32</f>
        <v>75119668.113019854</v>
      </c>
      <c r="K40" s="4">
        <f>I29*I40</f>
        <v>1760617.2213989131</v>
      </c>
      <c r="L40" s="4">
        <f t="shared" si="4"/>
        <v>73359050.891620934</v>
      </c>
      <c r="M40" s="25"/>
      <c r="N40" s="4">
        <f t="shared" si="6"/>
        <v>25598340.565099664</v>
      </c>
    </row>
    <row r="41" spans="1:18" x14ac:dyDescent="0.25">
      <c r="B41" s="21">
        <f>C27</f>
        <v>128524250</v>
      </c>
      <c r="D41" s="4">
        <f>B35</f>
        <v>119563750</v>
      </c>
      <c r="I41" s="4"/>
      <c r="J41" s="4"/>
      <c r="K41" s="4"/>
      <c r="L41" s="18">
        <f>SUM(L36:L40)</f>
        <v>349999999.99999958</v>
      </c>
      <c r="M41" s="25"/>
      <c r="N41" s="4"/>
    </row>
    <row r="42" spans="1:18" x14ac:dyDescent="0.25">
      <c r="D42" s="4">
        <f>E35</f>
        <v>234813600</v>
      </c>
      <c r="I42" s="4"/>
      <c r="J42" s="4"/>
      <c r="K42" s="4"/>
      <c r="L42" s="4"/>
      <c r="M42" s="25"/>
      <c r="N42" s="4"/>
    </row>
    <row r="43" spans="1:18" x14ac:dyDescent="0.25">
      <c r="A43" s="46" t="s">
        <v>127</v>
      </c>
      <c r="B43" s="46"/>
      <c r="D43" s="1">
        <f>B41</f>
        <v>128524250</v>
      </c>
      <c r="I43" s="4"/>
      <c r="J43" s="4"/>
      <c r="K43" s="4"/>
      <c r="L43" s="4"/>
      <c r="M43" s="25"/>
      <c r="N43" s="4"/>
    </row>
    <row r="44" spans="1:18" x14ac:dyDescent="0.25">
      <c r="B44" s="17">
        <f>I21*0.05</f>
        <v>124377.60000000001</v>
      </c>
      <c r="D44" s="4">
        <f>B38</f>
        <v>1073918.75</v>
      </c>
      <c r="I44" s="4"/>
      <c r="J44" s="4"/>
      <c r="K44" s="4"/>
      <c r="L44" s="4"/>
      <c r="M44" s="25"/>
      <c r="N44" s="4"/>
    </row>
    <row r="45" spans="1:18" x14ac:dyDescent="0.25">
      <c r="D45" s="1">
        <f>B44</f>
        <v>124377.60000000001</v>
      </c>
      <c r="I45" s="4"/>
      <c r="J45" s="4"/>
      <c r="K45" s="4"/>
      <c r="L45" s="4"/>
      <c r="M45" s="25"/>
      <c r="N45" s="4"/>
    </row>
    <row r="46" spans="1:18" x14ac:dyDescent="0.25">
      <c r="D46" s="21">
        <f>SUM(D38:D45)</f>
        <v>813358846.35000002</v>
      </c>
      <c r="E46" s="1"/>
      <c r="I46" s="4"/>
      <c r="J46" s="4"/>
      <c r="K46" s="4"/>
      <c r="L46" s="4"/>
      <c r="M46" s="25"/>
      <c r="N46" s="4"/>
    </row>
    <row r="47" spans="1:18" x14ac:dyDescent="0.25">
      <c r="D47" s="39"/>
      <c r="I47" s="4"/>
      <c r="J47" s="4"/>
      <c r="K47" s="4"/>
      <c r="L47" s="4"/>
      <c r="M47" s="25"/>
      <c r="N47" s="4"/>
    </row>
    <row r="48" spans="1:18" x14ac:dyDescent="0.25">
      <c r="A48" s="10"/>
      <c r="B48" s="10"/>
      <c r="C48" s="10"/>
      <c r="D48" s="10"/>
      <c r="E48" s="10"/>
      <c r="F48" s="10"/>
      <c r="G48" s="10"/>
      <c r="I48" s="4"/>
      <c r="J48" s="4"/>
      <c r="K48" s="4"/>
      <c r="M48" s="4"/>
      <c r="N48" s="4"/>
      <c r="O48" s="33"/>
      <c r="P48" s="33"/>
      <c r="Q48" s="33"/>
      <c r="R48" s="33"/>
    </row>
    <row r="51" spans="1:11" x14ac:dyDescent="0.25">
      <c r="A51" s="49" t="s">
        <v>69</v>
      </c>
      <c r="B51" s="49"/>
      <c r="C51" s="49"/>
      <c r="D51" s="49"/>
      <c r="E51" s="49"/>
      <c r="H51" s="49" t="s">
        <v>65</v>
      </c>
      <c r="I51" s="49"/>
      <c r="J51" s="49"/>
      <c r="K51" s="49"/>
    </row>
    <row r="52" spans="1:11" x14ac:dyDescent="0.25">
      <c r="H52" s="15" t="s">
        <v>66</v>
      </c>
      <c r="I52" s="15" t="s">
        <v>67</v>
      </c>
      <c r="J52" s="15" t="s">
        <v>68</v>
      </c>
      <c r="K52" s="15"/>
    </row>
    <row r="53" spans="1:11" x14ac:dyDescent="0.25">
      <c r="A53" s="46" t="s">
        <v>112</v>
      </c>
      <c r="B53" s="46"/>
      <c r="D53" s="46" t="s">
        <v>119</v>
      </c>
      <c r="E53" s="46"/>
      <c r="H53">
        <v>0</v>
      </c>
      <c r="I53" s="30">
        <f>I28</f>
        <v>350000000</v>
      </c>
      <c r="J53" s="19"/>
      <c r="K53" s="20"/>
    </row>
    <row r="54" spans="1:11" x14ac:dyDescent="0.25">
      <c r="A54" s="4">
        <f>I13</f>
        <v>1081694000</v>
      </c>
      <c r="E54" s="4">
        <f>O10</f>
        <v>4268338000</v>
      </c>
      <c r="H54">
        <v>1</v>
      </c>
      <c r="I54" s="20"/>
      <c r="J54" s="4">
        <v>98000000</v>
      </c>
      <c r="K54" s="4">
        <f>J54</f>
        <v>98000000</v>
      </c>
    </row>
    <row r="55" spans="1:11" x14ac:dyDescent="0.25">
      <c r="A55" s="4">
        <f>E55</f>
        <v>350000000</v>
      </c>
      <c r="E55" s="4">
        <f>I53</f>
        <v>350000000</v>
      </c>
      <c r="H55">
        <v>2</v>
      </c>
      <c r="I55" s="20"/>
      <c r="J55" s="4">
        <v>134000000</v>
      </c>
      <c r="K55" s="4">
        <f>K54+J55</f>
        <v>232000000</v>
      </c>
    </row>
    <row r="56" spans="1:11" x14ac:dyDescent="0.25">
      <c r="A56" s="21">
        <f>SUM(A54:A55)</f>
        <v>1431694000</v>
      </c>
      <c r="E56" s="21">
        <f>SUM(E54:E55)</f>
        <v>4618338000</v>
      </c>
      <c r="H56">
        <v>3</v>
      </c>
      <c r="I56" s="20"/>
      <c r="J56" s="4">
        <v>195000000</v>
      </c>
      <c r="K56" s="4">
        <f t="shared" ref="K56" si="7">K55+J56</f>
        <v>427000000</v>
      </c>
    </row>
    <row r="57" spans="1:11" x14ac:dyDescent="0.25">
      <c r="H57">
        <v>4</v>
      </c>
      <c r="I57" s="20"/>
      <c r="J57" s="4">
        <v>242000000</v>
      </c>
      <c r="K57" s="20"/>
    </row>
    <row r="58" spans="1:11" x14ac:dyDescent="0.25">
      <c r="H58">
        <v>5</v>
      </c>
      <c r="I58" s="4"/>
      <c r="J58" s="4">
        <v>287020000</v>
      </c>
    </row>
    <row r="59" spans="1:11" x14ac:dyDescent="0.25">
      <c r="I59" s="4"/>
      <c r="J59" s="4"/>
    </row>
    <row r="60" spans="1:11" x14ac:dyDescent="0.25">
      <c r="H60" s="11" t="s">
        <v>70</v>
      </c>
      <c r="I60">
        <f>((I53-K55)/J56)*12</f>
        <v>7.2615384615384606</v>
      </c>
    </row>
    <row r="62" spans="1:11" x14ac:dyDescent="0.25">
      <c r="I62" t="s">
        <v>120</v>
      </c>
    </row>
    <row r="65" spans="1:15" x14ac:dyDescent="0.25">
      <c r="A65" s="49" t="s">
        <v>71</v>
      </c>
      <c r="B65" s="49"/>
      <c r="C65" s="49"/>
      <c r="D65" s="49"/>
      <c r="E65" s="49"/>
      <c r="F65" s="49"/>
      <c r="G65" s="49"/>
      <c r="H65" s="49"/>
      <c r="I65" s="49"/>
      <c r="J65" s="49"/>
      <c r="L65" s="49" t="s">
        <v>79</v>
      </c>
      <c r="M65" s="49"/>
      <c r="N65" s="49"/>
      <c r="O65" s="49"/>
    </row>
    <row r="66" spans="1:15" x14ac:dyDescent="0.25">
      <c r="G66" s="43" t="s">
        <v>72</v>
      </c>
      <c r="H66" s="43"/>
      <c r="I66" s="43"/>
      <c r="J66" s="1"/>
      <c r="O66" s="1"/>
    </row>
    <row r="67" spans="1:15" x14ac:dyDescent="0.25">
      <c r="A67" s="50"/>
      <c r="B67" s="50"/>
      <c r="D67" s="40"/>
      <c r="E67" s="40"/>
      <c r="G67" s="8"/>
      <c r="H67" s="8" t="s">
        <v>73</v>
      </c>
      <c r="I67" s="22" t="s">
        <v>74</v>
      </c>
      <c r="J67" s="1"/>
      <c r="M67" s="43" t="s">
        <v>82</v>
      </c>
      <c r="N67" s="43"/>
      <c r="O67" s="1"/>
    </row>
    <row r="68" spans="1:15" x14ac:dyDescent="0.25">
      <c r="A68" s="39"/>
      <c r="B68" s="33"/>
      <c r="D68" s="40"/>
      <c r="E68" s="40"/>
      <c r="G68" t="s">
        <v>75</v>
      </c>
      <c r="H68" s="4">
        <v>4000000</v>
      </c>
      <c r="I68" s="1">
        <f>H68</f>
        <v>4000000</v>
      </c>
      <c r="J68" s="1"/>
      <c r="M68" t="s">
        <v>85</v>
      </c>
      <c r="N68" s="4">
        <f>(-1)*H68</f>
        <v>-4000000</v>
      </c>
      <c r="O68" s="1"/>
    </row>
    <row r="69" spans="1:15" x14ac:dyDescent="0.25">
      <c r="A69" s="39"/>
      <c r="B69" s="33"/>
      <c r="G69" t="s">
        <v>76</v>
      </c>
      <c r="H69" s="4">
        <f>H68</f>
        <v>4000000</v>
      </c>
      <c r="I69" s="1">
        <f>I68/2</f>
        <v>2000000</v>
      </c>
      <c r="J69" s="1"/>
      <c r="M69" t="s">
        <v>121</v>
      </c>
      <c r="N69" s="1">
        <v>340000</v>
      </c>
    </row>
    <row r="70" spans="1:15" x14ac:dyDescent="0.25">
      <c r="A70" s="31"/>
      <c r="B70" s="33"/>
      <c r="G70" t="s">
        <v>103</v>
      </c>
      <c r="H70" s="4"/>
      <c r="I70" s="1">
        <f>(I68/2)+I69*0.2</f>
        <v>2400000</v>
      </c>
      <c r="J70" s="1"/>
      <c r="M70" t="s">
        <v>122</v>
      </c>
      <c r="N70" s="1">
        <v>420000</v>
      </c>
      <c r="O70" s="1"/>
    </row>
    <row r="71" spans="1:15" x14ac:dyDescent="0.25">
      <c r="A71" s="31"/>
      <c r="B71" s="33"/>
      <c r="G71" t="s">
        <v>77</v>
      </c>
      <c r="H71" s="4">
        <f>H72-(H69+H70)</f>
        <v>500000</v>
      </c>
      <c r="I71" s="4">
        <f>I72-(I69+I70)</f>
        <v>100000</v>
      </c>
      <c r="J71" s="1"/>
      <c r="M71" t="s">
        <v>123</v>
      </c>
      <c r="N71" s="1">
        <v>600000</v>
      </c>
      <c r="O71" s="5"/>
    </row>
    <row r="72" spans="1:15" x14ac:dyDescent="0.25">
      <c r="G72" t="s">
        <v>78</v>
      </c>
      <c r="H72" s="4">
        <v>4500000</v>
      </c>
      <c r="I72" s="1">
        <f>H72</f>
        <v>4500000</v>
      </c>
      <c r="J72" s="1"/>
      <c r="M72" t="s">
        <v>124</v>
      </c>
      <c r="N72" s="4">
        <v>710000</v>
      </c>
      <c r="O72" s="1"/>
    </row>
    <row r="73" spans="1:15" x14ac:dyDescent="0.25">
      <c r="G73" t="s">
        <v>72</v>
      </c>
      <c r="H73" s="38">
        <f>H71/H69</f>
        <v>0.125</v>
      </c>
      <c r="I73" s="38">
        <f>I71/I69</f>
        <v>0.05</v>
      </c>
      <c r="J73" s="1"/>
      <c r="M73" t="s">
        <v>126</v>
      </c>
      <c r="N73" s="4">
        <v>740000</v>
      </c>
    </row>
    <row r="74" spans="1:15" x14ac:dyDescent="0.25">
      <c r="I74" s="1"/>
      <c r="J74" s="1"/>
      <c r="M74" t="s">
        <v>125</v>
      </c>
      <c r="N74" s="4">
        <v>865000</v>
      </c>
    </row>
    <row r="75" spans="1:15" x14ac:dyDescent="0.25">
      <c r="G75" s="51"/>
      <c r="H75" s="51"/>
      <c r="I75" s="1"/>
      <c r="J75" s="1"/>
      <c r="M75" t="s">
        <v>82</v>
      </c>
      <c r="N75" s="2">
        <f>IRR(N68:N72)</f>
        <v>-0.20088253000468248</v>
      </c>
    </row>
    <row r="77" spans="1:15" x14ac:dyDescent="0.25">
      <c r="A77" s="49" t="s">
        <v>105</v>
      </c>
      <c r="B77" s="49"/>
      <c r="C77" s="49"/>
      <c r="D77" s="49"/>
    </row>
    <row r="79" spans="1:15" x14ac:dyDescent="0.25">
      <c r="A79" t="s">
        <v>80</v>
      </c>
      <c r="B79" s="4">
        <f>B7</f>
        <v>95860500</v>
      </c>
      <c r="C79" s="48" t="s">
        <v>81</v>
      </c>
      <c r="D79" s="48"/>
    </row>
    <row r="80" spans="1:15" x14ac:dyDescent="0.25">
      <c r="A80" s="5" t="s">
        <v>83</v>
      </c>
      <c r="B80" s="4">
        <f>B81*C5</f>
        <v>1669.0589195214727</v>
      </c>
      <c r="C80" s="48" t="s">
        <v>84</v>
      </c>
      <c r="D80" s="48"/>
    </row>
    <row r="81" spans="1:5" x14ac:dyDescent="0.25">
      <c r="A81" t="s">
        <v>86</v>
      </c>
      <c r="B81" s="4">
        <v>6000</v>
      </c>
    </row>
    <row r="82" spans="1:5" x14ac:dyDescent="0.25">
      <c r="A82" t="s">
        <v>87</v>
      </c>
      <c r="B82" s="4">
        <f>O13*0.35</f>
        <v>733718144.94999993</v>
      </c>
      <c r="C82" s="48" t="s">
        <v>88</v>
      </c>
      <c r="D82" s="48"/>
    </row>
    <row r="84" spans="1:5" x14ac:dyDescent="0.25">
      <c r="A84" s="23" t="s">
        <v>89</v>
      </c>
      <c r="B84" s="24">
        <f>(B79+B82)/(1-(B80/B81))</f>
        <v>1149281825.1755197</v>
      </c>
      <c r="C84" s="52" t="s">
        <v>90</v>
      </c>
      <c r="D84" s="52"/>
    </row>
    <row r="86" spans="1:5" x14ac:dyDescent="0.25">
      <c r="A86" t="s">
        <v>91</v>
      </c>
      <c r="B86" s="25">
        <f>B84/B81</f>
        <v>191546.9708625866</v>
      </c>
      <c r="C86" s="48" t="s">
        <v>92</v>
      </c>
      <c r="D86" s="48"/>
    </row>
    <row r="88" spans="1:5" x14ac:dyDescent="0.25">
      <c r="A88" t="s">
        <v>93</v>
      </c>
      <c r="B88" s="4">
        <f>B86*B80</f>
        <v>319703180.22551984</v>
      </c>
      <c r="C88" s="48" t="s">
        <v>94</v>
      </c>
      <c r="D88" s="48"/>
      <c r="E88" s="48"/>
    </row>
    <row r="90" spans="1:5" x14ac:dyDescent="0.25">
      <c r="A90" s="53" t="s">
        <v>107</v>
      </c>
      <c r="B90" s="53"/>
    </row>
    <row r="91" spans="1:5" x14ac:dyDescent="0.25">
      <c r="A91" s="53" t="s">
        <v>95</v>
      </c>
      <c r="B91" s="53"/>
    </row>
    <row r="92" spans="1:5" x14ac:dyDescent="0.25">
      <c r="A92" t="s">
        <v>96</v>
      </c>
      <c r="B92" s="4">
        <f>B84</f>
        <v>1149281825.1755197</v>
      </c>
    </row>
    <row r="93" spans="1:5" x14ac:dyDescent="0.25">
      <c r="A93" t="s">
        <v>6</v>
      </c>
      <c r="B93" s="4">
        <f>B88</f>
        <v>319703180.22551984</v>
      </c>
    </row>
    <row r="94" spans="1:5" x14ac:dyDescent="0.25">
      <c r="A94" t="s">
        <v>97</v>
      </c>
      <c r="B94" s="4">
        <f>B92-B93</f>
        <v>829578644.94999981</v>
      </c>
    </row>
    <row r="95" spans="1:5" x14ac:dyDescent="0.25">
      <c r="A95" t="s">
        <v>11</v>
      </c>
      <c r="B95" s="4">
        <f>B79</f>
        <v>95860500</v>
      </c>
    </row>
    <row r="96" spans="1:5" x14ac:dyDescent="0.25">
      <c r="A96" t="s">
        <v>98</v>
      </c>
      <c r="B96" s="26">
        <f>B94-B95</f>
        <v>733718144.94999981</v>
      </c>
    </row>
    <row r="99" spans="1:17" x14ac:dyDescent="0.25">
      <c r="A99" s="27" t="s">
        <v>99</v>
      </c>
      <c r="B99" s="21">
        <f>B92-B4</f>
        <v>731600225.1755197</v>
      </c>
    </row>
    <row r="102" spans="1:17" x14ac:dyDescent="0.25">
      <c r="A102" s="42" t="s">
        <v>4</v>
      </c>
      <c r="B102" s="42"/>
      <c r="D102" s="42" t="s">
        <v>100</v>
      </c>
      <c r="E102" s="42"/>
    </row>
    <row r="103" spans="1:17" x14ac:dyDescent="0.25">
      <c r="B103" s="4">
        <f>B4</f>
        <v>417681600</v>
      </c>
      <c r="D103" s="4">
        <f>I7</f>
        <v>312337000</v>
      </c>
      <c r="E103" s="1">
        <f>B104*C5</f>
        <v>203513980.22551987</v>
      </c>
    </row>
    <row r="104" spans="1:17" x14ac:dyDescent="0.25">
      <c r="B104" s="1">
        <f>B99</f>
        <v>731600225.1755197</v>
      </c>
      <c r="D104" s="21">
        <f>D103-E103</f>
        <v>108823019.77448013</v>
      </c>
      <c r="G104" s="45"/>
      <c r="H104" s="45"/>
      <c r="I104" s="45"/>
    </row>
    <row r="105" spans="1:17" x14ac:dyDescent="0.25">
      <c r="B105" s="21">
        <f>SUM(B103:B104)</f>
        <v>1149281825.1755197</v>
      </c>
    </row>
    <row r="107" spans="1:17" x14ac:dyDescent="0.25">
      <c r="A107" s="42" t="s">
        <v>6</v>
      </c>
      <c r="B107" s="42"/>
      <c r="D107" s="44" t="s">
        <v>9</v>
      </c>
      <c r="E107" s="44"/>
    </row>
    <row r="108" spans="1:17" x14ac:dyDescent="0.25">
      <c r="A108" s="4">
        <f>B5</f>
        <v>116189200</v>
      </c>
      <c r="D108" s="1">
        <f>I6</f>
        <v>343882400</v>
      </c>
    </row>
    <row r="109" spans="1:17" x14ac:dyDescent="0.25">
      <c r="A109" s="1">
        <f>E103</f>
        <v>203513980.22551987</v>
      </c>
      <c r="D109" s="1">
        <f>B104</f>
        <v>731600225.1755197</v>
      </c>
    </row>
    <row r="110" spans="1:17" x14ac:dyDescent="0.25">
      <c r="A110" s="21">
        <f>SUM(A108:A109)</f>
        <v>319703180.2255199</v>
      </c>
      <c r="D110" s="21">
        <f>SUM(D108:D109)</f>
        <v>1075482625.1755197</v>
      </c>
    </row>
    <row r="112" spans="1:17" x14ac:dyDescent="0.25">
      <c r="A112" s="49" t="s">
        <v>104</v>
      </c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</row>
    <row r="114" spans="3:12" x14ac:dyDescent="0.25">
      <c r="C114" s="43" t="s">
        <v>107</v>
      </c>
      <c r="D114" s="43"/>
      <c r="E114" s="43"/>
      <c r="F114" s="43"/>
      <c r="G114" s="43"/>
      <c r="H114" s="43"/>
      <c r="I114" s="43"/>
      <c r="J114" s="43"/>
      <c r="K114" s="43"/>
      <c r="L114" s="43"/>
    </row>
    <row r="115" spans="3:12" x14ac:dyDescent="0.25">
      <c r="C115" s="43" t="s">
        <v>1</v>
      </c>
      <c r="D115" s="43"/>
      <c r="E115" s="43"/>
      <c r="F115" s="43"/>
      <c r="G115" s="43"/>
      <c r="H115" s="43"/>
      <c r="I115" s="43"/>
      <c r="J115" s="43"/>
      <c r="K115" s="43"/>
      <c r="L115" s="43"/>
    </row>
    <row r="116" spans="3:12" x14ac:dyDescent="0.25">
      <c r="C116" t="s">
        <v>2</v>
      </c>
      <c r="E116">
        <v>2020</v>
      </c>
      <c r="F116">
        <v>2021</v>
      </c>
      <c r="I116" t="s">
        <v>3</v>
      </c>
      <c r="J116">
        <v>2020</v>
      </c>
      <c r="K116" t="s">
        <v>101</v>
      </c>
    </row>
    <row r="117" spans="3:12" x14ac:dyDescent="0.25">
      <c r="C117" t="s">
        <v>5</v>
      </c>
      <c r="G117" s="33"/>
      <c r="I117" t="s">
        <v>5</v>
      </c>
      <c r="L117" s="33"/>
    </row>
    <row r="118" spans="3:12" x14ac:dyDescent="0.25">
      <c r="C118" t="s">
        <v>108</v>
      </c>
      <c r="E118" s="1">
        <f t="shared" ref="E118:E123" si="8">I5</f>
        <v>192370000</v>
      </c>
      <c r="F118" s="1">
        <f>E118</f>
        <v>192370000</v>
      </c>
      <c r="G118" s="31"/>
      <c r="I118" t="s">
        <v>7</v>
      </c>
      <c r="J118" s="1">
        <f>O5</f>
        <v>345913000</v>
      </c>
      <c r="K118" s="1">
        <f>J118</f>
        <v>345913000</v>
      </c>
      <c r="L118" s="39"/>
    </row>
    <row r="119" spans="3:12" x14ac:dyDescent="0.25">
      <c r="C119" t="s">
        <v>9</v>
      </c>
      <c r="E119" s="1">
        <f t="shared" si="8"/>
        <v>343882400</v>
      </c>
      <c r="F119" s="1">
        <f>D110</f>
        <v>1075482625.1755197</v>
      </c>
      <c r="G119" s="41"/>
      <c r="I119" t="s">
        <v>10</v>
      </c>
      <c r="J119" s="1">
        <f>O6</f>
        <v>260351000</v>
      </c>
      <c r="K119" s="1">
        <f>J119</f>
        <v>260351000</v>
      </c>
      <c r="L119" s="39"/>
    </row>
    <row r="120" spans="3:12" x14ac:dyDescent="0.25">
      <c r="C120" t="s">
        <v>12</v>
      </c>
      <c r="E120" s="1">
        <f t="shared" si="8"/>
        <v>312337000</v>
      </c>
      <c r="F120" s="1">
        <f>D104</f>
        <v>108823019.77448013</v>
      </c>
      <c r="G120" s="41"/>
      <c r="I120" t="s">
        <v>13</v>
      </c>
      <c r="J120" s="1">
        <f>O7</f>
        <v>514097000</v>
      </c>
      <c r="K120" s="1">
        <f>J120</f>
        <v>514097000</v>
      </c>
      <c r="L120" s="39"/>
    </row>
    <row r="121" spans="3:12" x14ac:dyDescent="0.25">
      <c r="C121" t="s">
        <v>111</v>
      </c>
      <c r="E121" s="1">
        <f t="shared" si="8"/>
        <v>218006000</v>
      </c>
      <c r="F121" s="1">
        <f>E121</f>
        <v>218006000</v>
      </c>
      <c r="G121" s="31"/>
      <c r="I121" t="s">
        <v>15</v>
      </c>
      <c r="J121" s="1">
        <f>J118+J119+J120</f>
        <v>1120361000</v>
      </c>
      <c r="K121" s="1">
        <f>K118+K119+K120</f>
        <v>1120361000</v>
      </c>
      <c r="L121" s="39"/>
    </row>
    <row r="122" spans="3:12" x14ac:dyDescent="0.25">
      <c r="C122" t="s">
        <v>110</v>
      </c>
      <c r="E122" s="1">
        <f t="shared" si="8"/>
        <v>1133430</v>
      </c>
      <c r="F122" s="1">
        <f>E122</f>
        <v>1133430</v>
      </c>
      <c r="G122" s="41"/>
      <c r="I122" t="s">
        <v>16</v>
      </c>
      <c r="J122" s="1"/>
      <c r="L122" s="39"/>
    </row>
    <row r="123" spans="3:12" x14ac:dyDescent="0.25">
      <c r="C123" t="s">
        <v>109</v>
      </c>
      <c r="E123" s="1">
        <f t="shared" si="8"/>
        <v>151653700</v>
      </c>
      <c r="F123" s="1">
        <f>E123</f>
        <v>151653700</v>
      </c>
      <c r="G123" s="31"/>
      <c r="I123" t="s">
        <v>13</v>
      </c>
      <c r="J123" s="1">
        <f>O10</f>
        <v>4268338000</v>
      </c>
      <c r="K123" s="1">
        <f>E56</f>
        <v>4618338000</v>
      </c>
      <c r="L123" s="39"/>
    </row>
    <row r="124" spans="3:12" x14ac:dyDescent="0.25">
      <c r="C124" t="s">
        <v>15</v>
      </c>
      <c r="D124" s="1"/>
      <c r="E124" s="1">
        <f>SUM(E118:E123)</f>
        <v>1219382530</v>
      </c>
      <c r="F124" s="1">
        <f>SUM(F118:F123)</f>
        <v>1747468774.9499998</v>
      </c>
      <c r="G124" s="31"/>
      <c r="I124" t="s">
        <v>25</v>
      </c>
      <c r="J124" s="1">
        <f>J121+J123</f>
        <v>5388699000</v>
      </c>
      <c r="K124" s="1">
        <f>K121+K123</f>
        <v>5738699000</v>
      </c>
      <c r="L124" s="39"/>
    </row>
    <row r="125" spans="3:12" x14ac:dyDescent="0.25">
      <c r="C125" t="s">
        <v>16</v>
      </c>
      <c r="D125" s="1"/>
      <c r="E125" s="1"/>
      <c r="F125" s="1"/>
      <c r="G125" s="31"/>
      <c r="I125" t="s">
        <v>28</v>
      </c>
      <c r="J125" s="1"/>
      <c r="L125" s="39"/>
    </row>
    <row r="126" spans="3:12" x14ac:dyDescent="0.25">
      <c r="C126" t="s">
        <v>112</v>
      </c>
      <c r="D126" s="1"/>
      <c r="E126" s="1">
        <f>I13</f>
        <v>1081694000</v>
      </c>
      <c r="F126" s="1">
        <f>A56</f>
        <v>1431694000</v>
      </c>
      <c r="G126" s="31"/>
      <c r="I126" t="s">
        <v>31</v>
      </c>
      <c r="J126" s="1">
        <f>O13</f>
        <v>2096337557</v>
      </c>
      <c r="K126" s="28">
        <f>J126</f>
        <v>2096337557</v>
      </c>
      <c r="L126" s="39"/>
    </row>
    <row r="127" spans="3:12" x14ac:dyDescent="0.25">
      <c r="C127" t="s">
        <v>113</v>
      </c>
      <c r="D127" s="1">
        <f>B24</f>
        <v>2513155000</v>
      </c>
      <c r="E127" s="1">
        <f>D127-D128</f>
        <v>2387497250</v>
      </c>
      <c r="F127" s="1">
        <f>E127</f>
        <v>2387497250</v>
      </c>
      <c r="G127" s="31"/>
      <c r="I127" t="s">
        <v>14</v>
      </c>
      <c r="J127" s="4">
        <f>D155</f>
        <v>-511866446.35000002</v>
      </c>
      <c r="K127" s="1">
        <f>E155</f>
        <v>16219798.599999785</v>
      </c>
      <c r="L127" s="39"/>
    </row>
    <row r="128" spans="3:12" x14ac:dyDescent="0.25">
      <c r="D128" s="1">
        <f>C24</f>
        <v>125657750</v>
      </c>
      <c r="E128" s="1"/>
      <c r="G128" s="33"/>
      <c r="I128" t="s">
        <v>35</v>
      </c>
      <c r="J128" s="1">
        <f>J126+J127</f>
        <v>1584471110.6500001</v>
      </c>
      <c r="K128" s="28">
        <f>SUM(K126:K127)</f>
        <v>2112557355.5999999</v>
      </c>
      <c r="L128" s="39"/>
    </row>
    <row r="129" spans="3:12" x14ac:dyDescent="0.25">
      <c r="C129" t="s">
        <v>27</v>
      </c>
      <c r="D129" s="1">
        <f>B25</f>
        <v>1077407000</v>
      </c>
      <c r="E129" s="1">
        <f t="shared" ref="E129:E135" si="9">D129-D130</f>
        <v>969666300</v>
      </c>
      <c r="F129" s="1">
        <f>E129</f>
        <v>969666300</v>
      </c>
      <c r="G129" s="31"/>
      <c r="I129" t="s">
        <v>25</v>
      </c>
      <c r="L129" s="39"/>
    </row>
    <row r="130" spans="3:12" x14ac:dyDescent="0.25">
      <c r="D130" s="1">
        <f>C25</f>
        <v>107740700</v>
      </c>
      <c r="E130" s="1"/>
      <c r="G130" s="33"/>
      <c r="I130" t="s">
        <v>39</v>
      </c>
      <c r="J130" s="1"/>
      <c r="L130" s="39"/>
    </row>
    <row r="131" spans="3:12" x14ac:dyDescent="0.25">
      <c r="C131" t="s">
        <v>30</v>
      </c>
      <c r="D131" s="1">
        <f>B26</f>
        <v>478255000</v>
      </c>
      <c r="E131" s="1">
        <f t="shared" si="9"/>
        <v>358691250</v>
      </c>
      <c r="F131" s="1">
        <f>E131</f>
        <v>358691250</v>
      </c>
      <c r="G131" s="31"/>
      <c r="J131" s="1">
        <f>J124+J128</f>
        <v>6973170110.6499996</v>
      </c>
      <c r="K131" s="29">
        <f>SUM(K128+K124)</f>
        <v>7851256355.6000004</v>
      </c>
      <c r="L131" s="39"/>
    </row>
    <row r="132" spans="3:12" x14ac:dyDescent="0.25">
      <c r="D132" s="1">
        <f>C26</f>
        <v>119563750</v>
      </c>
      <c r="E132" s="1"/>
      <c r="G132" s="33"/>
      <c r="L132" s="33"/>
    </row>
    <row r="133" spans="3:12" x14ac:dyDescent="0.25">
      <c r="C133" t="s">
        <v>114</v>
      </c>
      <c r="D133" s="1">
        <f>B27</f>
        <v>514097000</v>
      </c>
      <c r="E133" s="1">
        <f t="shared" si="9"/>
        <v>385572750</v>
      </c>
      <c r="F133" s="1">
        <f>E133</f>
        <v>385572750</v>
      </c>
      <c r="G133" s="31"/>
      <c r="L133" s="33"/>
    </row>
    <row r="134" spans="3:12" x14ac:dyDescent="0.25">
      <c r="D134" s="1">
        <f>C27</f>
        <v>128524250</v>
      </c>
      <c r="E134" s="1"/>
      <c r="G134" s="33"/>
    </row>
    <row r="135" spans="3:12" x14ac:dyDescent="0.25">
      <c r="C135" t="s">
        <v>33</v>
      </c>
      <c r="D135" s="1">
        <f>B28</f>
        <v>782712000</v>
      </c>
      <c r="E135" s="1">
        <f t="shared" si="9"/>
        <v>547898400</v>
      </c>
      <c r="F135" s="1">
        <f>E135</f>
        <v>547898400</v>
      </c>
      <c r="G135" s="31"/>
    </row>
    <row r="136" spans="3:12" x14ac:dyDescent="0.25">
      <c r="D136" s="1">
        <f>C28</f>
        <v>234813600</v>
      </c>
      <c r="E136" s="1"/>
      <c r="G136" s="33"/>
    </row>
    <row r="137" spans="3:12" x14ac:dyDescent="0.25">
      <c r="C137" t="s">
        <v>15</v>
      </c>
      <c r="E137" s="1">
        <f>SUM(E126:E135)</f>
        <v>5731019950</v>
      </c>
      <c r="F137" s="1">
        <f>SUM(F126:F135)</f>
        <v>6081019950</v>
      </c>
      <c r="G137" s="31"/>
    </row>
    <row r="138" spans="3:12" x14ac:dyDescent="0.25">
      <c r="C138" t="s">
        <v>37</v>
      </c>
      <c r="D138" s="1"/>
      <c r="G138" s="31"/>
    </row>
    <row r="139" spans="3:12" x14ac:dyDescent="0.25">
      <c r="G139" s="33"/>
    </row>
    <row r="140" spans="3:12" x14ac:dyDescent="0.25">
      <c r="C140" t="s">
        <v>115</v>
      </c>
      <c r="D140" s="1">
        <f>I21</f>
        <v>2487552</v>
      </c>
      <c r="E140" s="1">
        <f>D140-D141</f>
        <v>2363174.4</v>
      </c>
      <c r="F140" s="1">
        <f>E140</f>
        <v>2363174.4</v>
      </c>
      <c r="G140" s="31"/>
      <c r="H140" s="51"/>
      <c r="I140" s="51"/>
      <c r="J140" s="51"/>
    </row>
    <row r="141" spans="3:12" x14ac:dyDescent="0.25">
      <c r="D141" s="1">
        <f>B44</f>
        <v>124377.60000000001</v>
      </c>
      <c r="G141" s="33"/>
      <c r="H141" s="51"/>
      <c r="I141" s="51"/>
      <c r="J141" s="51"/>
    </row>
    <row r="142" spans="3:12" x14ac:dyDescent="0.25">
      <c r="C142" t="s">
        <v>116</v>
      </c>
      <c r="D142" s="1">
        <f>I22</f>
        <v>21478375</v>
      </c>
      <c r="E142" s="1">
        <f>D142-D143</f>
        <v>20404456.25</v>
      </c>
      <c r="F142" s="1">
        <f>E142</f>
        <v>20404456.25</v>
      </c>
      <c r="G142" s="31"/>
      <c r="H142" s="51"/>
      <c r="I142" s="51"/>
    </row>
    <row r="143" spans="3:12" x14ac:dyDescent="0.25">
      <c r="D143" s="1">
        <f>B38</f>
        <v>1073918.75</v>
      </c>
      <c r="G143" s="33"/>
      <c r="H143" s="51"/>
      <c r="I143" s="51"/>
    </row>
    <row r="144" spans="3:12" x14ac:dyDescent="0.25">
      <c r="C144" t="s">
        <v>15</v>
      </c>
      <c r="E144" s="1">
        <f>SUM(E139:E142)</f>
        <v>22767630.649999999</v>
      </c>
      <c r="F144" s="1">
        <f>SUM(F140:F142)</f>
        <v>22767630.649999999</v>
      </c>
      <c r="G144" s="41"/>
      <c r="H144" s="51"/>
      <c r="I144" s="51"/>
    </row>
    <row r="145" spans="3:9" x14ac:dyDescent="0.25">
      <c r="C145" t="s">
        <v>40</v>
      </c>
      <c r="E145" s="1">
        <f>E144+E137+E124</f>
        <v>6973170110.6499996</v>
      </c>
      <c r="F145" s="1">
        <f>F144+F137+F124</f>
        <v>7851256355.5999994</v>
      </c>
      <c r="H145" s="51"/>
      <c r="I145" s="51"/>
    </row>
    <row r="146" spans="3:9" x14ac:dyDescent="0.25">
      <c r="H146" s="51"/>
      <c r="I146" s="51"/>
    </row>
    <row r="147" spans="3:9" x14ac:dyDescent="0.25">
      <c r="H147" s="51"/>
      <c r="I147" s="51"/>
    </row>
    <row r="148" spans="3:9" x14ac:dyDescent="0.25">
      <c r="C148" s="43" t="s">
        <v>107</v>
      </c>
      <c r="D148" s="43"/>
      <c r="E148" s="43"/>
      <c r="H148" s="51"/>
      <c r="I148" s="51"/>
    </row>
    <row r="149" spans="3:9" x14ac:dyDescent="0.25">
      <c r="C149" s="43" t="s">
        <v>102</v>
      </c>
      <c r="D149" s="43"/>
      <c r="E149" s="43"/>
      <c r="H149" s="51"/>
      <c r="I149" s="51"/>
    </row>
    <row r="150" spans="3:9" x14ac:dyDescent="0.25">
      <c r="D150">
        <v>2020</v>
      </c>
      <c r="E150">
        <v>2021</v>
      </c>
      <c r="H150" s="51"/>
      <c r="I150" s="51"/>
    </row>
    <row r="151" spans="3:9" x14ac:dyDescent="0.25">
      <c r="C151" t="s">
        <v>4</v>
      </c>
      <c r="D151" s="1">
        <f>B4</f>
        <v>417681600</v>
      </c>
      <c r="E151" s="1">
        <f>B105</f>
        <v>1149281825.1755197</v>
      </c>
      <c r="F151" s="31"/>
      <c r="H151" s="51"/>
      <c r="I151" s="51"/>
    </row>
    <row r="152" spans="3:9" x14ac:dyDescent="0.25">
      <c r="C152" t="s">
        <v>6</v>
      </c>
      <c r="D152" s="4">
        <f>B5</f>
        <v>116189200</v>
      </c>
      <c r="E152" s="4">
        <f>A110</f>
        <v>319703180.2255199</v>
      </c>
      <c r="F152" s="31"/>
      <c r="H152" s="51"/>
      <c r="I152" s="51"/>
    </row>
    <row r="153" spans="3:9" x14ac:dyDescent="0.25">
      <c r="C153" t="s">
        <v>8</v>
      </c>
      <c r="D153" s="4">
        <f>D151-D152</f>
        <v>301492400</v>
      </c>
      <c r="E153" s="4">
        <f>E151-E152</f>
        <v>829578644.94999981</v>
      </c>
      <c r="F153" s="31"/>
      <c r="H153" s="51"/>
      <c r="I153" s="51"/>
    </row>
    <row r="154" spans="3:9" x14ac:dyDescent="0.25">
      <c r="C154" t="s">
        <v>11</v>
      </c>
      <c r="D154" s="4">
        <f>D46</f>
        <v>813358846.35000002</v>
      </c>
      <c r="E154" s="29">
        <f>D154</f>
        <v>813358846.35000002</v>
      </c>
      <c r="F154" s="31"/>
      <c r="H154" s="51"/>
      <c r="I154" s="51"/>
    </row>
    <row r="155" spans="3:9" x14ac:dyDescent="0.25">
      <c r="C155" t="s">
        <v>14</v>
      </c>
      <c r="D155" s="4">
        <f>D153-D154</f>
        <v>-511866446.35000002</v>
      </c>
      <c r="E155" s="1">
        <f>E153-E154</f>
        <v>16219798.599999785</v>
      </c>
      <c r="F155" s="31"/>
      <c r="H155" s="51"/>
      <c r="I155" s="51"/>
    </row>
    <row r="156" spans="3:9" x14ac:dyDescent="0.25">
      <c r="F156" s="33"/>
      <c r="H156" s="51"/>
      <c r="I156" s="51"/>
    </row>
    <row r="157" spans="3:9" x14ac:dyDescent="0.25">
      <c r="H157" s="51"/>
      <c r="I157" s="51"/>
    </row>
    <row r="158" spans="3:9" x14ac:dyDescent="0.25">
      <c r="H158" s="51"/>
      <c r="I158" s="51"/>
    </row>
    <row r="159" spans="3:9" x14ac:dyDescent="0.25">
      <c r="H159" s="51"/>
      <c r="I159" s="51"/>
    </row>
    <row r="160" spans="3:9" x14ac:dyDescent="0.25">
      <c r="H160" s="51"/>
      <c r="I160" s="51"/>
    </row>
    <row r="161" spans="8:9" x14ac:dyDescent="0.25">
      <c r="H161" s="51"/>
      <c r="I161" s="51"/>
    </row>
    <row r="162" spans="8:9" x14ac:dyDescent="0.25">
      <c r="H162" s="51"/>
      <c r="I162" s="51"/>
    </row>
    <row r="163" spans="8:9" x14ac:dyDescent="0.25">
      <c r="H163" s="51"/>
      <c r="I163" s="51"/>
    </row>
    <row r="164" spans="8:9" x14ac:dyDescent="0.25">
      <c r="H164" s="51"/>
      <c r="I164" s="51"/>
    </row>
    <row r="165" spans="8:9" x14ac:dyDescent="0.25">
      <c r="H165" s="51"/>
      <c r="I165" s="51"/>
    </row>
    <row r="166" spans="8:9" x14ac:dyDescent="0.25">
      <c r="H166" s="51"/>
      <c r="I166" s="51"/>
    </row>
    <row r="167" spans="8:9" x14ac:dyDescent="0.25">
      <c r="H167" s="51"/>
      <c r="I167" s="51"/>
    </row>
    <row r="168" spans="8:9" x14ac:dyDescent="0.25">
      <c r="H168" s="51"/>
      <c r="I168" s="51"/>
    </row>
  </sheetData>
  <mergeCells count="75">
    <mergeCell ref="H168:I168"/>
    <mergeCell ref="H162:I162"/>
    <mergeCell ref="H163:I163"/>
    <mergeCell ref="H164:I164"/>
    <mergeCell ref="H165:I165"/>
    <mergeCell ref="H166:I166"/>
    <mergeCell ref="H167:I167"/>
    <mergeCell ref="H148:I148"/>
    <mergeCell ref="H161:I161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145:I145"/>
    <mergeCell ref="H146:I146"/>
    <mergeCell ref="H140:J140"/>
    <mergeCell ref="H141:J141"/>
    <mergeCell ref="H147:I147"/>
    <mergeCell ref="C149:E149"/>
    <mergeCell ref="A77:D77"/>
    <mergeCell ref="C80:D80"/>
    <mergeCell ref="C88:E88"/>
    <mergeCell ref="A90:B90"/>
    <mergeCell ref="A91:B91"/>
    <mergeCell ref="D102:E102"/>
    <mergeCell ref="A107:B107"/>
    <mergeCell ref="A112:Q112"/>
    <mergeCell ref="C114:L114"/>
    <mergeCell ref="C115:L115"/>
    <mergeCell ref="C148:E148"/>
    <mergeCell ref="H149:I149"/>
    <mergeCell ref="H142:I142"/>
    <mergeCell ref="H143:I143"/>
    <mergeCell ref="H144:I144"/>
    <mergeCell ref="L29:N29"/>
    <mergeCell ref="A31:B31"/>
    <mergeCell ref="D31:E31"/>
    <mergeCell ref="L28:N28"/>
    <mergeCell ref="A102:B102"/>
    <mergeCell ref="C86:D86"/>
    <mergeCell ref="C79:D79"/>
    <mergeCell ref="A51:E51"/>
    <mergeCell ref="A53:B53"/>
    <mergeCell ref="D53:E53"/>
    <mergeCell ref="H51:K51"/>
    <mergeCell ref="A65:J65"/>
    <mergeCell ref="G66:I66"/>
    <mergeCell ref="A67:B67"/>
    <mergeCell ref="G75:H75"/>
    <mergeCell ref="L65:O65"/>
    <mergeCell ref="A1:D1"/>
    <mergeCell ref="H1:Q1"/>
    <mergeCell ref="A2:D2"/>
    <mergeCell ref="H2:Q2"/>
    <mergeCell ref="D10:E10"/>
    <mergeCell ref="L30:N30"/>
    <mergeCell ref="D34:E34"/>
    <mergeCell ref="D37:E37"/>
    <mergeCell ref="A37:B37"/>
    <mergeCell ref="A34:B34"/>
    <mergeCell ref="A40:B40"/>
    <mergeCell ref="H33:N33"/>
    <mergeCell ref="D107:E107"/>
    <mergeCell ref="G104:I104"/>
    <mergeCell ref="A43:B43"/>
    <mergeCell ref="M67:N67"/>
    <mergeCell ref="C82:D82"/>
    <mergeCell ref="C84:D8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2021-06-22T21:33:17Z</dcterms:created>
  <dcterms:modified xsi:type="dcterms:W3CDTF">2021-06-23T18:59:52Z</dcterms:modified>
</cp:coreProperties>
</file>