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raya\Downloads\Admin Finan\Parcial 3\"/>
    </mc:Choice>
  </mc:AlternateContent>
  <xr:revisionPtr revIDLastSave="0" documentId="13_ncr:1_{28250B5F-488D-4348-8829-73F440AF83C1}" xr6:coauthVersionLast="47" xr6:coauthVersionMax="47" xr10:uidLastSave="{00000000-0000-0000-0000-000000000000}"/>
  <bookViews>
    <workbookView xWindow="-120" yWindow="-120" windowWidth="29040" windowHeight="15840" activeTab="1" xr2:uid="{337435AD-6681-4333-8C40-496B430B5181}"/>
  </bookViews>
  <sheets>
    <sheet name="Parte 1" sheetId="1" r:id="rId1"/>
    <sheet name="Parte 2"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2" l="1"/>
  <c r="B52" i="2"/>
  <c r="N113" i="2" l="1"/>
  <c r="N111" i="2"/>
  <c r="N107" i="2"/>
  <c r="N106" i="2"/>
  <c r="N105" i="2"/>
  <c r="N104" i="2"/>
  <c r="N99" i="2"/>
  <c r="N97" i="2"/>
  <c r="N98" i="2"/>
  <c r="J93" i="2"/>
  <c r="J94" i="2"/>
  <c r="J95" i="2"/>
  <c r="J96" i="2"/>
  <c r="J97" i="2"/>
  <c r="J98" i="2"/>
  <c r="J99" i="2"/>
  <c r="J100" i="2"/>
  <c r="J103" i="2"/>
  <c r="J104" i="2"/>
  <c r="J92" i="2"/>
  <c r="H101" i="2"/>
  <c r="B118" i="2"/>
  <c r="E95" i="2"/>
  <c r="N95" i="2" s="1"/>
  <c r="E97" i="2"/>
  <c r="E92" i="2"/>
  <c r="H95" i="2"/>
  <c r="H98" i="2" s="1"/>
  <c r="C96" i="2"/>
  <c r="H102" i="2"/>
  <c r="N108" i="2" l="1"/>
  <c r="H105" i="2"/>
  <c r="B53" i="2" l="1"/>
  <c r="B55" i="2" l="1"/>
  <c r="H58" i="2" l="1"/>
  <c r="H53" i="2"/>
  <c r="E24" i="2"/>
  <c r="B18" i="2"/>
  <c r="B109" i="2" s="1"/>
  <c r="C108" i="2" s="1"/>
  <c r="D108" i="2" s="1"/>
  <c r="E108" i="2" s="1"/>
  <c r="I46" i="2"/>
  <c r="I43" i="2"/>
  <c r="I45" i="2" s="1"/>
  <c r="H45" i="2"/>
  <c r="H46" i="2" l="1"/>
  <c r="J28" i="2" l="1"/>
  <c r="J29" i="2" s="1"/>
  <c r="H34" i="2" l="1"/>
  <c r="J30" i="2"/>
  <c r="H2" i="2"/>
  <c r="H6" i="2" l="1"/>
  <c r="I22" i="2" s="1"/>
  <c r="H11" i="2"/>
  <c r="I11" i="2"/>
  <c r="I14" i="2"/>
  <c r="I23" i="2"/>
  <c r="I15" i="2"/>
  <c r="I20" i="2"/>
  <c r="I12" i="2"/>
  <c r="J12" i="2"/>
  <c r="M12" i="2" s="1"/>
  <c r="I13" i="2" l="1"/>
  <c r="I17" i="2"/>
  <c r="I16" i="2"/>
  <c r="I21" i="2"/>
  <c r="I19" i="2"/>
  <c r="I18" i="2"/>
  <c r="K12" i="2"/>
  <c r="L12" i="2" l="1"/>
  <c r="H13" i="2" s="1"/>
  <c r="J13" i="2" l="1"/>
  <c r="M13" i="2" l="1"/>
  <c r="K13" i="2"/>
  <c r="L13" i="2" l="1"/>
  <c r="H14" i="2" s="1"/>
  <c r="J14" i="2" l="1"/>
  <c r="K14" i="2" l="1"/>
  <c r="M14" i="2"/>
  <c r="E32" i="2"/>
  <c r="I94" i="2" s="1"/>
  <c r="I95" i="2" s="1"/>
  <c r="I98" i="2" s="1"/>
  <c r="A32" i="2"/>
  <c r="L14" i="2" l="1"/>
  <c r="H15" i="2" s="1"/>
  <c r="B8" i="2"/>
  <c r="C8" i="2" s="1"/>
  <c r="E15" i="2" s="1"/>
  <c r="B7" i="2"/>
  <c r="C7" i="2" s="1"/>
  <c r="B15" i="2" s="1"/>
  <c r="B6" i="2"/>
  <c r="C6" i="2" s="1"/>
  <c r="E12" i="2" s="1"/>
  <c r="B5" i="2"/>
  <c r="C5" i="2" s="1"/>
  <c r="D17" i="1"/>
  <c r="D16" i="1"/>
  <c r="D15" i="1"/>
  <c r="E12" i="1"/>
  <c r="B15" i="1"/>
  <c r="B16" i="1"/>
  <c r="B17" i="1"/>
  <c r="B12" i="1"/>
  <c r="P15" i="1"/>
  <c r="P14" i="1"/>
  <c r="P13" i="1"/>
  <c r="P11" i="1"/>
  <c r="P10" i="1"/>
  <c r="P8" i="1"/>
  <c r="P7" i="1"/>
  <c r="P6" i="1"/>
  <c r="P5" i="1"/>
  <c r="R13" i="1"/>
  <c r="R6" i="1"/>
  <c r="R7" i="1"/>
  <c r="R8" i="1"/>
  <c r="R10" i="1"/>
  <c r="R11" i="1"/>
  <c r="R14" i="1"/>
  <c r="R15" i="1"/>
  <c r="R18" i="1"/>
  <c r="R5" i="1"/>
  <c r="L11" i="1"/>
  <c r="L6" i="1"/>
  <c r="L7" i="1"/>
  <c r="L8" i="1"/>
  <c r="L12" i="1"/>
  <c r="L13" i="1"/>
  <c r="L14" i="1"/>
  <c r="L15" i="1"/>
  <c r="L17" i="1"/>
  <c r="L5" i="1"/>
  <c r="C8" i="1"/>
  <c r="C7" i="1"/>
  <c r="C6" i="1"/>
  <c r="C5" i="1"/>
  <c r="E5" i="1"/>
  <c r="E6" i="1"/>
  <c r="E7" i="1"/>
  <c r="E8" i="1"/>
  <c r="E4" i="1"/>
  <c r="D21" i="2" l="1"/>
  <c r="B103" i="2"/>
  <c r="C102" i="2" s="1"/>
  <c r="D102" i="2" s="1"/>
  <c r="E102" i="2" s="1"/>
  <c r="D22" i="2"/>
  <c r="B105" i="2"/>
  <c r="C104" i="2" s="1"/>
  <c r="D104" i="2" s="1"/>
  <c r="E104" i="2" s="1"/>
  <c r="D20" i="2"/>
  <c r="B101" i="2"/>
  <c r="C100" i="2" s="1"/>
  <c r="D100" i="2" s="1"/>
  <c r="E100" i="2" s="1"/>
  <c r="J15" i="2"/>
  <c r="D23" i="2"/>
  <c r="C9" i="2"/>
  <c r="N92" i="2" s="1"/>
  <c r="B12" i="2"/>
  <c r="D19" i="2" l="1"/>
  <c r="D24" i="2" s="1"/>
  <c r="B99" i="2"/>
  <c r="C98" i="2" s="1"/>
  <c r="K15" i="2"/>
  <c r="M15" i="2"/>
  <c r="Q15" i="1"/>
  <c r="O15" i="1"/>
  <c r="K15" i="1"/>
  <c r="I15" i="1"/>
  <c r="K9" i="1"/>
  <c r="I9" i="1"/>
  <c r="Q8" i="1"/>
  <c r="Q11" i="1" s="1"/>
  <c r="O8" i="1"/>
  <c r="O11" i="1" s="1"/>
  <c r="D6" i="1"/>
  <c r="D8" i="1" s="1"/>
  <c r="B6" i="1"/>
  <c r="D98" i="2" l="1"/>
  <c r="C106" i="2"/>
  <c r="C110" i="2" s="1"/>
  <c r="D25" i="2"/>
  <c r="B119" i="2"/>
  <c r="B120" i="2"/>
  <c r="I18" i="1"/>
  <c r="B13" i="1"/>
  <c r="E13" i="1" s="1"/>
  <c r="L9" i="1"/>
  <c r="L15" i="2"/>
  <c r="H16" i="2" s="1"/>
  <c r="K18" i="1"/>
  <c r="B8" i="1"/>
  <c r="Q18" i="1"/>
  <c r="O18" i="1"/>
  <c r="C119" i="2" l="1"/>
  <c r="D119" i="2" s="1"/>
  <c r="D106" i="2"/>
  <c r="E106" i="2" s="1"/>
  <c r="E98" i="2"/>
  <c r="J9" i="1"/>
  <c r="L18" i="1"/>
  <c r="J8" i="1"/>
  <c r="J17" i="1"/>
  <c r="J7" i="1"/>
  <c r="J11" i="1"/>
  <c r="J15" i="1"/>
  <c r="J6" i="1"/>
  <c r="J14" i="1"/>
  <c r="J5" i="1"/>
  <c r="J12" i="1"/>
  <c r="J13" i="1"/>
  <c r="B14" i="1"/>
  <c r="D14" i="1" s="1"/>
  <c r="J16" i="2"/>
  <c r="B57" i="2" l="1"/>
  <c r="B68" i="2"/>
  <c r="K16" i="2"/>
  <c r="M16" i="2"/>
  <c r="B59" i="2" l="1"/>
  <c r="B61" i="2" s="1"/>
  <c r="B66" i="2" s="1"/>
  <c r="B65" i="2"/>
  <c r="L16" i="2"/>
  <c r="H17" i="2" s="1"/>
  <c r="B72" i="2" l="1"/>
  <c r="B77" i="2" s="1"/>
  <c r="B67" i="2"/>
  <c r="B69" i="2" s="1"/>
  <c r="J17" i="2"/>
  <c r="A43" i="2" l="1"/>
  <c r="A44" i="2" s="1"/>
  <c r="D93" i="2" s="1"/>
  <c r="E93" i="2" s="1"/>
  <c r="E76" i="2"/>
  <c r="B78" i="2"/>
  <c r="C116" i="2" s="1"/>
  <c r="K17" i="2"/>
  <c r="L17" i="2" s="1"/>
  <c r="H18" i="2" s="1"/>
  <c r="M17" i="2"/>
  <c r="D77" i="2" l="1"/>
  <c r="D94" i="2" s="1"/>
  <c r="A82" i="2"/>
  <c r="A83" i="2" s="1"/>
  <c r="C117" i="2" s="1"/>
  <c r="D117" i="2" s="1"/>
  <c r="D116" i="2"/>
  <c r="J18" i="2"/>
  <c r="K18" i="2" s="1"/>
  <c r="L18" i="2" s="1"/>
  <c r="H19" i="2" s="1"/>
  <c r="C118" i="2" l="1"/>
  <c r="C120" i="2" s="1"/>
  <c r="I101" i="2" s="1"/>
  <c r="D118" i="2"/>
  <c r="D96" i="2"/>
  <c r="E94" i="2"/>
  <c r="N94" i="2" s="1"/>
  <c r="J19" i="2"/>
  <c r="K19" i="2" s="1"/>
  <c r="L19" i="2" s="1"/>
  <c r="H20" i="2" s="1"/>
  <c r="M18" i="2"/>
  <c r="M19" i="2" s="1"/>
  <c r="I102" i="2" l="1"/>
  <c r="J101" i="2"/>
  <c r="N114" i="2" s="1"/>
  <c r="N115" i="2" s="1"/>
  <c r="D110" i="2"/>
  <c r="E110" i="2" s="1"/>
  <c r="E96" i="2"/>
  <c r="D120" i="2"/>
  <c r="N91" i="2"/>
  <c r="N100" i="2" s="1"/>
  <c r="J20" i="2"/>
  <c r="K20" i="2" s="1"/>
  <c r="L20" i="2" s="1"/>
  <c r="H21" i="2" s="1"/>
  <c r="N116" i="2" l="1"/>
  <c r="J102" i="2"/>
  <c r="I105" i="2"/>
  <c r="J105" i="2" s="1"/>
  <c r="J21" i="2"/>
  <c r="K21" i="2" s="1"/>
  <c r="L21" i="2" s="1"/>
  <c r="H22" i="2" s="1"/>
  <c r="M20" i="2"/>
  <c r="M21" i="2" s="1"/>
  <c r="J22" i="2" l="1"/>
  <c r="K22" i="2" s="1"/>
  <c r="L22" i="2" s="1"/>
  <c r="H23" i="2" s="1"/>
  <c r="J23" i="2" s="1"/>
  <c r="K23" i="2" s="1"/>
  <c r="K24" i="2" s="1"/>
  <c r="M22" i="2" l="1"/>
  <c r="M23" i="2"/>
</calcChain>
</file>

<file path=xl/sharedStrings.xml><?xml version="1.0" encoding="utf-8"?>
<sst xmlns="http://schemas.openxmlformats.org/spreadsheetml/2006/main" count="221" uniqueCount="138">
  <si>
    <t>Grupo Maseca SAB</t>
  </si>
  <si>
    <t>Estado de Resultados Comparativo</t>
  </si>
  <si>
    <t>Ventas</t>
  </si>
  <si>
    <t>Costo de ventas</t>
  </si>
  <si>
    <t>Utilidad Bruta</t>
  </si>
  <si>
    <t>Gastos de operación</t>
  </si>
  <si>
    <t>Utilidad Neta</t>
  </si>
  <si>
    <t xml:space="preserve">Balance General </t>
  </si>
  <si>
    <t>Activo</t>
  </si>
  <si>
    <t>Pasivo</t>
  </si>
  <si>
    <t>Circulante</t>
  </si>
  <si>
    <t xml:space="preserve">Efectivo </t>
  </si>
  <si>
    <t>Proveedores</t>
  </si>
  <si>
    <t>Bancos</t>
  </si>
  <si>
    <t>Acreedores</t>
  </si>
  <si>
    <t>Inventario</t>
  </si>
  <si>
    <t>Documentos por pagar</t>
  </si>
  <si>
    <t>Cuentas por cobrar</t>
  </si>
  <si>
    <t>Suma</t>
  </si>
  <si>
    <t>Fijo</t>
  </si>
  <si>
    <t>Inmuebles</t>
  </si>
  <si>
    <t>Suma de Pasivo</t>
  </si>
  <si>
    <t>Mobiliario</t>
  </si>
  <si>
    <t>Capital</t>
  </si>
  <si>
    <t>Equipo de Reparto</t>
  </si>
  <si>
    <t>Capital Social</t>
  </si>
  <si>
    <t>Equipo de cómputo</t>
  </si>
  <si>
    <t>Suma de Capital</t>
  </si>
  <si>
    <t>Diferido</t>
  </si>
  <si>
    <t>Gastos de instalación</t>
  </si>
  <si>
    <t>Y Capital</t>
  </si>
  <si>
    <t>Suma de Activo</t>
  </si>
  <si>
    <t xml:space="preserve">Fenomenos </t>
  </si>
  <si>
    <t xml:space="preserve">Razones </t>
  </si>
  <si>
    <t>Diferencias</t>
  </si>
  <si>
    <t>economicos</t>
  </si>
  <si>
    <t>Financieras (RF)</t>
  </si>
  <si>
    <t>Estandar (RE)</t>
  </si>
  <si>
    <t>+</t>
  </si>
  <si>
    <t>-</t>
  </si>
  <si>
    <t>Liquidez</t>
  </si>
  <si>
    <t>Solvencia</t>
  </si>
  <si>
    <t>Estabilidad economica</t>
  </si>
  <si>
    <t>Inmovilizacion de capital</t>
  </si>
  <si>
    <t>Rentabilidad en ventas</t>
  </si>
  <si>
    <t>Rentabilidad en Inversion</t>
  </si>
  <si>
    <t>Amortizacion</t>
  </si>
  <si>
    <t>Mobiliario Depreciacion</t>
  </si>
  <si>
    <t>E. Reparto Depreciacion</t>
  </si>
  <si>
    <t>E. computo Depreciacion</t>
  </si>
  <si>
    <t>Amortizacion gastos inst</t>
  </si>
  <si>
    <t>Gastos de Operación</t>
  </si>
  <si>
    <t>Nombre</t>
  </si>
  <si>
    <t>Precio</t>
  </si>
  <si>
    <t>Depreciacion</t>
  </si>
  <si>
    <t>Equipo de reparto</t>
  </si>
  <si>
    <t>Inmuebles Depreciacion</t>
  </si>
  <si>
    <t>No.</t>
  </si>
  <si>
    <t>Anualidad</t>
  </si>
  <si>
    <t>P</t>
  </si>
  <si>
    <t>Interes</t>
  </si>
  <si>
    <t>Tasa de interes (I) * Saldo insoluto</t>
  </si>
  <si>
    <t>I</t>
  </si>
  <si>
    <t>Pago a capital</t>
  </si>
  <si>
    <t>Anualidad -  Interes</t>
  </si>
  <si>
    <t>N</t>
  </si>
  <si>
    <t>Saldo final</t>
  </si>
  <si>
    <t>Saldo insoluto - Pago a capital</t>
  </si>
  <si>
    <t>A</t>
  </si>
  <si>
    <t>Tabla de anualidades o amortización de pasivos</t>
  </si>
  <si>
    <t>Saldo insoluto</t>
  </si>
  <si>
    <t>Intereses acumulados</t>
  </si>
  <si>
    <t>Vidad util</t>
  </si>
  <si>
    <t>Inversion inicial</t>
  </si>
  <si>
    <t>Flujos esperados</t>
  </si>
  <si>
    <t>PR</t>
  </si>
  <si>
    <t>2 años y 5 meses</t>
  </si>
  <si>
    <t>Inversion</t>
  </si>
  <si>
    <t>Capital social</t>
  </si>
  <si>
    <t>Pasivos (monto + interes)</t>
  </si>
  <si>
    <t>Rendimiento</t>
  </si>
  <si>
    <t>Valor futuro</t>
  </si>
  <si>
    <t>ROI</t>
  </si>
  <si>
    <t>Opcion 1</t>
  </si>
  <si>
    <t>Opcion 2</t>
  </si>
  <si>
    <t>La opcion 1 produce más rendimiento</t>
  </si>
  <si>
    <t>Operación 7</t>
  </si>
  <si>
    <t>Operación 6</t>
  </si>
  <si>
    <t>Operación  5</t>
  </si>
  <si>
    <t xml:space="preserve">Abono en Gastos de operación </t>
  </si>
  <si>
    <t>Por el rendimiento de la opcion 1</t>
  </si>
  <si>
    <t>Inicio</t>
  </si>
  <si>
    <t>1 trimestre</t>
  </si>
  <si>
    <t>3 trimestre</t>
  </si>
  <si>
    <t>4 trimestre</t>
  </si>
  <si>
    <t>2 trimestre</t>
  </si>
  <si>
    <t>TIR</t>
  </si>
  <si>
    <t>Operación 8</t>
  </si>
  <si>
    <t>Opcion 9</t>
  </si>
  <si>
    <t>Costos fijos totales</t>
  </si>
  <si>
    <t>Gastos de operacion</t>
  </si>
  <si>
    <t>Costo variable por unidad</t>
  </si>
  <si>
    <t>precio de venta * costo de ventas</t>
  </si>
  <si>
    <t>Precio de venta</t>
  </si>
  <si>
    <t>Margen de utilidad</t>
  </si>
  <si>
    <t>PEU (ventas)</t>
  </si>
  <si>
    <t>Minimo de ventas</t>
  </si>
  <si>
    <t>Numero de unidades</t>
  </si>
  <si>
    <t>Ventas / Precio de ventas</t>
  </si>
  <si>
    <t>Costo variable total</t>
  </si>
  <si>
    <t>No de unidades*Costo variable unitario</t>
  </si>
  <si>
    <t>MARINELA SAB</t>
  </si>
  <si>
    <t>Estado de Resultados (PEU)</t>
  </si>
  <si>
    <t>Ventas netas</t>
  </si>
  <si>
    <t>Utilidad bruta</t>
  </si>
  <si>
    <t>Utilidad neta</t>
  </si>
  <si>
    <t>Aumento de ventas</t>
  </si>
  <si>
    <t>Capital social * 0.35</t>
  </si>
  <si>
    <t>Almacen</t>
  </si>
  <si>
    <t>proforma</t>
  </si>
  <si>
    <t>Estado de resultados</t>
  </si>
  <si>
    <t>Esto de flujo de efectivo al 17 de junio del 2021</t>
  </si>
  <si>
    <t>Actividades de Operación</t>
  </si>
  <si>
    <t>Utilidad neta (ultimo periodo)</t>
  </si>
  <si>
    <t>suma de depreciacion</t>
  </si>
  <si>
    <t>Diferencias en el activo (+)-</t>
  </si>
  <si>
    <t>Diferencias en el pasivo (-)+</t>
  </si>
  <si>
    <t>Efectivo proveniente de las operaciones</t>
  </si>
  <si>
    <t>Actividades de inversión</t>
  </si>
  <si>
    <t>Variacion en el activo fijo (+)-</t>
  </si>
  <si>
    <t>Efectivo por actividades de inversion</t>
  </si>
  <si>
    <t>Actividades de financiamiento</t>
  </si>
  <si>
    <t>Variacion del pasivo de largo plazo +(-)</t>
  </si>
  <si>
    <t>Variacion de capital +(-)</t>
  </si>
  <si>
    <t>Efectivo proveniente de financiamiento</t>
  </si>
  <si>
    <t>Flujo de efectivo neto</t>
  </si>
  <si>
    <t>Grupo maseca SAB</t>
  </si>
  <si>
    <t>Diferencia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</si>
</sst>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0.0000%"/>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bgColor indexed="64"/>
      </patternFill>
    </fill>
    <fill>
      <patternFill patternType="solid">
        <fgColor theme="8" tint="0.39997558519241921"/>
        <bgColor indexed="64"/>
      </patternFill>
    </fill>
  </fills>
  <borders count="1">
    <border>
      <left/>
      <right/>
      <top/>
      <bottom/>
      <diagonal/>
    </border>
  </borders>
  <cellStyleXfs count="5">
    <xf numFmtId="0" fontId="0" fillId="0" borderId="0"/>
    <xf numFmtId="44"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4">
    <xf numFmtId="0" fontId="0" fillId="0" borderId="0" xfId="0"/>
    <xf numFmtId="44" fontId="0" fillId="0" borderId="0" xfId="0" applyNumberFormat="1"/>
    <xf numFmtId="44" fontId="0" fillId="0" borderId="0" xfId="1" applyFont="1"/>
    <xf numFmtId="9" fontId="0" fillId="0" borderId="0" xfId="0" applyNumberFormat="1"/>
    <xf numFmtId="44" fontId="0" fillId="5" borderId="0" xfId="0" applyNumberFormat="1" applyFill="1"/>
    <xf numFmtId="10" fontId="0" fillId="0" borderId="0" xfId="0" applyNumberFormat="1"/>
    <xf numFmtId="0" fontId="0" fillId="6" borderId="0" xfId="0" applyFill="1"/>
    <xf numFmtId="0" fontId="0" fillId="6" borderId="0" xfId="0" applyFill="1" applyAlignment="1">
      <alignment horizontal="center"/>
    </xf>
    <xf numFmtId="0" fontId="0" fillId="7" borderId="0" xfId="0" applyFill="1"/>
    <xf numFmtId="2" fontId="0" fillId="0" borderId="0" xfId="0" applyNumberFormat="1"/>
    <xf numFmtId="2" fontId="2" fillId="2" borderId="0" xfId="2" applyNumberFormat="1"/>
    <xf numFmtId="2" fontId="4" fillId="4" borderId="0" xfId="4" applyNumberFormat="1"/>
    <xf numFmtId="2" fontId="3" fillId="3" borderId="0" xfId="3" applyNumberFormat="1"/>
    <xf numFmtId="0" fontId="4" fillId="4" borderId="0" xfId="4"/>
    <xf numFmtId="44" fontId="0" fillId="9" borderId="0" xfId="1" applyFont="1" applyFill="1"/>
    <xf numFmtId="0" fontId="0" fillId="0" borderId="0" xfId="0" applyFill="1"/>
    <xf numFmtId="0" fontId="0" fillId="0" borderId="0" xfId="0" applyAlignment="1"/>
    <xf numFmtId="3" fontId="0" fillId="0" borderId="0" xfId="0" applyNumberFormat="1"/>
    <xf numFmtId="44" fontId="0" fillId="9" borderId="0" xfId="0" applyNumberFormat="1" applyFill="1"/>
    <xf numFmtId="0" fontId="0" fillId="11" borderId="0" xfId="0" applyFill="1"/>
    <xf numFmtId="0" fontId="0" fillId="12" borderId="0" xfId="0" applyFill="1"/>
    <xf numFmtId="0" fontId="0" fillId="13" borderId="0" xfId="0" applyFill="1"/>
    <xf numFmtId="0" fontId="0" fillId="14" borderId="0" xfId="0" applyFill="1"/>
    <xf numFmtId="44" fontId="0" fillId="14" borderId="0" xfId="1" applyFont="1" applyFill="1"/>
    <xf numFmtId="2" fontId="0" fillId="0" borderId="0" xfId="1" applyNumberFormat="1" applyFont="1" applyAlignment="1"/>
    <xf numFmtId="2" fontId="0" fillId="0" borderId="0" xfId="1" applyNumberFormat="1" applyFont="1"/>
    <xf numFmtId="9" fontId="2" fillId="2" borderId="0" xfId="2" applyNumberFormat="1"/>
    <xf numFmtId="44" fontId="0" fillId="11" borderId="0" xfId="0" applyNumberFormat="1" applyFill="1"/>
    <xf numFmtId="44" fontId="0" fillId="7" borderId="0" xfId="0" applyNumberFormat="1" applyFill="1"/>
    <xf numFmtId="0" fontId="0" fillId="0" borderId="0" xfId="0" applyNumberFormat="1"/>
    <xf numFmtId="0" fontId="0" fillId="0" borderId="0" xfId="1" applyNumberFormat="1" applyFont="1"/>
    <xf numFmtId="0" fontId="0" fillId="15" borderId="0" xfId="0" applyFill="1"/>
    <xf numFmtId="44" fontId="0" fillId="16" borderId="0" xfId="1" applyFont="1" applyFill="1"/>
    <xf numFmtId="0" fontId="0" fillId="9" borderId="0" xfId="0" applyFill="1"/>
    <xf numFmtId="0" fontId="0" fillId="0" borderId="0" xfId="0" applyFill="1" applyAlignment="1"/>
    <xf numFmtId="44" fontId="0" fillId="15" borderId="0" xfId="1" applyFont="1" applyFill="1"/>
    <xf numFmtId="164" fontId="0" fillId="0" borderId="0" xfId="0" applyNumberFormat="1"/>
    <xf numFmtId="0" fontId="0" fillId="18" borderId="0" xfId="0" applyFill="1"/>
    <xf numFmtId="44" fontId="0" fillId="18" borderId="0" xfId="1" applyFont="1" applyFill="1"/>
    <xf numFmtId="44" fontId="0" fillId="14" borderId="0" xfId="0" applyNumberFormat="1" applyFill="1"/>
    <xf numFmtId="44" fontId="0" fillId="6" borderId="0" xfId="0" applyNumberFormat="1" applyFill="1"/>
    <xf numFmtId="44" fontId="0" fillId="18" borderId="0" xfId="0" applyNumberFormat="1" applyFill="1"/>
    <xf numFmtId="165" fontId="0" fillId="0" borderId="0" xfId="0" applyNumberFormat="1"/>
    <xf numFmtId="164" fontId="0" fillId="0" borderId="0" xfId="1" applyNumberFormat="1" applyFont="1"/>
    <xf numFmtId="0" fontId="4" fillId="4" borderId="0" xfId="4" applyAlignment="1">
      <alignment horizontal="center"/>
    </xf>
    <xf numFmtId="0" fontId="0" fillId="6" borderId="0" xfId="0" applyFill="1" applyAlignment="1">
      <alignment horizontal="center"/>
    </xf>
    <xf numFmtId="0" fontId="0" fillId="8" borderId="0" xfId="0" applyFill="1" applyAlignment="1">
      <alignment horizontal="center"/>
    </xf>
    <xf numFmtId="0" fontId="0" fillId="10" borderId="0" xfId="0" applyFill="1" applyAlignment="1">
      <alignment horizontal="center"/>
    </xf>
    <xf numFmtId="0" fontId="0" fillId="0" borderId="0" xfId="0" applyAlignment="1">
      <alignment horizontal="center"/>
    </xf>
    <xf numFmtId="0" fontId="2" fillId="2" borderId="0" xfId="2" applyAlignment="1">
      <alignment horizontal="center"/>
    </xf>
    <xf numFmtId="0" fontId="4" fillId="4" borderId="0" xfId="4" applyBorder="1" applyAlignment="1">
      <alignment horizontal="center"/>
    </xf>
    <xf numFmtId="0" fontId="0" fillId="11" borderId="0" xfId="0" applyFill="1" applyAlignment="1">
      <alignment horizontal="center"/>
    </xf>
    <xf numFmtId="0" fontId="0" fillId="15" borderId="0" xfId="0" applyFill="1" applyAlignment="1">
      <alignment horizontal="center"/>
    </xf>
    <xf numFmtId="0" fontId="0" fillId="17" borderId="0" xfId="0" applyFill="1" applyAlignment="1">
      <alignment horizontal="center"/>
    </xf>
  </cellXfs>
  <cellStyles count="5">
    <cellStyle name="Bueno" xfId="2" builtinId="26"/>
    <cellStyle name="Incorrecto" xfId="3" builtinId="27"/>
    <cellStyle name="Moneda" xfId="1" builtinId="4"/>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19</xdr:row>
      <xdr:rowOff>19050</xdr:rowOff>
    </xdr:from>
    <xdr:to>
      <xdr:col>7</xdr:col>
      <xdr:colOff>981075</xdr:colOff>
      <xdr:row>58</xdr:row>
      <xdr:rowOff>9525</xdr:rowOff>
    </xdr:to>
    <xdr:sp macro="" textlink="">
      <xdr:nvSpPr>
        <xdr:cNvPr id="2" name="CuadroTexto 1">
          <a:extLst>
            <a:ext uri="{FF2B5EF4-FFF2-40B4-BE49-F238E27FC236}">
              <a16:creationId xmlns:a16="http://schemas.microsoft.com/office/drawing/2014/main" id="{C98D5A3A-3BC4-43A0-A8F2-D72DDEC88299}"/>
            </a:ext>
          </a:extLst>
        </xdr:cNvPr>
        <xdr:cNvSpPr txBox="1"/>
      </xdr:nvSpPr>
      <xdr:spPr>
        <a:xfrm>
          <a:off x="0" y="3638550"/>
          <a:ext cx="8372475" cy="741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solidFill>
                <a:srgbClr val="C00000"/>
              </a:solidFill>
            </a:rPr>
            <a:t>Para el Estado de resultados:</a:t>
          </a:r>
        </a:p>
        <a:p>
          <a:r>
            <a:rPr lang="es-MX" sz="1100"/>
            <a:t>Podemos notar que las ventas se incrementaron bastante</a:t>
          </a:r>
          <a:r>
            <a:rPr lang="es-MX" sz="1100" baseline="0"/>
            <a:t> con respecto al año anterior es por esto que el costo de ventas aumento tambien los gastos de operacion se incrementaron, en general la utilidad neta se incremento bastante.</a:t>
          </a:r>
        </a:p>
        <a:p>
          <a:endParaRPr lang="es-MX" sz="1100" baseline="0"/>
        </a:p>
        <a:p>
          <a:r>
            <a:rPr lang="es-MX" sz="1100" baseline="0">
              <a:solidFill>
                <a:srgbClr val="C00000"/>
              </a:solidFill>
            </a:rPr>
            <a:t>Para el Balance General:</a:t>
          </a:r>
        </a:p>
        <a:p>
          <a:r>
            <a:rPr lang="es-MX" sz="1100" baseline="0">
              <a:solidFill>
                <a:srgbClr val="00B0F0"/>
              </a:solidFill>
            </a:rPr>
            <a:t>Activo:</a:t>
          </a:r>
        </a:p>
        <a:p>
          <a:r>
            <a:rPr lang="es-MX" sz="1100" baseline="0">
              <a:solidFill>
                <a:srgbClr val="00B050"/>
              </a:solidFill>
            </a:rPr>
            <a:t>Circulante</a:t>
          </a:r>
          <a:r>
            <a:rPr lang="es-MX" sz="1100" baseline="0"/>
            <a:t>: Si observamos las cuentas de Efectivo y Bancos tenemos que tuvieron un pequeño incremento con respecto al año anterior al igual que las cuentas de inventarios y Cuentas por cobrar, por lo tanto el incremento en el circulante es bastante pequeño.</a:t>
          </a:r>
        </a:p>
        <a:p>
          <a:r>
            <a:rPr lang="es-MX" sz="1100" baseline="0">
              <a:solidFill>
                <a:srgbClr val="00B050"/>
              </a:solidFill>
            </a:rPr>
            <a:t>Fijo</a:t>
          </a:r>
          <a:r>
            <a:rPr lang="es-MX" sz="1100" baseline="0"/>
            <a:t>: Si observamos la cuenta de inmuebles podemos notar que se incremento bastante es un punto muy importante por el contrario las otras cuentas en Activo fijo no se incrementaron considerablemente pero si se incrementaron, en general notamos un gran incremento en el activo fijo.</a:t>
          </a:r>
        </a:p>
        <a:p>
          <a:r>
            <a:rPr lang="es-MX" sz="1100" baseline="0">
              <a:solidFill>
                <a:srgbClr val="00B050"/>
              </a:solidFill>
            </a:rPr>
            <a:t>Diferido: </a:t>
          </a:r>
          <a:r>
            <a:rPr lang="es-MX" sz="1100" baseline="0"/>
            <a:t>Podemos observar que Gastos de instalacion se incremento.</a:t>
          </a:r>
        </a:p>
        <a:p>
          <a:endParaRPr lang="es-MX" sz="1100" baseline="0"/>
        </a:p>
        <a:p>
          <a:r>
            <a:rPr lang="es-MX" sz="1100" baseline="0"/>
            <a:t>En general podemos observar un incremento enorme en el Activo principalmente en el Activo Fijo</a:t>
          </a:r>
        </a:p>
        <a:p>
          <a:endParaRPr lang="es-MX" sz="1100" baseline="0"/>
        </a:p>
        <a:p>
          <a:r>
            <a:rPr lang="es-MX" sz="1100">
              <a:solidFill>
                <a:srgbClr val="00B0F0"/>
              </a:solidFill>
            </a:rPr>
            <a:t>Pasivo: </a:t>
          </a:r>
        </a:p>
        <a:p>
          <a:r>
            <a:rPr lang="es-MX" sz="1100">
              <a:solidFill>
                <a:srgbClr val="00B050"/>
              </a:solidFill>
            </a:rPr>
            <a:t>Circulante:</a:t>
          </a:r>
        </a:p>
        <a:p>
          <a:r>
            <a:rPr lang="es-MX" sz="1100"/>
            <a:t>Si observamos la</a:t>
          </a:r>
          <a:r>
            <a:rPr lang="es-MX" sz="1100" baseline="0"/>
            <a:t> cuenta de Proveedores se incremento pero no considerablemente por otro lado las cuentas de Acreedores y Documentos por pagar se decrementaron, entonces el pasivo circulante se redujo pero no considerablemente.</a:t>
          </a:r>
          <a:endParaRPr lang="es-MX" sz="1100"/>
        </a:p>
        <a:p>
          <a:r>
            <a:rPr lang="es-MX" sz="1100">
              <a:solidFill>
                <a:srgbClr val="00B050"/>
              </a:solidFill>
            </a:rPr>
            <a:t>Fijo:</a:t>
          </a:r>
        </a:p>
        <a:p>
          <a:r>
            <a:rPr lang="es-MX" sz="1100"/>
            <a:t>Observando la cuenta de Documentos</a:t>
          </a:r>
          <a:r>
            <a:rPr lang="es-MX" sz="1100" baseline="0"/>
            <a:t> por pagar observamos que se incremento pero no en gran medida.</a:t>
          </a:r>
          <a:endParaRPr lang="es-MX" sz="1100"/>
        </a:p>
        <a:p>
          <a:endParaRPr lang="es-MX" sz="1100"/>
        </a:p>
        <a:p>
          <a:r>
            <a:rPr lang="es-MX" sz="1100"/>
            <a:t>En general el Pasivo disminuyo</a:t>
          </a:r>
          <a:r>
            <a:rPr lang="es-MX" sz="1100" baseline="0"/>
            <a:t> solo una pequeña pare.</a:t>
          </a:r>
          <a:endParaRPr lang="es-MX" sz="1100"/>
        </a:p>
        <a:p>
          <a:endParaRPr lang="es-MX" sz="1100"/>
        </a:p>
        <a:p>
          <a:r>
            <a:rPr lang="es-MX" sz="1100">
              <a:solidFill>
                <a:srgbClr val="00B0F0"/>
              </a:solidFill>
            </a:rPr>
            <a:t>Capital:</a:t>
          </a:r>
        </a:p>
        <a:p>
          <a:r>
            <a:rPr lang="es-MX" sz="1100"/>
            <a:t>Observamos un punto muy importante el capital social se incremento bastante,</a:t>
          </a:r>
          <a:r>
            <a:rPr lang="es-MX" sz="1100" baseline="0"/>
            <a:t> los socios aportaron en una gran medida (Observe activo fijo).</a:t>
          </a:r>
          <a:endParaRPr lang="es-MX" sz="1100"/>
        </a:p>
        <a:p>
          <a:endParaRPr lang="es-MX" sz="1100"/>
        </a:p>
        <a:p>
          <a:r>
            <a:rPr lang="es-MX" sz="1100"/>
            <a:t>En</a:t>
          </a:r>
          <a:r>
            <a:rPr lang="es-MX" sz="1100" baseline="0"/>
            <a:t> general en el capital se incremento tanto la utilidad  como el capital social, principalmente esta cuenta de capital social.</a:t>
          </a:r>
          <a:endParaRPr lang="es-MX" sz="1100"/>
        </a:p>
        <a:p>
          <a:endParaRPr lang="es-MX" sz="1100"/>
        </a:p>
        <a:p>
          <a:r>
            <a:rPr lang="es-MX" sz="1100">
              <a:solidFill>
                <a:srgbClr val="C00000"/>
              </a:solidFill>
            </a:rPr>
            <a:t>Fenomenos Economicos:</a:t>
          </a:r>
        </a:p>
        <a:p>
          <a:r>
            <a:rPr lang="es-MX" sz="1100"/>
            <a:t>De</a:t>
          </a:r>
          <a:r>
            <a:rPr lang="es-MX" sz="1100" baseline="0"/>
            <a:t> esta parte observamos que la empresa no tiene Liquidez y esta por debajo de la competencia, la empresa tiene Solvencia pero esta por debajo de la competencia pero no por mucho, observamos que tiene una buena estabilidad economica y es mejor a la competencia, tambien observmos que la Inmovilizacion de capital es un poco alta pero esta por debajo de la competencia lo cual no es malo, en cuanto a la Rentabilidad en ventas es buena y esta por encima de la competencia, por ultimo la Rentabilidad en inversion es muy buena claramente es mejor que la competencia y es mejor que cualquier instrumento bancario.</a:t>
          </a:r>
        </a:p>
        <a:p>
          <a:endParaRPr lang="es-MX" sz="1100" baseline="0"/>
        </a:p>
        <a:p>
          <a:r>
            <a:rPr lang="es-MX" sz="1100" baseline="0">
              <a:solidFill>
                <a:srgbClr val="C00000"/>
              </a:solidFill>
            </a:rPr>
            <a:t>Opinion: </a:t>
          </a:r>
          <a:r>
            <a:rPr lang="es-MX" sz="1100" baseline="0">
              <a:solidFill>
                <a:sysClr val="windowText" lastClr="000000"/>
              </a:solidFill>
            </a:rPr>
            <a:t>La empresa esta en una situacion buena aunque no tiene Liquidez algo que deberia mejorar, del Balance general observe un gran incremento en el Activo fijo esto claramente esta relacionado con el incremento del capital social, podemos observar que el inventario es bastante amplio, entonces la empresa tal vez requeria de mas inmuebles para poder trabajar con este inventario de estamanera poner a trabajar los recursos de la empresa.</a:t>
          </a:r>
          <a:endParaRPr lang="es-MX" sz="1100">
            <a:solidFill>
              <a:srgbClr val="C00000"/>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984E-46DF-4FB2-BB30-57025245B679}">
  <dimension ref="A1:R18"/>
  <sheetViews>
    <sheetView topLeftCell="A73" workbookViewId="0">
      <selection activeCell="B15" sqref="B15"/>
    </sheetView>
  </sheetViews>
  <sheetFormatPr baseColWidth="10" defaultRowHeight="15" x14ac:dyDescent="0.25"/>
  <cols>
    <col min="1" max="1" width="24" customWidth="1"/>
    <col min="2" max="4" width="16.28515625" bestFit="1" customWidth="1"/>
    <col min="5" max="5" width="15.140625" bestFit="1" customWidth="1"/>
    <col min="7" max="7" width="11.42578125" customWidth="1"/>
    <col min="8" max="8" width="19.140625" customWidth="1"/>
    <col min="9" max="9" width="16.28515625" bestFit="1" customWidth="1"/>
    <col min="10" max="10" width="10.5703125" customWidth="1"/>
    <col min="11" max="12" width="16.28515625" bestFit="1" customWidth="1"/>
    <col min="13" max="13" width="11.5703125" customWidth="1"/>
    <col min="14" max="14" width="20.42578125" customWidth="1"/>
    <col min="15" max="15" width="16.28515625" bestFit="1" customWidth="1"/>
    <col min="16" max="16" width="10.5703125" customWidth="1"/>
    <col min="17" max="18" width="16.28515625" bestFit="1" customWidth="1"/>
  </cols>
  <sheetData>
    <row r="1" spans="1:18" x14ac:dyDescent="0.25">
      <c r="A1" s="44" t="s">
        <v>0</v>
      </c>
      <c r="B1" s="44"/>
      <c r="C1" s="44"/>
      <c r="D1" s="44"/>
      <c r="H1" s="44" t="s">
        <v>0</v>
      </c>
      <c r="I1" s="44"/>
      <c r="J1" s="44"/>
      <c r="K1" s="44"/>
      <c r="L1" s="44"/>
      <c r="M1" s="44"/>
      <c r="N1" s="44"/>
      <c r="O1" s="44"/>
      <c r="P1" s="44"/>
      <c r="Q1" s="44"/>
    </row>
    <row r="2" spans="1:18" x14ac:dyDescent="0.25">
      <c r="A2" s="44" t="s">
        <v>1</v>
      </c>
      <c r="B2" s="44"/>
      <c r="C2" s="44"/>
      <c r="D2" s="44"/>
      <c r="H2" s="44" t="s">
        <v>7</v>
      </c>
      <c r="I2" s="44"/>
      <c r="J2" s="44"/>
      <c r="K2" s="44"/>
      <c r="L2" s="44"/>
      <c r="M2" s="44"/>
      <c r="N2" s="44"/>
      <c r="O2" s="44"/>
      <c r="P2" s="44"/>
      <c r="Q2" s="44"/>
    </row>
    <row r="3" spans="1:18" x14ac:dyDescent="0.25">
      <c r="B3">
        <v>2020</v>
      </c>
      <c r="D3">
        <v>2019</v>
      </c>
      <c r="H3" t="s">
        <v>8</v>
      </c>
      <c r="I3">
        <v>2020</v>
      </c>
      <c r="K3">
        <v>2019</v>
      </c>
      <c r="N3" t="s">
        <v>9</v>
      </c>
      <c r="O3">
        <v>2020</v>
      </c>
      <c r="Q3">
        <v>2019</v>
      </c>
    </row>
    <row r="4" spans="1:18" x14ac:dyDescent="0.25">
      <c r="A4" t="s">
        <v>2</v>
      </c>
      <c r="B4" s="1">
        <v>219186000</v>
      </c>
      <c r="C4" s="3">
        <v>1</v>
      </c>
      <c r="D4" s="1">
        <v>187053000</v>
      </c>
      <c r="E4" s="4">
        <f>B4-D4</f>
        <v>32133000</v>
      </c>
      <c r="H4" t="s">
        <v>10</v>
      </c>
      <c r="N4" t="s">
        <v>10</v>
      </c>
    </row>
    <row r="5" spans="1:18" x14ac:dyDescent="0.25">
      <c r="A5" t="s">
        <v>3</v>
      </c>
      <c r="B5" s="2">
        <v>84192000</v>
      </c>
      <c r="C5" s="42">
        <f>(C4/B4)*B5</f>
        <v>0.38411212394952227</v>
      </c>
      <c r="D5" s="2">
        <v>71862000</v>
      </c>
      <c r="E5" s="4">
        <f t="shared" ref="E5:E8" si="0">B5-D5</f>
        <v>12330000</v>
      </c>
      <c r="H5" t="s">
        <v>11</v>
      </c>
      <c r="I5" s="1">
        <v>3825000</v>
      </c>
      <c r="J5" s="5">
        <f>(J18/I18)*I5</f>
        <v>1.5193403083962916E-2</v>
      </c>
      <c r="K5" s="1">
        <v>2572000</v>
      </c>
      <c r="L5" s="4">
        <f>I5-K5</f>
        <v>1253000</v>
      </c>
      <c r="N5" t="s">
        <v>12</v>
      </c>
      <c r="O5" s="1">
        <v>13146000</v>
      </c>
      <c r="P5" s="5">
        <f>(P18/O18)*O5</f>
        <v>5.2217641030529803E-2</v>
      </c>
      <c r="Q5" s="1">
        <v>11857000</v>
      </c>
      <c r="R5" s="4">
        <f>O5-Q5</f>
        <v>1289000</v>
      </c>
    </row>
    <row r="6" spans="1:18" x14ac:dyDescent="0.25">
      <c r="A6" t="s">
        <v>4</v>
      </c>
      <c r="B6" s="2">
        <f>B4-B5</f>
        <v>134994000</v>
      </c>
      <c r="C6" s="5">
        <f>(C4/B4)*B6</f>
        <v>0.61588787605047768</v>
      </c>
      <c r="D6" s="2">
        <f>D4-D5</f>
        <v>115191000</v>
      </c>
      <c r="E6" s="4">
        <f t="shared" si="0"/>
        <v>19803000</v>
      </c>
      <c r="H6" t="s">
        <v>13</v>
      </c>
      <c r="I6" s="1">
        <v>15509000</v>
      </c>
      <c r="J6" s="5">
        <f>(J18/I18)*I6</f>
        <v>6.1603787824622454E-2</v>
      </c>
      <c r="K6" s="1">
        <v>14978000</v>
      </c>
      <c r="L6" s="4">
        <f t="shared" ref="L6:L18" si="1">I6-K6</f>
        <v>531000</v>
      </c>
      <c r="N6" t="s">
        <v>14</v>
      </c>
      <c r="O6" s="1">
        <v>2845000</v>
      </c>
      <c r="P6" s="5">
        <f>(P18/O18)*O6</f>
        <v>1.1300714189248235E-2</v>
      </c>
      <c r="Q6" s="1">
        <v>3235000</v>
      </c>
      <c r="R6" s="4">
        <f t="shared" ref="R6:R18" si="2">O6-Q6</f>
        <v>-390000</v>
      </c>
    </row>
    <row r="7" spans="1:18" x14ac:dyDescent="0.25">
      <c r="A7" t="s">
        <v>5</v>
      </c>
      <c r="B7" s="2">
        <v>83077000</v>
      </c>
      <c r="C7" s="5">
        <f>(C4/B4)*B7</f>
        <v>0.3790251202175321</v>
      </c>
      <c r="D7" s="2">
        <v>78636000</v>
      </c>
      <c r="E7" s="4">
        <f t="shared" si="0"/>
        <v>4441000</v>
      </c>
      <c r="H7" t="s">
        <v>15</v>
      </c>
      <c r="I7" s="1">
        <v>29047000</v>
      </c>
      <c r="J7" s="5">
        <f>(J18/I18)*I7</f>
        <v>0.11537850441303812</v>
      </c>
      <c r="K7" s="1">
        <v>29028000</v>
      </c>
      <c r="L7" s="4">
        <f t="shared" si="1"/>
        <v>19000</v>
      </c>
      <c r="N7" t="s">
        <v>16</v>
      </c>
      <c r="O7" s="1">
        <v>10046000</v>
      </c>
      <c r="P7" s="5">
        <f>(P18/O18)*O7</f>
        <v>3.9904033302350705E-2</v>
      </c>
      <c r="Q7" s="1">
        <v>12432000</v>
      </c>
      <c r="R7" s="4">
        <f t="shared" si="2"/>
        <v>-2386000</v>
      </c>
    </row>
    <row r="8" spans="1:18" x14ac:dyDescent="0.25">
      <c r="A8" t="s">
        <v>6</v>
      </c>
      <c r="B8" s="2">
        <f>B6-B7</f>
        <v>51917000</v>
      </c>
      <c r="C8" s="5">
        <f>(C4/B4)*B8</f>
        <v>0.23686275583294553</v>
      </c>
      <c r="D8" s="2">
        <f>D6-D7</f>
        <v>36555000</v>
      </c>
      <c r="E8" s="4">
        <f t="shared" si="0"/>
        <v>15362000</v>
      </c>
      <c r="H8" t="s">
        <v>17</v>
      </c>
      <c r="I8" s="1">
        <v>5225000</v>
      </c>
      <c r="J8" s="5">
        <f>(J18/I18)*I8</f>
        <v>2.0754387219269605E-2</v>
      </c>
      <c r="K8" s="1">
        <v>4800000</v>
      </c>
      <c r="L8" s="4">
        <f t="shared" si="1"/>
        <v>425000</v>
      </c>
      <c r="N8" t="s">
        <v>18</v>
      </c>
      <c r="O8" s="1">
        <f>O5+O6+O7</f>
        <v>26037000</v>
      </c>
      <c r="P8" s="5">
        <f>(P18/O18)*O8</f>
        <v>0.10342238852212875</v>
      </c>
      <c r="Q8" s="1">
        <f>Q5+Q6+Q7</f>
        <v>27524000</v>
      </c>
      <c r="R8" s="4">
        <f t="shared" si="2"/>
        <v>-1487000</v>
      </c>
    </row>
    <row r="9" spans="1:18" x14ac:dyDescent="0.25">
      <c r="H9" t="s">
        <v>18</v>
      </c>
      <c r="I9" s="1">
        <f>SUM(I5:I8)</f>
        <v>53606000</v>
      </c>
      <c r="J9" s="5">
        <f>(J18/I18)*I9</f>
        <v>0.2129300825408931</v>
      </c>
      <c r="K9" s="1">
        <f>SUM(K5:K8)</f>
        <v>51378000</v>
      </c>
      <c r="L9" s="4">
        <f t="shared" si="1"/>
        <v>2228000</v>
      </c>
      <c r="N9" t="s">
        <v>19</v>
      </c>
      <c r="O9" s="1"/>
      <c r="Q9" s="1"/>
      <c r="R9" s="1"/>
    </row>
    <row r="10" spans="1:18" x14ac:dyDescent="0.25">
      <c r="A10" s="6" t="s">
        <v>32</v>
      </c>
      <c r="B10" s="6" t="s">
        <v>33</v>
      </c>
      <c r="C10" s="6" t="s">
        <v>33</v>
      </c>
      <c r="D10" s="45" t="s">
        <v>34</v>
      </c>
      <c r="E10" s="45"/>
      <c r="H10" t="s">
        <v>19</v>
      </c>
      <c r="I10" s="1"/>
      <c r="K10" s="1"/>
      <c r="L10" s="1"/>
      <c r="N10" t="s">
        <v>16</v>
      </c>
      <c r="O10" s="1">
        <v>8974000</v>
      </c>
      <c r="P10" s="5">
        <f>(P18/O18)*O10</f>
        <v>3.5645908307315871E-2</v>
      </c>
      <c r="Q10" s="1">
        <v>7523000</v>
      </c>
      <c r="R10" s="4">
        <f t="shared" si="2"/>
        <v>1451000</v>
      </c>
    </row>
    <row r="11" spans="1:18" x14ac:dyDescent="0.25">
      <c r="A11" s="6" t="s">
        <v>35</v>
      </c>
      <c r="B11" s="6" t="s">
        <v>36</v>
      </c>
      <c r="C11" s="6" t="s">
        <v>37</v>
      </c>
      <c r="D11" s="7" t="s">
        <v>38</v>
      </c>
      <c r="E11" s="7" t="s">
        <v>39</v>
      </c>
      <c r="H11" t="s">
        <v>20</v>
      </c>
      <c r="I11" s="1">
        <v>158073000</v>
      </c>
      <c r="J11" s="5">
        <f>(J18/I18)*I11</f>
        <v>0.627886746585953</v>
      </c>
      <c r="K11" s="1">
        <v>52475000</v>
      </c>
      <c r="L11" s="4">
        <f>I11-K11</f>
        <v>105598000</v>
      </c>
      <c r="N11" t="s">
        <v>21</v>
      </c>
      <c r="O11" s="1">
        <f>O8+O10</f>
        <v>35011000</v>
      </c>
      <c r="P11" s="5">
        <f>(P18/O18)*O11</f>
        <v>0.13906829682944463</v>
      </c>
      <c r="Q11" s="1">
        <f>Q8+Q10</f>
        <v>35047000</v>
      </c>
      <c r="R11" s="4">
        <f t="shared" si="2"/>
        <v>-36000</v>
      </c>
    </row>
    <row r="12" spans="1:18" x14ac:dyDescent="0.25">
      <c r="A12" s="8" t="s">
        <v>40</v>
      </c>
      <c r="B12" s="9">
        <f>(I5+I6)/O8</f>
        <v>0.74255866651303915</v>
      </c>
      <c r="C12" s="9">
        <v>0.96</v>
      </c>
      <c r="E12" s="12">
        <f>C12-B12</f>
        <v>0.21744133348696082</v>
      </c>
      <c r="H12" t="s">
        <v>22</v>
      </c>
      <c r="I12" s="1">
        <v>10705000</v>
      </c>
      <c r="J12" s="5">
        <f>(J18/I18)*I12</f>
        <v>4.2521667977470069E-2</v>
      </c>
      <c r="K12" s="1">
        <v>8709000</v>
      </c>
      <c r="L12" s="4">
        <f t="shared" si="1"/>
        <v>1996000</v>
      </c>
      <c r="N12" t="s">
        <v>23</v>
      </c>
      <c r="O12" s="1"/>
      <c r="Q12" s="1"/>
      <c r="R12" s="1"/>
    </row>
    <row r="13" spans="1:18" x14ac:dyDescent="0.25">
      <c r="A13" s="8" t="s">
        <v>41</v>
      </c>
      <c r="B13" s="9">
        <f>I9/O8</f>
        <v>2.0588393440104467</v>
      </c>
      <c r="C13" s="9">
        <v>2.08</v>
      </c>
      <c r="E13" s="11">
        <f>C13-B13</f>
        <v>2.1160655989553412E-2</v>
      </c>
      <c r="H13" t="s">
        <v>24</v>
      </c>
      <c r="I13" s="1">
        <v>22535000</v>
      </c>
      <c r="J13" s="5">
        <f>(J18/I18)*I13</f>
        <v>8.9511983920811583E-2</v>
      </c>
      <c r="K13" s="1">
        <v>17960000</v>
      </c>
      <c r="L13" s="4">
        <f t="shared" si="1"/>
        <v>4575000</v>
      </c>
      <c r="N13" t="s">
        <v>25</v>
      </c>
      <c r="O13" s="1">
        <v>164826000</v>
      </c>
      <c r="P13" s="5">
        <f>(P18/O18)*O13</f>
        <v>0.65471055077575735</v>
      </c>
      <c r="Q13" s="1">
        <v>63455000</v>
      </c>
      <c r="R13" s="4">
        <f>O13-Q13</f>
        <v>101371000</v>
      </c>
    </row>
    <row r="14" spans="1:18" x14ac:dyDescent="0.25">
      <c r="A14" s="8" t="s">
        <v>42</v>
      </c>
      <c r="B14" s="9">
        <f>O11/I18</f>
        <v>0.1390682968294446</v>
      </c>
      <c r="C14" s="9">
        <v>0.57999999999999996</v>
      </c>
      <c r="D14" s="10">
        <f>C14-B14</f>
        <v>0.44093170317055536</v>
      </c>
      <c r="H14" t="s">
        <v>26</v>
      </c>
      <c r="I14" s="1">
        <v>2106000</v>
      </c>
      <c r="J14" s="5">
        <f>(J18/I18)*I14</f>
        <v>8.3653089921113463E-3</v>
      </c>
      <c r="K14" s="1">
        <v>2031000</v>
      </c>
      <c r="L14" s="4">
        <f t="shared" si="1"/>
        <v>75000</v>
      </c>
      <c r="N14" t="s">
        <v>6</v>
      </c>
      <c r="O14" s="2">
        <v>51917000</v>
      </c>
      <c r="P14" s="5">
        <f>(P18/O18)*O14</f>
        <v>0.2062211523947981</v>
      </c>
      <c r="Q14" s="2">
        <v>36555000</v>
      </c>
      <c r="R14" s="4">
        <f t="shared" si="2"/>
        <v>15362000</v>
      </c>
    </row>
    <row r="15" spans="1:18" x14ac:dyDescent="0.25">
      <c r="A15" s="8" t="s">
        <v>43</v>
      </c>
      <c r="B15" s="9">
        <f>I15/O15</f>
        <v>0.892388681526047</v>
      </c>
      <c r="C15" s="9">
        <v>1.24</v>
      </c>
      <c r="D15" s="10">
        <f>C15-B15</f>
        <v>0.34761131847395299</v>
      </c>
      <c r="H15" t="s">
        <v>18</v>
      </c>
      <c r="I15" s="1">
        <f>SUM(I11:I14)</f>
        <v>193419000</v>
      </c>
      <c r="J15" s="5">
        <f>(J18/I18)*I15</f>
        <v>0.76828570747634595</v>
      </c>
      <c r="K15" s="1">
        <f>SUM(K11:K14)</f>
        <v>81175000</v>
      </c>
      <c r="L15" s="4">
        <f t="shared" si="1"/>
        <v>112244000</v>
      </c>
      <c r="N15" t="s">
        <v>27</v>
      </c>
      <c r="O15" s="1">
        <f>O13+O14</f>
        <v>216743000</v>
      </c>
      <c r="P15" s="5">
        <f>(P18/O18)*O15</f>
        <v>0.86093170317055545</v>
      </c>
      <c r="Q15" s="1">
        <f>Q13+Q14</f>
        <v>100010000</v>
      </c>
      <c r="R15" s="4">
        <f t="shared" si="2"/>
        <v>116733000</v>
      </c>
    </row>
    <row r="16" spans="1:18" x14ac:dyDescent="0.25">
      <c r="A16" s="8" t="s">
        <v>44</v>
      </c>
      <c r="B16" s="9">
        <f>B8/B4</f>
        <v>0.23686275583294553</v>
      </c>
      <c r="C16" s="9">
        <v>0.1</v>
      </c>
      <c r="D16" s="10">
        <f>B16-C16</f>
        <v>0.13686275583294552</v>
      </c>
      <c r="H16" t="s">
        <v>28</v>
      </c>
      <c r="I16" s="1"/>
      <c r="K16" s="1"/>
      <c r="L16" s="1"/>
      <c r="N16" t="s">
        <v>21</v>
      </c>
      <c r="R16" s="1"/>
    </row>
    <row r="17" spans="1:18" x14ac:dyDescent="0.25">
      <c r="A17" s="8" t="s">
        <v>45</v>
      </c>
      <c r="B17" s="9">
        <f>O14/O13</f>
        <v>0.31498064625726524</v>
      </c>
      <c r="C17" s="9">
        <v>0.15</v>
      </c>
      <c r="D17" s="10">
        <f>B17-C17</f>
        <v>0.16498064625726525</v>
      </c>
      <c r="H17" t="s">
        <v>29</v>
      </c>
      <c r="I17" s="1">
        <v>4729000</v>
      </c>
      <c r="J17" s="5">
        <f>(J18/I18)*I17</f>
        <v>1.8784209982760949E-2</v>
      </c>
      <c r="K17" s="1">
        <v>2504000</v>
      </c>
      <c r="L17" s="4">
        <f t="shared" si="1"/>
        <v>2225000</v>
      </c>
      <c r="N17" t="s">
        <v>30</v>
      </c>
      <c r="O17" s="1"/>
      <c r="R17" s="1"/>
    </row>
    <row r="18" spans="1:18" x14ac:dyDescent="0.25">
      <c r="H18" t="s">
        <v>31</v>
      </c>
      <c r="I18" s="1">
        <f>I9+I15+I17</f>
        <v>251754000</v>
      </c>
      <c r="J18" s="3">
        <v>1</v>
      </c>
      <c r="K18" s="1">
        <f>K9+K15+K17</f>
        <v>135057000</v>
      </c>
      <c r="L18" s="4">
        <f t="shared" si="1"/>
        <v>116697000</v>
      </c>
      <c r="O18" s="1">
        <f>O11+O15</f>
        <v>251754000</v>
      </c>
      <c r="P18" s="3">
        <v>1</v>
      </c>
      <c r="Q18" s="1">
        <f>Q11+Q15</f>
        <v>135057000</v>
      </c>
      <c r="R18" s="4">
        <f t="shared" si="2"/>
        <v>116697000</v>
      </c>
    </row>
  </sheetData>
  <mergeCells count="5">
    <mergeCell ref="H1:Q1"/>
    <mergeCell ref="H2:Q2"/>
    <mergeCell ref="D10:E10"/>
    <mergeCell ref="A2:D2"/>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B42D-B4B9-4ECE-9DB5-BBEA3A721CA7}">
  <dimension ref="A1:N148"/>
  <sheetViews>
    <sheetView tabSelected="1" workbookViewId="0">
      <selection activeCell="J12" sqref="J12"/>
    </sheetView>
  </sheetViews>
  <sheetFormatPr baseColWidth="10" defaultRowHeight="15" x14ac:dyDescent="0.25"/>
  <cols>
    <col min="1" max="1" width="24.85546875" customWidth="1"/>
    <col min="2" max="2" width="16.28515625" bestFit="1" customWidth="1"/>
    <col min="3" max="3" width="16.28515625" customWidth="1"/>
    <col min="4" max="4" width="16.28515625" bestFit="1" customWidth="1"/>
    <col min="5" max="5" width="19" customWidth="1"/>
    <col min="6" max="6" width="16.28515625" bestFit="1" customWidth="1"/>
    <col min="7" max="7" width="23.85546875" customWidth="1"/>
    <col min="8" max="8" width="16.28515625" bestFit="1" customWidth="1"/>
    <col min="9" max="9" width="15.28515625" customWidth="1"/>
    <col min="10" max="10" width="13.28515625" customWidth="1"/>
    <col min="11" max="11" width="14.7109375" customWidth="1"/>
    <col min="12" max="12" width="15.140625" bestFit="1" customWidth="1"/>
    <col min="13" max="13" width="37.7109375" customWidth="1"/>
    <col min="14" max="14" width="18.28515625" customWidth="1"/>
  </cols>
  <sheetData>
    <row r="1" spans="1:14" x14ac:dyDescent="0.25">
      <c r="A1" s="47" t="s">
        <v>54</v>
      </c>
      <c r="B1" s="47"/>
      <c r="C1" s="47"/>
      <c r="D1" s="47"/>
      <c r="E1" s="47"/>
      <c r="G1" s="19" t="s">
        <v>59</v>
      </c>
      <c r="H1" s="17">
        <v>3000000</v>
      </c>
      <c r="J1" s="20" t="s">
        <v>60</v>
      </c>
      <c r="K1" s="48" t="s">
        <v>61</v>
      </c>
      <c r="L1" s="48"/>
      <c r="M1" s="48"/>
    </row>
    <row r="2" spans="1:14" x14ac:dyDescent="0.25">
      <c r="G2" s="19" t="s">
        <v>62</v>
      </c>
      <c r="H2">
        <f>0.15/12</f>
        <v>1.2499999999999999E-2</v>
      </c>
      <c r="J2" s="20" t="s">
        <v>63</v>
      </c>
      <c r="K2" s="48" t="s">
        <v>64</v>
      </c>
      <c r="L2" s="48"/>
      <c r="M2" s="48"/>
    </row>
    <row r="3" spans="1:14" x14ac:dyDescent="0.25">
      <c r="B3" s="1"/>
      <c r="G3" s="19" t="s">
        <v>65</v>
      </c>
      <c r="H3">
        <v>12</v>
      </c>
      <c r="J3" s="20" t="s">
        <v>66</v>
      </c>
      <c r="K3" s="48" t="s">
        <v>67</v>
      </c>
      <c r="L3" s="48"/>
      <c r="M3" s="48"/>
    </row>
    <row r="4" spans="1:14" x14ac:dyDescent="0.25">
      <c r="A4" s="13" t="s">
        <v>52</v>
      </c>
      <c r="B4" s="13" t="s">
        <v>53</v>
      </c>
      <c r="C4" s="13" t="s">
        <v>54</v>
      </c>
      <c r="K4" s="48"/>
      <c r="L4" s="48"/>
      <c r="M4" s="48"/>
    </row>
    <row r="5" spans="1:14" x14ac:dyDescent="0.25">
      <c r="A5" t="s">
        <v>20</v>
      </c>
      <c r="B5" s="2">
        <f>H142</f>
        <v>158073000</v>
      </c>
      <c r="C5" s="2">
        <f>B5*0.05</f>
        <v>7903650</v>
      </c>
      <c r="N5" s="1"/>
    </row>
    <row r="6" spans="1:14" x14ac:dyDescent="0.25">
      <c r="A6" t="s">
        <v>22</v>
      </c>
      <c r="B6" s="2">
        <f>H144</f>
        <v>10705000</v>
      </c>
      <c r="C6" s="2">
        <f>B6*0.1</f>
        <v>1070500</v>
      </c>
      <c r="G6" s="21" t="s">
        <v>68</v>
      </c>
      <c r="H6">
        <f>(H1*H2)/(1-(1+H2)^-H3)</f>
        <v>270774.93703547097</v>
      </c>
      <c r="N6" s="1"/>
    </row>
    <row r="7" spans="1:14" x14ac:dyDescent="0.25">
      <c r="A7" t="s">
        <v>55</v>
      </c>
      <c r="B7" s="2">
        <f>H146</f>
        <v>22535000</v>
      </c>
      <c r="C7" s="2">
        <f>B7*0.25</f>
        <v>5633750</v>
      </c>
      <c r="N7" s="1"/>
    </row>
    <row r="8" spans="1:14" x14ac:dyDescent="0.25">
      <c r="A8" t="s">
        <v>26</v>
      </c>
      <c r="B8" s="2">
        <f>H148</f>
        <v>2106000</v>
      </c>
      <c r="C8" s="2">
        <f>B8*0.3</f>
        <v>631800</v>
      </c>
      <c r="N8" s="1"/>
    </row>
    <row r="9" spans="1:14" x14ac:dyDescent="0.25">
      <c r="B9" s="1"/>
      <c r="C9" s="14">
        <f>SUM(C5:C8)</f>
        <v>15239700</v>
      </c>
      <c r="G9" s="44" t="s">
        <v>69</v>
      </c>
      <c r="H9" s="44"/>
      <c r="I9" s="44"/>
      <c r="J9" s="44"/>
      <c r="K9" s="44"/>
      <c r="L9" s="44"/>
      <c r="M9" s="44"/>
      <c r="N9" s="1"/>
    </row>
    <row r="10" spans="1:14" x14ac:dyDescent="0.25">
      <c r="G10" t="s">
        <v>57</v>
      </c>
      <c r="H10" t="s">
        <v>70</v>
      </c>
      <c r="I10" t="s">
        <v>58</v>
      </c>
      <c r="J10" s="20" t="s">
        <v>60</v>
      </c>
      <c r="K10" s="20" t="s">
        <v>63</v>
      </c>
      <c r="L10" s="20" t="s">
        <v>66</v>
      </c>
      <c r="M10" t="s">
        <v>71</v>
      </c>
      <c r="N10" s="1"/>
    </row>
    <row r="11" spans="1:14" x14ac:dyDescent="0.25">
      <c r="A11" s="46" t="s">
        <v>56</v>
      </c>
      <c r="B11" s="46"/>
      <c r="D11" s="46" t="s">
        <v>47</v>
      </c>
      <c r="E11" s="46"/>
      <c r="G11">
        <v>0</v>
      </c>
      <c r="H11" s="2">
        <f>H1</f>
        <v>3000000</v>
      </c>
      <c r="I11" s="2">
        <f>H6</f>
        <v>270774.93703547097</v>
      </c>
      <c r="J11" s="2"/>
      <c r="K11" s="2"/>
      <c r="L11" s="2"/>
      <c r="M11" s="2"/>
      <c r="N11" s="1"/>
    </row>
    <row r="12" spans="1:14" x14ac:dyDescent="0.25">
      <c r="B12" s="14">
        <f>C5</f>
        <v>7903650</v>
      </c>
      <c r="E12" s="14">
        <f>C6</f>
        <v>1070500</v>
      </c>
      <c r="G12">
        <v>1</v>
      </c>
      <c r="H12" s="2">
        <f>H1</f>
        <v>3000000</v>
      </c>
      <c r="I12" s="2">
        <f>H6</f>
        <v>270774.93703547097</v>
      </c>
      <c r="J12" s="2">
        <f>H2*H12</f>
        <v>37500</v>
      </c>
      <c r="K12" s="2">
        <f>I12-J12</f>
        <v>233274.93703547097</v>
      </c>
      <c r="L12" s="2">
        <f>H12-K12</f>
        <v>2766725.0629645288</v>
      </c>
      <c r="M12" s="2">
        <f>J12</f>
        <v>37500</v>
      </c>
      <c r="N12" s="1"/>
    </row>
    <row r="13" spans="1:14" x14ac:dyDescent="0.25">
      <c r="G13">
        <v>2</v>
      </c>
      <c r="H13" s="2">
        <f t="shared" ref="H13:H23" si="0">L12</f>
        <v>2766725.0629645288</v>
      </c>
      <c r="I13" s="2">
        <f>H6</f>
        <v>270774.93703547097</v>
      </c>
      <c r="J13" s="2">
        <f>H13*H2</f>
        <v>34584.063287056604</v>
      </c>
      <c r="K13" s="2">
        <f>I13-J13</f>
        <v>236190.87374841436</v>
      </c>
      <c r="L13" s="2">
        <f>H13-K13</f>
        <v>2530534.1892161146</v>
      </c>
      <c r="M13" s="2">
        <f>J13+M12</f>
        <v>72084.063287056604</v>
      </c>
      <c r="N13" s="1"/>
    </row>
    <row r="14" spans="1:14" x14ac:dyDescent="0.25">
      <c r="A14" s="46" t="s">
        <v>48</v>
      </c>
      <c r="B14" s="46"/>
      <c r="D14" s="46" t="s">
        <v>49</v>
      </c>
      <c r="E14" s="46"/>
      <c r="G14">
        <v>3</v>
      </c>
      <c r="H14" s="2">
        <f t="shared" si="0"/>
        <v>2530534.1892161146</v>
      </c>
      <c r="I14" s="2">
        <f>H6</f>
        <v>270774.93703547097</v>
      </c>
      <c r="J14" s="2">
        <f>H14*H2</f>
        <v>31631.677365201431</v>
      </c>
      <c r="K14" s="2">
        <f t="shared" ref="K14:K21" si="1">I14-J14</f>
        <v>239143.25967026953</v>
      </c>
      <c r="L14" s="2">
        <f t="shared" ref="L14:L22" si="2">H14-K14</f>
        <v>2291390.9295458449</v>
      </c>
      <c r="M14" s="2">
        <f t="shared" ref="M14:M23" si="3">M13+J14</f>
        <v>103715.74065225804</v>
      </c>
      <c r="N14" s="1"/>
    </row>
    <row r="15" spans="1:14" x14ac:dyDescent="0.25">
      <c r="B15" s="14">
        <f>C7</f>
        <v>5633750</v>
      </c>
      <c r="E15" s="14">
        <f>C8</f>
        <v>631800</v>
      </c>
      <c r="G15">
        <v>4</v>
      </c>
      <c r="H15" s="2">
        <f t="shared" si="0"/>
        <v>2291390.9295458449</v>
      </c>
      <c r="I15" s="2">
        <f>H6</f>
        <v>270774.93703547097</v>
      </c>
      <c r="J15" s="2">
        <f>H15*H2</f>
        <v>28642.386619323061</v>
      </c>
      <c r="K15" s="2">
        <f t="shared" si="1"/>
        <v>242132.55041614792</v>
      </c>
      <c r="L15" s="2">
        <f t="shared" si="2"/>
        <v>2049258.3791296971</v>
      </c>
      <c r="M15" s="2">
        <f t="shared" si="3"/>
        <v>132358.12727158109</v>
      </c>
      <c r="N15" s="1"/>
    </row>
    <row r="16" spans="1:14" x14ac:dyDescent="0.25">
      <c r="G16">
        <v>5</v>
      </c>
      <c r="H16" s="2">
        <f t="shared" si="0"/>
        <v>2049258.3791296971</v>
      </c>
      <c r="I16" s="2">
        <f>H6</f>
        <v>270774.93703547097</v>
      </c>
      <c r="J16" s="2">
        <f>H16*H2</f>
        <v>25615.729739121212</v>
      </c>
      <c r="K16" s="2">
        <f t="shared" si="1"/>
        <v>245159.20729634975</v>
      </c>
      <c r="L16" s="2">
        <f t="shared" si="2"/>
        <v>1804099.1718333473</v>
      </c>
      <c r="M16" s="2">
        <f t="shared" si="3"/>
        <v>157973.85701070231</v>
      </c>
      <c r="N16" s="1"/>
    </row>
    <row r="17" spans="1:14" x14ac:dyDescent="0.25">
      <c r="A17" s="46" t="s">
        <v>50</v>
      </c>
      <c r="B17" s="46"/>
      <c r="D17" s="46" t="s">
        <v>51</v>
      </c>
      <c r="E17" s="46"/>
      <c r="G17">
        <v>6</v>
      </c>
      <c r="H17" s="2">
        <f t="shared" si="0"/>
        <v>1804099.1718333473</v>
      </c>
      <c r="I17" s="2">
        <f>H6</f>
        <v>270774.93703547097</v>
      </c>
      <c r="J17" s="2">
        <f>H17*H2</f>
        <v>22551.239647916838</v>
      </c>
      <c r="K17" s="2">
        <f t="shared" si="1"/>
        <v>248223.69738755413</v>
      </c>
      <c r="L17" s="2">
        <f t="shared" si="2"/>
        <v>1555875.4744457931</v>
      </c>
      <c r="M17" s="2">
        <f t="shared" si="3"/>
        <v>180525.09665861915</v>
      </c>
      <c r="N17" s="2"/>
    </row>
    <row r="18" spans="1:14" x14ac:dyDescent="0.25">
      <c r="B18" s="14">
        <f>4729000*0.05</f>
        <v>236450</v>
      </c>
      <c r="D18" s="2">
        <v>83077000</v>
      </c>
      <c r="G18">
        <v>7</v>
      </c>
      <c r="H18" s="2">
        <f t="shared" si="0"/>
        <v>1555875.4744457931</v>
      </c>
      <c r="I18" s="2">
        <f>H6</f>
        <v>270774.93703547097</v>
      </c>
      <c r="J18" s="2">
        <f>H18*H2</f>
        <v>19448.443430572413</v>
      </c>
      <c r="K18" s="2">
        <f t="shared" si="1"/>
        <v>251326.49360489857</v>
      </c>
      <c r="L18" s="2">
        <f t="shared" si="2"/>
        <v>1304548.9808408944</v>
      </c>
      <c r="M18" s="2">
        <f t="shared" si="3"/>
        <v>199973.54008919158</v>
      </c>
      <c r="N18" s="2"/>
    </row>
    <row r="19" spans="1:14" x14ac:dyDescent="0.25">
      <c r="D19" s="2">
        <f>B12</f>
        <v>7903650</v>
      </c>
      <c r="G19">
        <v>8</v>
      </c>
      <c r="H19" s="2">
        <f t="shared" si="0"/>
        <v>1304548.9808408944</v>
      </c>
      <c r="I19" s="2">
        <f>H6</f>
        <v>270774.93703547097</v>
      </c>
      <c r="J19" s="2">
        <f>H19*H2</f>
        <v>16306.862260511178</v>
      </c>
      <c r="K19" s="2">
        <f t="shared" si="1"/>
        <v>254468.07477495979</v>
      </c>
      <c r="L19" s="2">
        <f t="shared" si="2"/>
        <v>1050080.9060659346</v>
      </c>
      <c r="M19" s="2">
        <f t="shared" si="3"/>
        <v>216280.40234970275</v>
      </c>
      <c r="N19" s="1"/>
    </row>
    <row r="20" spans="1:14" x14ac:dyDescent="0.25">
      <c r="A20" s="16"/>
      <c r="B20" s="16"/>
      <c r="D20" s="2">
        <f>E12</f>
        <v>1070500</v>
      </c>
      <c r="G20">
        <v>9</v>
      </c>
      <c r="H20" s="2">
        <f t="shared" si="0"/>
        <v>1050080.9060659346</v>
      </c>
      <c r="I20" s="2">
        <f>H6</f>
        <v>270774.93703547097</v>
      </c>
      <c r="J20" s="2">
        <f>H20*H2</f>
        <v>13126.011325824182</v>
      </c>
      <c r="K20" s="2">
        <f t="shared" si="1"/>
        <v>257648.92570964678</v>
      </c>
      <c r="L20" s="2">
        <f t="shared" si="2"/>
        <v>792431.98035628779</v>
      </c>
      <c r="M20" s="2">
        <f t="shared" si="3"/>
        <v>229406.41367552694</v>
      </c>
    </row>
    <row r="21" spans="1:14" x14ac:dyDescent="0.25">
      <c r="D21" s="2">
        <f>B15</f>
        <v>5633750</v>
      </c>
      <c r="G21">
        <v>10</v>
      </c>
      <c r="H21" s="2">
        <f t="shared" si="0"/>
        <v>792431.98035628779</v>
      </c>
      <c r="I21" s="2">
        <f>H6</f>
        <v>270774.93703547097</v>
      </c>
      <c r="J21" s="2">
        <f>H21*H2</f>
        <v>9905.399754453596</v>
      </c>
      <c r="K21" s="2">
        <f t="shared" si="1"/>
        <v>260869.53728101737</v>
      </c>
      <c r="L21" s="2">
        <f t="shared" si="2"/>
        <v>531562.44307527039</v>
      </c>
      <c r="M21" s="2">
        <f t="shared" si="3"/>
        <v>239311.81342998054</v>
      </c>
    </row>
    <row r="22" spans="1:14" x14ac:dyDescent="0.25">
      <c r="D22" s="2">
        <f>E15</f>
        <v>631800</v>
      </c>
      <c r="G22">
        <v>11</v>
      </c>
      <c r="H22" s="2">
        <f t="shared" si="0"/>
        <v>531562.44307527039</v>
      </c>
      <c r="I22" s="2">
        <f>H6</f>
        <v>270774.93703547097</v>
      </c>
      <c r="J22" s="2">
        <f>H2*H22</f>
        <v>6644.5305384408794</v>
      </c>
      <c r="K22" s="2">
        <f>I22-J22</f>
        <v>264130.40649703011</v>
      </c>
      <c r="L22" s="2">
        <f t="shared" si="2"/>
        <v>267432.03657824028</v>
      </c>
      <c r="M22" s="2">
        <f t="shared" si="3"/>
        <v>245956.34396842142</v>
      </c>
    </row>
    <row r="23" spans="1:14" x14ac:dyDescent="0.25">
      <c r="D23" s="2">
        <f>B18</f>
        <v>236450</v>
      </c>
      <c r="G23">
        <v>12</v>
      </c>
      <c r="H23" s="2">
        <f t="shared" si="0"/>
        <v>267432.03657824028</v>
      </c>
      <c r="I23" s="2">
        <f>H6</f>
        <v>270774.93703547097</v>
      </c>
      <c r="J23" s="2">
        <f>H23*H2</f>
        <v>3342.9004572280032</v>
      </c>
      <c r="K23" s="2">
        <f>I23-J23</f>
        <v>267432.03657824296</v>
      </c>
      <c r="L23" s="2">
        <v>0</v>
      </c>
      <c r="M23" s="2">
        <f t="shared" si="3"/>
        <v>249299.24442564943</v>
      </c>
      <c r="N23" s="1"/>
    </row>
    <row r="24" spans="1:14" x14ac:dyDescent="0.25">
      <c r="D24" s="1">
        <f>SUM(D18:D23)</f>
        <v>98553150</v>
      </c>
      <c r="E24" s="1">
        <f>A42</f>
        <v>500000</v>
      </c>
      <c r="H24" s="2"/>
      <c r="I24" s="2"/>
      <c r="J24" s="2"/>
      <c r="K24" s="23">
        <f>SUM(K12:K23)</f>
        <v>3000000.0000000023</v>
      </c>
      <c r="L24" s="2"/>
      <c r="M24" s="2"/>
    </row>
    <row r="25" spans="1:14" x14ac:dyDescent="0.25">
      <c r="D25" s="14">
        <f>SUM(D24)-SUM(E24)</f>
        <v>98053150</v>
      </c>
      <c r="G25" s="47" t="s">
        <v>87</v>
      </c>
      <c r="H25" s="47"/>
      <c r="I25" s="47"/>
      <c r="J25" s="47"/>
    </row>
    <row r="26" spans="1:14" x14ac:dyDescent="0.25">
      <c r="G26" s="13" t="s">
        <v>72</v>
      </c>
      <c r="H26" s="13" t="s">
        <v>73</v>
      </c>
      <c r="I26" s="13" t="s">
        <v>74</v>
      </c>
      <c r="J26" s="13"/>
    </row>
    <row r="27" spans="1:14" x14ac:dyDescent="0.25">
      <c r="A27" s="47" t="s">
        <v>88</v>
      </c>
      <c r="B27" s="47"/>
      <c r="C27" s="47"/>
      <c r="D27" s="47"/>
      <c r="E27" s="47"/>
      <c r="G27" s="16">
        <v>0</v>
      </c>
      <c r="H27" s="24">
        <v>3000000</v>
      </c>
      <c r="I27" s="24"/>
      <c r="J27" s="25"/>
    </row>
    <row r="28" spans="1:14" x14ac:dyDescent="0.25">
      <c r="G28">
        <v>1</v>
      </c>
      <c r="H28" s="25"/>
      <c r="I28" s="25">
        <v>800000</v>
      </c>
      <c r="J28" s="25">
        <f>I28</f>
        <v>800000</v>
      </c>
    </row>
    <row r="29" spans="1:14" x14ac:dyDescent="0.25">
      <c r="A29" s="46" t="s">
        <v>55</v>
      </c>
      <c r="B29" s="46"/>
      <c r="D29" s="46" t="s">
        <v>16</v>
      </c>
      <c r="E29" s="46"/>
      <c r="G29">
        <v>2</v>
      </c>
      <c r="H29" s="25"/>
      <c r="I29" s="25">
        <v>1340000</v>
      </c>
      <c r="J29" s="25">
        <f>J28+I29</f>
        <v>2140000</v>
      </c>
    </row>
    <row r="30" spans="1:14" x14ac:dyDescent="0.25">
      <c r="A30" s="2">
        <v>22535000</v>
      </c>
      <c r="E30" s="2">
        <v>10046000</v>
      </c>
      <c r="G30">
        <v>3</v>
      </c>
      <c r="H30" s="25"/>
      <c r="I30" s="25">
        <v>1870000</v>
      </c>
      <c r="J30" s="25">
        <f t="shared" ref="J30" si="4">J29+I30</f>
        <v>4010000</v>
      </c>
    </row>
    <row r="31" spans="1:14" x14ac:dyDescent="0.25">
      <c r="A31" s="2">
        <v>3000000</v>
      </c>
      <c r="E31" s="2">
        <v>3000000</v>
      </c>
      <c r="G31">
        <v>4</v>
      </c>
      <c r="H31" s="25"/>
      <c r="I31" s="25">
        <v>2600000</v>
      </c>
      <c r="J31" s="25"/>
    </row>
    <row r="32" spans="1:14" x14ac:dyDescent="0.25">
      <c r="A32" s="18">
        <f>SUM(A30:A31)</f>
        <v>25535000</v>
      </c>
      <c r="E32" s="18">
        <f>SUM(E30:E31)</f>
        <v>13046000</v>
      </c>
      <c r="H32" s="2"/>
      <c r="I32" s="2"/>
    </row>
    <row r="33" spans="1:12" x14ac:dyDescent="0.25">
      <c r="H33" s="2"/>
      <c r="I33" s="2"/>
    </row>
    <row r="34" spans="1:12" x14ac:dyDescent="0.25">
      <c r="G34" s="19" t="s">
        <v>75</v>
      </c>
      <c r="H34">
        <f>((H27-J29)/I30)*12</f>
        <v>5.5187165775401068</v>
      </c>
    </row>
    <row r="35" spans="1:12" x14ac:dyDescent="0.25">
      <c r="G35" s="16"/>
      <c r="H35" s="16"/>
      <c r="I35" s="16"/>
      <c r="J35" s="16"/>
      <c r="K35" s="16"/>
      <c r="L35" s="16"/>
    </row>
    <row r="36" spans="1:12" x14ac:dyDescent="0.25">
      <c r="G36" s="16"/>
      <c r="H36" s="16" t="s">
        <v>76</v>
      </c>
      <c r="I36" s="16"/>
      <c r="J36" s="16"/>
      <c r="K36" s="16"/>
      <c r="L36" s="16"/>
    </row>
    <row r="38" spans="1:12" x14ac:dyDescent="0.25">
      <c r="A38" s="47" t="s">
        <v>86</v>
      </c>
      <c r="B38" s="47"/>
      <c r="C38" s="47"/>
      <c r="D38" s="47"/>
      <c r="E38" s="47"/>
      <c r="F38" s="47"/>
      <c r="G38" s="47"/>
      <c r="H38" s="47"/>
      <c r="I38" s="47"/>
      <c r="J38" s="47"/>
    </row>
    <row r="39" spans="1:12" x14ac:dyDescent="0.25">
      <c r="G39" s="44" t="s">
        <v>82</v>
      </c>
      <c r="H39" s="44"/>
      <c r="I39" s="44"/>
      <c r="J39" s="1"/>
      <c r="L39" s="1"/>
    </row>
    <row r="40" spans="1:12" x14ac:dyDescent="0.25">
      <c r="A40" s="46" t="s">
        <v>13</v>
      </c>
      <c r="B40" s="46"/>
      <c r="D40" s="48" t="s">
        <v>89</v>
      </c>
      <c r="E40" s="48"/>
      <c r="G40" s="8"/>
      <c r="H40" s="8" t="s">
        <v>83</v>
      </c>
      <c r="I40" s="28" t="s">
        <v>84</v>
      </c>
      <c r="J40" s="1"/>
      <c r="L40" s="1"/>
    </row>
    <row r="41" spans="1:12" x14ac:dyDescent="0.25">
      <c r="A41" s="2">
        <v>15509000</v>
      </c>
      <c r="D41" s="48" t="s">
        <v>90</v>
      </c>
      <c r="E41" s="48"/>
      <c r="G41" t="s">
        <v>77</v>
      </c>
      <c r="H41" s="17">
        <v>2000000</v>
      </c>
      <c r="I41" s="1">
        <v>2000000</v>
      </c>
      <c r="J41" s="1"/>
      <c r="L41" s="1"/>
    </row>
    <row r="42" spans="1:12" x14ac:dyDescent="0.25">
      <c r="A42" s="2">
        <v>500000</v>
      </c>
      <c r="G42" t="s">
        <v>78</v>
      </c>
      <c r="H42" s="17">
        <v>2000000</v>
      </c>
      <c r="I42" s="1">
        <v>1000000</v>
      </c>
      <c r="J42" s="1"/>
      <c r="L42" s="1"/>
    </row>
    <row r="43" spans="1:12" x14ac:dyDescent="0.25">
      <c r="A43" s="1">
        <f>B77</f>
        <v>33688305.068453997</v>
      </c>
      <c r="G43" t="s">
        <v>79</v>
      </c>
      <c r="H43" s="17"/>
      <c r="I43" s="1">
        <f>1250000</f>
        <v>1250000</v>
      </c>
      <c r="J43" s="1"/>
    </row>
    <row r="44" spans="1:12" x14ac:dyDescent="0.25">
      <c r="A44" s="18">
        <f>SUM(A41:A43)</f>
        <v>49697305.068453997</v>
      </c>
      <c r="G44" t="s">
        <v>80</v>
      </c>
      <c r="H44" s="17">
        <v>500000</v>
      </c>
      <c r="I44" s="17">
        <v>250000</v>
      </c>
      <c r="J44" s="1"/>
      <c r="L44" s="1"/>
    </row>
    <row r="45" spans="1:12" x14ac:dyDescent="0.25">
      <c r="G45" t="s">
        <v>81</v>
      </c>
      <c r="H45" s="17">
        <f>H41+H44</f>
        <v>2500000</v>
      </c>
      <c r="I45" s="1">
        <f>I42+I43+I44</f>
        <v>2500000</v>
      </c>
      <c r="J45" s="1"/>
      <c r="L45" s="1"/>
    </row>
    <row r="46" spans="1:12" x14ac:dyDescent="0.25">
      <c r="G46" t="s">
        <v>82</v>
      </c>
      <c r="H46" s="26">
        <f>H44/H42</f>
        <v>0.25</v>
      </c>
      <c r="I46" s="26">
        <f>I44/I42</f>
        <v>0.25</v>
      </c>
      <c r="J46" s="1"/>
      <c r="L46" s="1"/>
    </row>
    <row r="47" spans="1:12" x14ac:dyDescent="0.25">
      <c r="I47" s="1"/>
      <c r="J47" s="1"/>
    </row>
    <row r="48" spans="1:12" x14ac:dyDescent="0.25">
      <c r="G48" s="49" t="s">
        <v>85</v>
      </c>
      <c r="H48" s="49"/>
      <c r="I48" s="1"/>
      <c r="J48" s="1"/>
      <c r="L48" s="1"/>
    </row>
    <row r="49" spans="1:12" x14ac:dyDescent="0.25">
      <c r="I49" s="1"/>
      <c r="J49" s="1"/>
      <c r="L49" s="2"/>
    </row>
    <row r="50" spans="1:12" x14ac:dyDescent="0.25">
      <c r="A50" s="47" t="s">
        <v>98</v>
      </c>
      <c r="B50" s="47"/>
      <c r="C50" s="47"/>
      <c r="D50" s="47"/>
      <c r="F50" s="47" t="s">
        <v>97</v>
      </c>
      <c r="G50" s="47"/>
      <c r="H50" s="47"/>
      <c r="I50" s="47"/>
      <c r="J50" s="1"/>
      <c r="L50" s="1"/>
    </row>
    <row r="51" spans="1:12" x14ac:dyDescent="0.25">
      <c r="I51" s="1"/>
      <c r="J51" s="1"/>
    </row>
    <row r="52" spans="1:12" x14ac:dyDescent="0.25">
      <c r="A52" t="s">
        <v>99</v>
      </c>
      <c r="B52" s="2">
        <f>D25</f>
        <v>98053150</v>
      </c>
      <c r="C52" s="51" t="s">
        <v>100</v>
      </c>
      <c r="D52" s="51"/>
      <c r="E52" s="34"/>
      <c r="G52" s="44" t="s">
        <v>96</v>
      </c>
      <c r="H52" s="44"/>
      <c r="I52" s="1"/>
      <c r="J52" s="1"/>
    </row>
    <row r="53" spans="1:12" x14ac:dyDescent="0.25">
      <c r="A53" s="5" t="s">
        <v>101</v>
      </c>
      <c r="B53" s="2">
        <f>B54*0.384112</f>
        <v>1536.4480000000001</v>
      </c>
      <c r="C53" s="51" t="s">
        <v>102</v>
      </c>
      <c r="D53" s="51"/>
      <c r="E53" s="34"/>
      <c r="G53" t="s">
        <v>91</v>
      </c>
      <c r="H53" s="2">
        <f>(-1)*H41</f>
        <v>-2000000</v>
      </c>
      <c r="I53" s="1"/>
      <c r="J53" s="1"/>
      <c r="L53" s="1"/>
    </row>
    <row r="54" spans="1:12" x14ac:dyDescent="0.25">
      <c r="A54" t="s">
        <v>103</v>
      </c>
      <c r="B54" s="2">
        <v>4000</v>
      </c>
      <c r="E54" s="15"/>
      <c r="G54" t="s">
        <v>92</v>
      </c>
      <c r="H54" s="1">
        <v>260000</v>
      </c>
      <c r="J54" s="1"/>
    </row>
    <row r="55" spans="1:12" x14ac:dyDescent="0.25">
      <c r="A55" t="s">
        <v>104</v>
      </c>
      <c r="B55" s="2">
        <f>164826000*0.35</f>
        <v>57689100</v>
      </c>
      <c r="C55" s="51" t="s">
        <v>117</v>
      </c>
      <c r="D55" s="51"/>
      <c r="E55" s="34"/>
      <c r="G55" t="s">
        <v>95</v>
      </c>
      <c r="H55" s="1">
        <v>310000</v>
      </c>
      <c r="I55" s="1"/>
      <c r="J55" s="1"/>
    </row>
    <row r="56" spans="1:12" x14ac:dyDescent="0.25">
      <c r="E56" s="15"/>
      <c r="G56" t="s">
        <v>93</v>
      </c>
      <c r="H56" s="1">
        <v>520000</v>
      </c>
      <c r="I56" s="5"/>
      <c r="J56" s="1"/>
    </row>
    <row r="57" spans="1:12" x14ac:dyDescent="0.25">
      <c r="A57" s="31" t="s">
        <v>105</v>
      </c>
      <c r="B57" s="35">
        <f>(B52+B55)/(1-(B53/B54))</f>
        <v>252874305.068454</v>
      </c>
      <c r="C57" s="52" t="s">
        <v>106</v>
      </c>
      <c r="D57" s="52"/>
      <c r="E57" s="34"/>
      <c r="G57" t="s">
        <v>94</v>
      </c>
      <c r="H57" s="2">
        <v>690000</v>
      </c>
      <c r="I57" s="1"/>
      <c r="J57" s="1"/>
    </row>
    <row r="58" spans="1:12" x14ac:dyDescent="0.25">
      <c r="E58" s="15"/>
      <c r="G58" t="s">
        <v>96</v>
      </c>
      <c r="H58" s="3">
        <f>IRR(H53:H57)</f>
        <v>-3.8813816452222816E-2</v>
      </c>
    </row>
    <row r="59" spans="1:12" x14ac:dyDescent="0.25">
      <c r="A59" t="s">
        <v>107</v>
      </c>
      <c r="B59" s="30">
        <f>B57/B54</f>
        <v>63218.576267113502</v>
      </c>
      <c r="C59" s="51" t="s">
        <v>108</v>
      </c>
      <c r="D59" s="51"/>
      <c r="E59" s="34"/>
    </row>
    <row r="61" spans="1:12" x14ac:dyDescent="0.25">
      <c r="A61" t="s">
        <v>109</v>
      </c>
      <c r="B61" s="2">
        <f>B59*B53</f>
        <v>97132055.068454012</v>
      </c>
      <c r="C61" s="51" t="s">
        <v>110</v>
      </c>
      <c r="D61" s="51"/>
      <c r="E61" s="51"/>
    </row>
    <row r="63" spans="1:12" x14ac:dyDescent="0.25">
      <c r="A63" s="50" t="s">
        <v>111</v>
      </c>
      <c r="B63" s="50"/>
    </row>
    <row r="64" spans="1:12" x14ac:dyDescent="0.25">
      <c r="A64" s="50" t="s">
        <v>112</v>
      </c>
      <c r="B64" s="50"/>
    </row>
    <row r="65" spans="1:5" x14ac:dyDescent="0.25">
      <c r="A65" t="s">
        <v>113</v>
      </c>
      <c r="B65" s="2">
        <f>B57</f>
        <v>252874305.068454</v>
      </c>
    </row>
    <row r="66" spans="1:5" x14ac:dyDescent="0.25">
      <c r="A66" t="s">
        <v>3</v>
      </c>
      <c r="B66" s="2">
        <f>B61</f>
        <v>97132055.068454012</v>
      </c>
    </row>
    <row r="67" spans="1:5" x14ac:dyDescent="0.25">
      <c r="A67" t="s">
        <v>114</v>
      </c>
      <c r="B67" s="2">
        <f>B65-B66</f>
        <v>155742250</v>
      </c>
    </row>
    <row r="68" spans="1:5" x14ac:dyDescent="0.25">
      <c r="A68" t="s">
        <v>5</v>
      </c>
      <c r="B68" s="2">
        <f>B52</f>
        <v>98053150</v>
      </c>
    </row>
    <row r="69" spans="1:5" x14ac:dyDescent="0.25">
      <c r="A69" t="s">
        <v>115</v>
      </c>
      <c r="B69" s="32">
        <f>B67-B68</f>
        <v>57689100</v>
      </c>
    </row>
    <row r="72" spans="1:5" x14ac:dyDescent="0.25">
      <c r="A72" s="33" t="s">
        <v>116</v>
      </c>
      <c r="B72" s="18">
        <f>B65-219186000</f>
        <v>33688305.068453997</v>
      </c>
    </row>
    <row r="75" spans="1:5" x14ac:dyDescent="0.25">
      <c r="A75" s="53" t="s">
        <v>2</v>
      </c>
      <c r="B75" s="53"/>
      <c r="D75" s="53" t="s">
        <v>118</v>
      </c>
      <c r="E75" s="53"/>
    </row>
    <row r="76" spans="1:5" x14ac:dyDescent="0.25">
      <c r="B76" s="2">
        <v>219186000</v>
      </c>
      <c r="D76" s="2">
        <v>29047000</v>
      </c>
      <c r="E76" s="1">
        <f>B77*0.384112</f>
        <v>12940082.236454003</v>
      </c>
    </row>
    <row r="77" spans="1:5" x14ac:dyDescent="0.25">
      <c r="B77" s="1">
        <f>B72</f>
        <v>33688305.068453997</v>
      </c>
      <c r="D77" s="18">
        <f>D76-E76</f>
        <v>16106917.763545997</v>
      </c>
    </row>
    <row r="78" spans="1:5" x14ac:dyDescent="0.25">
      <c r="B78" s="18">
        <f>SUM(B76:B77)</f>
        <v>252874305.068454</v>
      </c>
    </row>
    <row r="80" spans="1:5" x14ac:dyDescent="0.25">
      <c r="A80" s="53" t="s">
        <v>3</v>
      </c>
      <c r="B80" s="53"/>
    </row>
    <row r="81" spans="1:14" x14ac:dyDescent="0.25">
      <c r="A81" s="2">
        <v>84192000</v>
      </c>
    </row>
    <row r="82" spans="1:14" x14ac:dyDescent="0.25">
      <c r="A82" s="1">
        <f>E76</f>
        <v>12940082.236454003</v>
      </c>
    </row>
    <row r="83" spans="1:14" x14ac:dyDescent="0.25">
      <c r="A83" s="18">
        <f>SUM(A81:A82)</f>
        <v>97132082.23645401</v>
      </c>
    </row>
    <row r="88" spans="1:14" x14ac:dyDescent="0.25">
      <c r="A88" s="44" t="s">
        <v>0</v>
      </c>
      <c r="B88" s="44"/>
      <c r="C88" s="44"/>
      <c r="D88" s="44"/>
      <c r="E88" s="44"/>
      <c r="F88" s="44"/>
      <c r="G88" s="44"/>
      <c r="H88" s="44"/>
      <c r="I88" s="44"/>
      <c r="J88" s="44"/>
      <c r="M88" s="44" t="s">
        <v>136</v>
      </c>
      <c r="N88" s="44"/>
    </row>
    <row r="89" spans="1:14" x14ac:dyDescent="0.25">
      <c r="A89" s="44" t="s">
        <v>7</v>
      </c>
      <c r="B89" s="44"/>
      <c r="C89" s="44"/>
      <c r="D89" s="44"/>
      <c r="E89" s="44"/>
      <c r="F89" s="44"/>
      <c r="G89" s="44"/>
      <c r="H89" s="44"/>
      <c r="I89" s="44"/>
      <c r="J89" s="44"/>
      <c r="M89" s="44" t="s">
        <v>121</v>
      </c>
      <c r="N89" s="44"/>
    </row>
    <row r="90" spans="1:14" x14ac:dyDescent="0.25">
      <c r="A90" t="s">
        <v>8</v>
      </c>
      <c r="C90">
        <v>2020</v>
      </c>
      <c r="D90">
        <v>2021</v>
      </c>
      <c r="E90" t="s">
        <v>137</v>
      </c>
      <c r="G90" t="s">
        <v>9</v>
      </c>
      <c r="H90">
        <v>2020</v>
      </c>
      <c r="I90" t="s">
        <v>119</v>
      </c>
      <c r="J90" t="s">
        <v>137</v>
      </c>
      <c r="M90" s="37" t="s">
        <v>122</v>
      </c>
      <c r="N90" s="38"/>
    </row>
    <row r="91" spans="1:14" x14ac:dyDescent="0.25">
      <c r="A91" t="s">
        <v>10</v>
      </c>
      <c r="G91" t="s">
        <v>10</v>
      </c>
      <c r="M91" t="s">
        <v>123</v>
      </c>
      <c r="N91" s="2">
        <f>C120</f>
        <v>57689072.831999987</v>
      </c>
    </row>
    <row r="92" spans="1:14" x14ac:dyDescent="0.25">
      <c r="A92" t="s">
        <v>11</v>
      </c>
      <c r="C92" s="1">
        <v>3825000</v>
      </c>
      <c r="D92" s="1">
        <v>3825000</v>
      </c>
      <c r="E92" s="27">
        <f>D92-C92</f>
        <v>0</v>
      </c>
      <c r="G92" t="s">
        <v>12</v>
      </c>
      <c r="H92" s="1">
        <v>13146000</v>
      </c>
      <c r="I92" s="1">
        <v>13146000</v>
      </c>
      <c r="J92" s="29">
        <f>I92-H92</f>
        <v>0</v>
      </c>
      <c r="M92" t="s">
        <v>124</v>
      </c>
      <c r="N92" s="2">
        <f>C9+B18</f>
        <v>15476150</v>
      </c>
    </row>
    <row r="93" spans="1:14" x14ac:dyDescent="0.25">
      <c r="A93" t="s">
        <v>13</v>
      </c>
      <c r="C93" s="1">
        <v>15509000</v>
      </c>
      <c r="D93" s="1">
        <f>A44</f>
        <v>49697305.068453997</v>
      </c>
      <c r="E93" s="27">
        <f t="shared" ref="E93:E110" si="5">D93-C93</f>
        <v>34188305.068453997</v>
      </c>
      <c r="G93" t="s">
        <v>14</v>
      </c>
      <c r="H93" s="1">
        <v>2845000</v>
      </c>
      <c r="I93" s="1">
        <v>2845000</v>
      </c>
      <c r="J93" s="29">
        <f t="shared" ref="J93:J104" si="6">I93-H93</f>
        <v>0</v>
      </c>
      <c r="M93" s="22" t="s">
        <v>125</v>
      </c>
      <c r="N93" s="39"/>
    </row>
    <row r="94" spans="1:14" x14ac:dyDescent="0.25">
      <c r="A94" t="s">
        <v>15</v>
      </c>
      <c r="C94" s="1">
        <v>29047000</v>
      </c>
      <c r="D94" s="1">
        <f>D77</f>
        <v>16106917.763545997</v>
      </c>
      <c r="E94" s="27">
        <f t="shared" si="5"/>
        <v>-12940082.236454003</v>
      </c>
      <c r="G94" t="s">
        <v>16</v>
      </c>
      <c r="H94" s="1">
        <v>10046000</v>
      </c>
      <c r="I94" s="1">
        <f>E32</f>
        <v>13046000</v>
      </c>
      <c r="J94" s="29">
        <f t="shared" si="6"/>
        <v>3000000</v>
      </c>
      <c r="M94" t="s">
        <v>118</v>
      </c>
      <c r="N94" s="2">
        <f>(-1)*E94</f>
        <v>12940082.236454003</v>
      </c>
    </row>
    <row r="95" spans="1:14" x14ac:dyDescent="0.25">
      <c r="A95" t="s">
        <v>17</v>
      </c>
      <c r="C95" s="1">
        <v>5225000</v>
      </c>
      <c r="D95" s="1">
        <v>5225000</v>
      </c>
      <c r="E95" s="27">
        <f t="shared" si="5"/>
        <v>0</v>
      </c>
      <c r="G95" t="s">
        <v>18</v>
      </c>
      <c r="H95" s="1">
        <f>H92+H93+H94</f>
        <v>26037000</v>
      </c>
      <c r="I95" s="1">
        <f>I92+I93+I94</f>
        <v>29037000</v>
      </c>
      <c r="J95" s="29">
        <f t="shared" si="6"/>
        <v>3000000</v>
      </c>
      <c r="M95" t="s">
        <v>17</v>
      </c>
      <c r="N95" s="2">
        <f>(-1)*E95</f>
        <v>0</v>
      </c>
    </row>
    <row r="96" spans="1:14" x14ac:dyDescent="0.25">
      <c r="A96" t="s">
        <v>18</v>
      </c>
      <c r="C96" s="1">
        <f>SUM(C92:C95)</f>
        <v>53606000</v>
      </c>
      <c r="D96" s="1">
        <f>SUM(D92:D95)</f>
        <v>74854222.831999987</v>
      </c>
      <c r="E96" s="27">
        <f t="shared" si="5"/>
        <v>21248222.831999987</v>
      </c>
      <c r="G96" t="s">
        <v>19</v>
      </c>
      <c r="H96" s="1"/>
      <c r="J96" s="29">
        <f t="shared" si="6"/>
        <v>0</v>
      </c>
      <c r="M96" s="22" t="s">
        <v>126</v>
      </c>
      <c r="N96" s="39"/>
    </row>
    <row r="97" spans="1:14" x14ac:dyDescent="0.25">
      <c r="A97" t="s">
        <v>19</v>
      </c>
      <c r="C97" s="1"/>
      <c r="D97" s="1"/>
      <c r="E97" s="27">
        <f t="shared" si="5"/>
        <v>0</v>
      </c>
      <c r="G97" t="s">
        <v>16</v>
      </c>
      <c r="H97" s="1">
        <v>8974000</v>
      </c>
      <c r="I97" s="1">
        <v>8974000</v>
      </c>
      <c r="J97" s="29">
        <f t="shared" si="6"/>
        <v>0</v>
      </c>
      <c r="M97" t="s">
        <v>12</v>
      </c>
      <c r="N97" s="1">
        <f>J92</f>
        <v>0</v>
      </c>
    </row>
    <row r="98" spans="1:14" x14ac:dyDescent="0.25">
      <c r="A98" t="s">
        <v>20</v>
      </c>
      <c r="B98" s="1">
        <v>158073000</v>
      </c>
      <c r="C98" s="1">
        <f>B98-B99</f>
        <v>150169350</v>
      </c>
      <c r="D98" s="1">
        <f>C98</f>
        <v>150169350</v>
      </c>
      <c r="E98" s="27">
        <f t="shared" si="5"/>
        <v>0</v>
      </c>
      <c r="G98" t="s">
        <v>21</v>
      </c>
      <c r="H98" s="1">
        <f>H95+H97</f>
        <v>35011000</v>
      </c>
      <c r="I98" s="1">
        <f>I95+I97</f>
        <v>38011000</v>
      </c>
      <c r="J98" s="29">
        <f t="shared" si="6"/>
        <v>3000000</v>
      </c>
      <c r="M98" t="s">
        <v>14</v>
      </c>
      <c r="N98" s="1">
        <f>J93</f>
        <v>0</v>
      </c>
    </row>
    <row r="99" spans="1:14" x14ac:dyDescent="0.25">
      <c r="B99" s="1">
        <f>B12</f>
        <v>7903650</v>
      </c>
      <c r="C99" s="1"/>
      <c r="D99" s="1"/>
      <c r="E99" s="27"/>
      <c r="G99" t="s">
        <v>23</v>
      </c>
      <c r="H99" s="1"/>
      <c r="J99" s="29">
        <f t="shared" si="6"/>
        <v>0</v>
      </c>
      <c r="M99" t="s">
        <v>16</v>
      </c>
      <c r="N99" s="1">
        <f>J94</f>
        <v>3000000</v>
      </c>
    </row>
    <row r="100" spans="1:14" x14ac:dyDescent="0.25">
      <c r="A100" t="s">
        <v>22</v>
      </c>
      <c r="B100" s="1">
        <v>10705000</v>
      </c>
      <c r="C100" s="1">
        <f t="shared" ref="C100:C104" si="7">B100-B101</f>
        <v>9634500</v>
      </c>
      <c r="D100" s="1">
        <f>C100</f>
        <v>9634500</v>
      </c>
      <c r="E100" s="27">
        <f t="shared" si="5"/>
        <v>0</v>
      </c>
      <c r="G100" t="s">
        <v>25</v>
      </c>
      <c r="H100" s="1">
        <v>164826000</v>
      </c>
      <c r="I100" s="43">
        <v>164826000</v>
      </c>
      <c r="J100" s="29">
        <f t="shared" si="6"/>
        <v>0</v>
      </c>
      <c r="M100" s="6" t="s">
        <v>127</v>
      </c>
      <c r="N100" s="40">
        <f>SUM(N91:N99)</f>
        <v>89105305.068453997</v>
      </c>
    </row>
    <row r="101" spans="1:14" x14ac:dyDescent="0.25">
      <c r="B101" s="1">
        <f>E12</f>
        <v>1070500</v>
      </c>
      <c r="C101" s="1"/>
      <c r="D101" s="1"/>
      <c r="E101" s="27"/>
      <c r="G101" t="s">
        <v>6</v>
      </c>
      <c r="H101" s="2">
        <f>B120</f>
        <v>36440850</v>
      </c>
      <c r="I101" s="1">
        <f>C120</f>
        <v>57689072.831999987</v>
      </c>
      <c r="J101" s="29">
        <f t="shared" si="6"/>
        <v>21248222.831999987</v>
      </c>
      <c r="M101" s="37" t="s">
        <v>128</v>
      </c>
      <c r="N101" s="37"/>
    </row>
    <row r="102" spans="1:14" x14ac:dyDescent="0.25">
      <c r="A102" t="s">
        <v>24</v>
      </c>
      <c r="B102" s="1">
        <v>22535000</v>
      </c>
      <c r="C102" s="1">
        <f t="shared" si="7"/>
        <v>16901250</v>
      </c>
      <c r="D102" s="1">
        <f>C102+3000000</f>
        <v>19901250</v>
      </c>
      <c r="E102" s="27">
        <f t="shared" si="5"/>
        <v>3000000</v>
      </c>
      <c r="G102" t="s">
        <v>27</v>
      </c>
      <c r="H102" s="1">
        <f>H100+H101</f>
        <v>201266850</v>
      </c>
      <c r="I102" s="43">
        <f>SUM(I100:I101)</f>
        <v>222515072.83199999</v>
      </c>
      <c r="J102" s="29">
        <f t="shared" si="6"/>
        <v>21248222.831999987</v>
      </c>
      <c r="M102" s="22" t="s">
        <v>129</v>
      </c>
      <c r="N102" s="22"/>
    </row>
    <row r="103" spans="1:14" x14ac:dyDescent="0.25">
      <c r="B103" s="1">
        <f>B15</f>
        <v>5633750</v>
      </c>
      <c r="C103" s="1"/>
      <c r="D103" s="1"/>
      <c r="E103" s="27"/>
      <c r="G103" t="s">
        <v>21</v>
      </c>
      <c r="J103" s="29">
        <f t="shared" si="6"/>
        <v>0</v>
      </c>
      <c r="N103" s="1"/>
    </row>
    <row r="104" spans="1:14" x14ac:dyDescent="0.25">
      <c r="A104" t="s">
        <v>26</v>
      </c>
      <c r="B104" s="1">
        <v>2106000</v>
      </c>
      <c r="C104" s="1">
        <f t="shared" si="7"/>
        <v>1474200</v>
      </c>
      <c r="D104" s="1">
        <f>C104</f>
        <v>1474200</v>
      </c>
      <c r="E104" s="27">
        <f t="shared" si="5"/>
        <v>0</v>
      </c>
      <c r="G104" t="s">
        <v>30</v>
      </c>
      <c r="H104" s="1"/>
      <c r="J104" s="29">
        <f t="shared" si="6"/>
        <v>0</v>
      </c>
      <c r="M104" t="s">
        <v>20</v>
      </c>
      <c r="N104" s="1">
        <f>(-1)*E98</f>
        <v>0</v>
      </c>
    </row>
    <row r="105" spans="1:14" x14ac:dyDescent="0.25">
      <c r="B105" s="1">
        <f>E15</f>
        <v>631800</v>
      </c>
      <c r="C105" s="1"/>
      <c r="D105" s="1"/>
      <c r="E105" s="27"/>
      <c r="H105" s="1">
        <f>H98+H102</f>
        <v>236277850</v>
      </c>
      <c r="I105" s="36">
        <f>SUM(I102+I98)</f>
        <v>260526072.83199999</v>
      </c>
      <c r="J105" s="29">
        <f>I105-H105</f>
        <v>24248222.831999987</v>
      </c>
      <c r="M105" t="s">
        <v>22</v>
      </c>
      <c r="N105" s="1">
        <f>(-1)*E100</f>
        <v>0</v>
      </c>
    </row>
    <row r="106" spans="1:14" x14ac:dyDescent="0.25">
      <c r="A106" t="s">
        <v>18</v>
      </c>
      <c r="C106" s="1">
        <f>SUM(C98:C104)</f>
        <v>178179300</v>
      </c>
      <c r="D106" s="1">
        <f>SUM(D98:D104)</f>
        <v>181179300</v>
      </c>
      <c r="E106" s="27">
        <f t="shared" si="5"/>
        <v>3000000</v>
      </c>
      <c r="M106" t="s">
        <v>55</v>
      </c>
      <c r="N106" s="1">
        <f>(-1)*E102</f>
        <v>-3000000</v>
      </c>
    </row>
    <row r="107" spans="1:14" x14ac:dyDescent="0.25">
      <c r="A107" t="s">
        <v>28</v>
      </c>
      <c r="B107" s="1"/>
      <c r="E107" s="27"/>
      <c r="M107" t="s">
        <v>26</v>
      </c>
      <c r="N107" s="1">
        <f>(-1)*E104</f>
        <v>0</v>
      </c>
    </row>
    <row r="108" spans="1:14" x14ac:dyDescent="0.25">
      <c r="A108" t="s">
        <v>29</v>
      </c>
      <c r="B108" s="1">
        <v>4729000</v>
      </c>
      <c r="C108" s="1">
        <f>B108-B109</f>
        <v>4492550</v>
      </c>
      <c r="D108" s="1">
        <f>C108-C109</f>
        <v>4492550</v>
      </c>
      <c r="E108" s="27">
        <f t="shared" si="5"/>
        <v>0</v>
      </c>
      <c r="M108" s="6" t="s">
        <v>130</v>
      </c>
      <c r="N108" s="40">
        <f>SUM(N103:N107)</f>
        <v>-3000000</v>
      </c>
    </row>
    <row r="109" spans="1:14" x14ac:dyDescent="0.25">
      <c r="A109" t="s">
        <v>46</v>
      </c>
      <c r="B109" s="1">
        <f>B18</f>
        <v>236450</v>
      </c>
      <c r="E109" s="27"/>
      <c r="M109" s="37" t="s">
        <v>131</v>
      </c>
      <c r="N109" s="37"/>
    </row>
    <row r="110" spans="1:14" x14ac:dyDescent="0.25">
      <c r="A110" t="s">
        <v>31</v>
      </c>
      <c r="C110" s="1">
        <f>C96+C106+C108</f>
        <v>236277850</v>
      </c>
      <c r="D110" s="1">
        <f>D96+D106+D108</f>
        <v>260526072.83199999</v>
      </c>
      <c r="E110" s="27">
        <f t="shared" si="5"/>
        <v>24248222.831999987</v>
      </c>
      <c r="M110" s="22" t="s">
        <v>132</v>
      </c>
      <c r="N110" s="22"/>
    </row>
    <row r="111" spans="1:14" x14ac:dyDescent="0.25">
      <c r="M111" t="s">
        <v>16</v>
      </c>
      <c r="N111" s="1">
        <f>J97</f>
        <v>0</v>
      </c>
    </row>
    <row r="112" spans="1:14" x14ac:dyDescent="0.25">
      <c r="M112" s="22" t="s">
        <v>133</v>
      </c>
      <c r="N112" s="22"/>
    </row>
    <row r="113" spans="1:14" x14ac:dyDescent="0.25">
      <c r="A113" s="44" t="s">
        <v>0</v>
      </c>
      <c r="B113" s="44"/>
      <c r="C113" s="44"/>
      <c r="M113" t="s">
        <v>78</v>
      </c>
      <c r="N113" s="1">
        <f>J100</f>
        <v>0</v>
      </c>
    </row>
    <row r="114" spans="1:14" x14ac:dyDescent="0.25">
      <c r="A114" s="44" t="s">
        <v>120</v>
      </c>
      <c r="B114" s="44"/>
      <c r="C114" s="44"/>
      <c r="M114" t="s">
        <v>115</v>
      </c>
      <c r="N114" s="1">
        <f>J101</f>
        <v>21248222.831999987</v>
      </c>
    </row>
    <row r="115" spans="1:14" x14ac:dyDescent="0.25">
      <c r="B115">
        <v>2020</v>
      </c>
      <c r="C115">
        <v>2021</v>
      </c>
      <c r="D115" t="s">
        <v>137</v>
      </c>
      <c r="M115" s="6" t="s">
        <v>134</v>
      </c>
      <c r="N115" s="40">
        <f>SUM(N111:N114)</f>
        <v>21248222.831999987</v>
      </c>
    </row>
    <row r="116" spans="1:14" x14ac:dyDescent="0.25">
      <c r="A116" t="s">
        <v>2</v>
      </c>
      <c r="B116" s="1">
        <v>219186000</v>
      </c>
      <c r="C116" s="1">
        <f>B78</f>
        <v>252874305.068454</v>
      </c>
      <c r="D116" s="27">
        <f>C116-B116</f>
        <v>33688305.068453997</v>
      </c>
      <c r="M116" s="37" t="s">
        <v>135</v>
      </c>
      <c r="N116" s="41">
        <f>SUM(N108,N115,N100)</f>
        <v>107353527.90045398</v>
      </c>
    </row>
    <row r="117" spans="1:14" x14ac:dyDescent="0.25">
      <c r="A117" t="s">
        <v>3</v>
      </c>
      <c r="B117" s="2">
        <v>84192000</v>
      </c>
      <c r="C117" s="2">
        <f>A83</f>
        <v>97132082.23645401</v>
      </c>
      <c r="D117" s="27">
        <f t="shared" ref="D117:D120" si="8">C117-B117</f>
        <v>12940082.23645401</v>
      </c>
    </row>
    <row r="118" spans="1:14" x14ac:dyDescent="0.25">
      <c r="A118" t="s">
        <v>4</v>
      </c>
      <c r="B118" s="2">
        <f>B116-B117</f>
        <v>134994000</v>
      </c>
      <c r="C118" s="2">
        <f>C116-C117</f>
        <v>155742222.83199999</v>
      </c>
      <c r="D118" s="27">
        <f t="shared" si="8"/>
        <v>20748222.831999987</v>
      </c>
    </row>
    <row r="119" spans="1:14" x14ac:dyDescent="0.25">
      <c r="A119" t="s">
        <v>5</v>
      </c>
      <c r="B119" s="2">
        <f>D24</f>
        <v>98553150</v>
      </c>
      <c r="C119" s="36">
        <f>D25</f>
        <v>98053150</v>
      </c>
      <c r="D119" s="27">
        <f t="shared" si="8"/>
        <v>-500000</v>
      </c>
    </row>
    <row r="120" spans="1:14" x14ac:dyDescent="0.25">
      <c r="A120" t="s">
        <v>6</v>
      </c>
      <c r="B120" s="2">
        <f>B118-B119</f>
        <v>36440850</v>
      </c>
      <c r="C120" s="1">
        <f>C118-C119</f>
        <v>57689072.831999987</v>
      </c>
      <c r="D120" s="27">
        <f t="shared" si="8"/>
        <v>21248222.831999987</v>
      </c>
    </row>
    <row r="141" spans="7:8" x14ac:dyDescent="0.25">
      <c r="G141" t="s">
        <v>19</v>
      </c>
      <c r="H141" s="1"/>
    </row>
    <row r="142" spans="7:8" x14ac:dyDescent="0.25">
      <c r="G142" t="s">
        <v>20</v>
      </c>
      <c r="H142" s="1">
        <v>158073000</v>
      </c>
    </row>
    <row r="143" spans="7:8" x14ac:dyDescent="0.25">
      <c r="H143" s="1"/>
    </row>
    <row r="144" spans="7:8" x14ac:dyDescent="0.25">
      <c r="G144" t="s">
        <v>22</v>
      </c>
      <c r="H144" s="1">
        <v>10705000</v>
      </c>
    </row>
    <row r="145" spans="7:8" x14ac:dyDescent="0.25">
      <c r="H145" s="1"/>
    </row>
    <row r="146" spans="7:8" x14ac:dyDescent="0.25">
      <c r="G146" t="s">
        <v>24</v>
      </c>
      <c r="H146" s="1">
        <v>22535000</v>
      </c>
    </row>
    <row r="147" spans="7:8" x14ac:dyDescent="0.25">
      <c r="H147" s="1"/>
    </row>
    <row r="148" spans="7:8" x14ac:dyDescent="0.25">
      <c r="G148" t="s">
        <v>26</v>
      </c>
      <c r="H148" s="1">
        <v>2106000</v>
      </c>
    </row>
  </sheetData>
  <mergeCells count="42">
    <mergeCell ref="A113:C113"/>
    <mergeCell ref="A114:C114"/>
    <mergeCell ref="M88:N88"/>
    <mergeCell ref="M89:N89"/>
    <mergeCell ref="A75:B75"/>
    <mergeCell ref="D75:E75"/>
    <mergeCell ref="A80:B80"/>
    <mergeCell ref="A88:J88"/>
    <mergeCell ref="A89:J89"/>
    <mergeCell ref="A63:B63"/>
    <mergeCell ref="A64:B64"/>
    <mergeCell ref="C52:D52"/>
    <mergeCell ref="C53:D53"/>
    <mergeCell ref="C55:D55"/>
    <mergeCell ref="C57:D57"/>
    <mergeCell ref="C59:D59"/>
    <mergeCell ref="C61:E61"/>
    <mergeCell ref="F50:I50"/>
    <mergeCell ref="G52:H52"/>
    <mergeCell ref="G39:I39"/>
    <mergeCell ref="A50:D50"/>
    <mergeCell ref="G48:H48"/>
    <mergeCell ref="A38:J38"/>
    <mergeCell ref="G25:J25"/>
    <mergeCell ref="A40:B40"/>
    <mergeCell ref="D40:E40"/>
    <mergeCell ref="D41:E41"/>
    <mergeCell ref="A27:E27"/>
    <mergeCell ref="A29:B29"/>
    <mergeCell ref="D29:E29"/>
    <mergeCell ref="A17:B17"/>
    <mergeCell ref="D17:E17"/>
    <mergeCell ref="A1:E1"/>
    <mergeCell ref="D14:E14"/>
    <mergeCell ref="K1:M1"/>
    <mergeCell ref="K2:M2"/>
    <mergeCell ref="K3:M3"/>
    <mergeCell ref="K4:M4"/>
    <mergeCell ref="G9:M9"/>
    <mergeCell ref="A11:B11"/>
    <mergeCell ref="A14:B14"/>
    <mergeCell ref="D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Parte 1</vt:lpstr>
      <vt:lpstr>Parte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brayan ramirez</dc:creator>
  <cp:lastModifiedBy>brayan ramirez</cp:lastModifiedBy>
  <dcterms:created xsi:type="dcterms:W3CDTF">2021-06-21T23:28:34Z</dcterms:created>
  <dcterms:modified xsi:type="dcterms:W3CDTF">2021-06-23T18:50:57Z</dcterms:modified>
</cp:coreProperties>
</file>