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braya\Downloads\Admin Finan\Parcial 3\"/>
    </mc:Choice>
  </mc:AlternateContent>
  <xr:revisionPtr revIDLastSave="0" documentId="13_ncr:1_{8FBF2D67-3AAB-401C-9823-6AB4A0CB05F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nalisis V y H" sheetId="1" r:id="rId1"/>
    <sheet name="Depreciacion y amortizacion" sheetId="4" r:id="rId2"/>
    <sheet name="Proforma, PE, PEU" sheetId="5" r:id="rId3"/>
    <sheet name="Flujo de efectivo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4" l="1"/>
  <c r="C30" i="4" s="1"/>
  <c r="B31" i="4"/>
  <c r="C31" i="4" s="1"/>
  <c r="B32" i="4"/>
  <c r="C32" i="4"/>
  <c r="B33" i="4"/>
  <c r="C33" i="4"/>
  <c r="C42" i="6"/>
  <c r="C26" i="6"/>
  <c r="J26" i="6"/>
  <c r="I29" i="6"/>
  <c r="I28" i="6"/>
  <c r="I30" i="6" s="1"/>
  <c r="H27" i="6"/>
  <c r="J27" i="6" s="1"/>
  <c r="H28" i="6"/>
  <c r="H29" i="6"/>
  <c r="J29" i="6" s="1"/>
  <c r="C46" i="6"/>
  <c r="J7" i="6"/>
  <c r="C33" i="6" s="1"/>
  <c r="J8" i="6"/>
  <c r="C34" i="6" s="1"/>
  <c r="J11" i="6"/>
  <c r="J14" i="6"/>
  <c r="C48" i="6" s="1"/>
  <c r="J15" i="6"/>
  <c r="C49" i="6" s="1"/>
  <c r="J6" i="6"/>
  <c r="C32" i="6" s="1"/>
  <c r="E7" i="6"/>
  <c r="E8" i="6"/>
  <c r="C29" i="6" s="1"/>
  <c r="E9" i="6"/>
  <c r="C30" i="6" s="1"/>
  <c r="E13" i="6"/>
  <c r="C40" i="6" s="1"/>
  <c r="E15" i="6"/>
  <c r="E18" i="6"/>
  <c r="E6" i="6"/>
  <c r="H16" i="6"/>
  <c r="J16" i="6" s="1"/>
  <c r="H9" i="6"/>
  <c r="H12" i="6" s="1"/>
  <c r="C14" i="6"/>
  <c r="E14" i="6" s="1"/>
  <c r="C41" i="6" s="1"/>
  <c r="C12" i="6"/>
  <c r="C10" i="6"/>
  <c r="I16" i="6"/>
  <c r="D16" i="6"/>
  <c r="D10" i="6"/>
  <c r="I9" i="6"/>
  <c r="C34" i="4" l="1"/>
  <c r="J9" i="6"/>
  <c r="C16" i="6"/>
  <c r="C19" i="6" s="1"/>
  <c r="C50" i="6"/>
  <c r="E16" i="6"/>
  <c r="J28" i="6"/>
  <c r="E10" i="6"/>
  <c r="D19" i="6"/>
  <c r="E12" i="6"/>
  <c r="C39" i="6" s="1"/>
  <c r="H30" i="6"/>
  <c r="J30" i="6" s="1"/>
  <c r="C35" i="6"/>
  <c r="H19" i="6"/>
  <c r="I12" i="6"/>
  <c r="E19" i="6" l="1"/>
  <c r="C43" i="6"/>
  <c r="I19" i="6"/>
  <c r="J12" i="6"/>
  <c r="J19" i="6"/>
  <c r="C51" i="6"/>
  <c r="Q17" i="5"/>
  <c r="Q21" i="5" s="1"/>
  <c r="Q18" i="5"/>
  <c r="B23" i="5"/>
  <c r="B22" i="5"/>
  <c r="B25" i="5" s="1"/>
  <c r="E26" i="5"/>
  <c r="E27" i="5" s="1"/>
  <c r="E30" i="5"/>
  <c r="H20" i="5"/>
  <c r="H19" i="5"/>
  <c r="M7" i="5"/>
  <c r="J12" i="5"/>
  <c r="M6" i="5"/>
  <c r="K11" i="5"/>
  <c r="K7" i="5"/>
  <c r="K20" i="5"/>
  <c r="K18" i="5"/>
  <c r="B15" i="5"/>
  <c r="E9" i="5"/>
  <c r="H6" i="5"/>
  <c r="G12" i="5"/>
  <c r="H22" i="5" s="1"/>
  <c r="H11" i="5"/>
  <c r="G5" i="5"/>
  <c r="H21" i="5"/>
  <c r="B32" i="5"/>
  <c r="B30" i="5"/>
  <c r="H10" i="5"/>
  <c r="B28" i="5"/>
  <c r="E31" i="5"/>
  <c r="E24" i="5"/>
  <c r="D11" i="1"/>
  <c r="B11" i="1"/>
  <c r="C5" i="4"/>
  <c r="B20" i="4"/>
  <c r="F32" i="4" s="1"/>
  <c r="E17" i="4"/>
  <c r="B17" i="4"/>
  <c r="B14" i="4"/>
  <c r="D21" i="4" s="1"/>
  <c r="D20" i="4"/>
  <c r="E14" i="4"/>
  <c r="D22" i="4" s="1"/>
  <c r="J9" i="4"/>
  <c r="N8" i="4"/>
  <c r="B5" i="4"/>
  <c r="Q29" i="5" l="1"/>
  <c r="Q23" i="5"/>
  <c r="Q25" i="5" s="1"/>
  <c r="Q30" i="5" s="1"/>
  <c r="Q32" i="5"/>
  <c r="K17" i="5"/>
  <c r="K33" i="5" s="1"/>
  <c r="K22" i="5"/>
  <c r="K30" i="5" s="1"/>
  <c r="K37" i="5" s="1"/>
  <c r="H23" i="5"/>
  <c r="E34" i="5"/>
  <c r="D24" i="4"/>
  <c r="I18" i="4"/>
  <c r="J17" i="4" s="1"/>
  <c r="D23" i="4"/>
  <c r="I16" i="4"/>
  <c r="J15" i="4" s="1"/>
  <c r="I14" i="4"/>
  <c r="J13" i="4" s="1"/>
  <c r="I12" i="4"/>
  <c r="J11" i="4" s="1"/>
  <c r="N11" i="4"/>
  <c r="B7" i="4"/>
  <c r="S14" i="1"/>
  <c r="S13" i="1"/>
  <c r="S10" i="1"/>
  <c r="S7" i="1"/>
  <c r="S6" i="1"/>
  <c r="S5" i="1"/>
  <c r="R15" i="1"/>
  <c r="S15" i="1" s="1"/>
  <c r="E6" i="1"/>
  <c r="E5" i="1"/>
  <c r="E4" i="1"/>
  <c r="C6" i="1"/>
  <c r="C4" i="1"/>
  <c r="D5" i="1"/>
  <c r="Q31" i="5" l="1"/>
  <c r="Q33" i="5" s="1"/>
  <c r="D11" i="5"/>
  <c r="D12" i="5" s="1"/>
  <c r="K6" i="5"/>
  <c r="K24" i="5"/>
  <c r="K26" i="5" s="1"/>
  <c r="K31" i="5" s="1"/>
  <c r="K32" i="5" s="1"/>
  <c r="K34" i="5" s="1"/>
  <c r="J19" i="4"/>
  <c r="B16" i="1"/>
  <c r="D16" i="1" s="1"/>
  <c r="T6" i="1"/>
  <c r="T7" i="1"/>
  <c r="T10" i="1"/>
  <c r="T13" i="1"/>
  <c r="T14" i="1"/>
  <c r="T5" i="1"/>
  <c r="M6" i="1"/>
  <c r="M7" i="1"/>
  <c r="M8" i="1"/>
  <c r="M11" i="1"/>
  <c r="M12" i="1"/>
  <c r="M13" i="1"/>
  <c r="M14" i="1"/>
  <c r="M17" i="1"/>
  <c r="M5" i="1"/>
  <c r="F4" i="1"/>
  <c r="F6" i="1"/>
  <c r="F3" i="1"/>
  <c r="I15" i="1" l="1"/>
  <c r="P15" i="1"/>
  <c r="T15" i="1" s="1"/>
  <c r="K15" i="1"/>
  <c r="K9" i="1"/>
  <c r="K18" i="1" s="1"/>
  <c r="I9" i="1"/>
  <c r="R8" i="1"/>
  <c r="P8" i="1"/>
  <c r="D7" i="1"/>
  <c r="E7" i="1" s="1"/>
  <c r="B5" i="1"/>
  <c r="R11" i="1" l="1"/>
  <c r="S11" i="1" s="1"/>
  <c r="S8" i="1"/>
  <c r="L15" i="1"/>
  <c r="L6" i="1"/>
  <c r="L14" i="1"/>
  <c r="L5" i="1"/>
  <c r="L13" i="1"/>
  <c r="L12" i="1"/>
  <c r="L11" i="1"/>
  <c r="L9" i="1"/>
  <c r="L8" i="1"/>
  <c r="L17" i="1"/>
  <c r="L7" i="1"/>
  <c r="B7" i="1"/>
  <c r="C7" i="1" s="1"/>
  <c r="C5" i="1"/>
  <c r="B12" i="1"/>
  <c r="E12" i="1" s="1"/>
  <c r="M9" i="1"/>
  <c r="F5" i="1"/>
  <c r="B14" i="1"/>
  <c r="D14" i="1" s="1"/>
  <c r="M15" i="1"/>
  <c r="P11" i="1"/>
  <c r="P18" i="1" s="1"/>
  <c r="T8" i="1"/>
  <c r="I18" i="1"/>
  <c r="B15" i="1" l="1"/>
  <c r="D15" i="1" s="1"/>
  <c r="Q14" i="1"/>
  <c r="Q6" i="1"/>
  <c r="Q13" i="1"/>
  <c r="Q11" i="1"/>
  <c r="Q10" i="1"/>
  <c r="Q7" i="1"/>
  <c r="Q8" i="1"/>
  <c r="Q5" i="1"/>
  <c r="Q15" i="1"/>
  <c r="M18" i="1"/>
  <c r="J9" i="1"/>
  <c r="J8" i="1"/>
  <c r="J17" i="1"/>
  <c r="J7" i="1"/>
  <c r="J15" i="1"/>
  <c r="J6" i="1"/>
  <c r="J14" i="1"/>
  <c r="J5" i="1"/>
  <c r="J13" i="1"/>
  <c r="J12" i="1"/>
  <c r="J11" i="1"/>
  <c r="F7" i="1"/>
  <c r="T18" i="1"/>
  <c r="B13" i="1"/>
  <c r="D13" i="1" s="1"/>
  <c r="T11" i="1"/>
  <c r="D25" i="4"/>
  <c r="D26" i="4" s="1"/>
  <c r="C6" i="4" s="1"/>
  <c r="C7" i="4" s="1"/>
  <c r="N14" i="4" s="1"/>
  <c r="N15" i="4" s="1"/>
  <c r="N18" i="4" s="1"/>
  <c r="I22" i="4" l="1"/>
  <c r="J21" i="4" s="1"/>
  <c r="J23" i="4" s="1"/>
  <c r="B37" i="5"/>
</calcChain>
</file>

<file path=xl/sharedStrings.xml><?xml version="1.0" encoding="utf-8"?>
<sst xmlns="http://schemas.openxmlformats.org/spreadsheetml/2006/main" count="275" uniqueCount="108">
  <si>
    <t>Ventas</t>
  </si>
  <si>
    <t>Costo de ventas</t>
  </si>
  <si>
    <t>Utilidad Bruta</t>
  </si>
  <si>
    <t>Gastos de operación</t>
  </si>
  <si>
    <t>Utilidad Neta</t>
  </si>
  <si>
    <t>Balance General (millones)</t>
  </si>
  <si>
    <t>Activo</t>
  </si>
  <si>
    <t>Pasivo</t>
  </si>
  <si>
    <t>Circulante</t>
  </si>
  <si>
    <t xml:space="preserve">Efectivo </t>
  </si>
  <si>
    <t>Proveedores</t>
  </si>
  <si>
    <t>Bancos</t>
  </si>
  <si>
    <t>Acreedores</t>
  </si>
  <si>
    <t>Inventario</t>
  </si>
  <si>
    <t>Documentos por pagar</t>
  </si>
  <si>
    <t>Cuentas por cobrar</t>
  </si>
  <si>
    <t>Suma</t>
  </si>
  <si>
    <t>Fijo</t>
  </si>
  <si>
    <t>Suma de Pasivo</t>
  </si>
  <si>
    <t>Mobiliario</t>
  </si>
  <si>
    <t>Capital</t>
  </si>
  <si>
    <t>Equipo de Reparto</t>
  </si>
  <si>
    <t>Capital Social</t>
  </si>
  <si>
    <t>Equipo de cómputo</t>
  </si>
  <si>
    <t>Suma de Capital</t>
  </si>
  <si>
    <t>Diferido</t>
  </si>
  <si>
    <t>Gastos de instalación</t>
  </si>
  <si>
    <t>Y Capital</t>
  </si>
  <si>
    <t>Suma de Activo</t>
  </si>
  <si>
    <t>Marinela SAB</t>
  </si>
  <si>
    <t>Edificios</t>
  </si>
  <si>
    <t>Estado de resultados</t>
  </si>
  <si>
    <t xml:space="preserve">Razones </t>
  </si>
  <si>
    <t>Diferencias</t>
  </si>
  <si>
    <t>Financieras (RF)</t>
  </si>
  <si>
    <t>Estandar (RE)</t>
  </si>
  <si>
    <t>+</t>
  </si>
  <si>
    <t>-</t>
  </si>
  <si>
    <t>Liquidez</t>
  </si>
  <si>
    <t>Solvencia</t>
  </si>
  <si>
    <t>Estabilidad economica</t>
  </si>
  <si>
    <t>Inmovilizacion de capital</t>
  </si>
  <si>
    <t>Rentabilidad en ventas</t>
  </si>
  <si>
    <t>Rentabilidad en Inversion</t>
  </si>
  <si>
    <t xml:space="preserve">Fenomenos </t>
  </si>
  <si>
    <t>economicos</t>
  </si>
  <si>
    <t>Costos fijos totales</t>
  </si>
  <si>
    <t>Gastos de operacion</t>
  </si>
  <si>
    <t>Costo variable por unidad</t>
  </si>
  <si>
    <t>precio de venta * costo de ventas</t>
  </si>
  <si>
    <t>Precio de venta</t>
  </si>
  <si>
    <t>PE (Ventas)</t>
  </si>
  <si>
    <t>Minimo de ventas</t>
  </si>
  <si>
    <t>Numero de unidades</t>
  </si>
  <si>
    <t>Ventas / Precio de ventas</t>
  </si>
  <si>
    <t>Costo variable total</t>
  </si>
  <si>
    <t>No de unidades*Costo variable unitario</t>
  </si>
  <si>
    <t>Ventas netas</t>
  </si>
  <si>
    <t>Utilidad bruta</t>
  </si>
  <si>
    <t>=</t>
  </si>
  <si>
    <t>Margen de utilidad</t>
  </si>
  <si>
    <t>PEU (ventas)</t>
  </si>
  <si>
    <t>Utilidad neta</t>
  </si>
  <si>
    <t>Capital social * 0.65</t>
  </si>
  <si>
    <t>Estado de Resultados (PE)</t>
  </si>
  <si>
    <t>Estado de Resultados (PEU)</t>
  </si>
  <si>
    <t>MARINELA SAB</t>
  </si>
  <si>
    <t>Nombre</t>
  </si>
  <si>
    <t>Precio</t>
  </si>
  <si>
    <t>Depreciacion</t>
  </si>
  <si>
    <t>Edificios Depreciacion</t>
  </si>
  <si>
    <t>Mobiliario Depreciacion</t>
  </si>
  <si>
    <t>Equipo de reparto</t>
  </si>
  <si>
    <t>E. Reparto Depreciacion</t>
  </si>
  <si>
    <t>E. computo Depreciacion</t>
  </si>
  <si>
    <t>Gastos de Operación</t>
  </si>
  <si>
    <t>Amortizacion gastos inst</t>
  </si>
  <si>
    <t>Amortizacion</t>
  </si>
  <si>
    <t>Inversion</t>
  </si>
  <si>
    <t>Capital social</t>
  </si>
  <si>
    <t>Pasivos (monto + interes)</t>
  </si>
  <si>
    <t>Rendimiento</t>
  </si>
  <si>
    <t>Valor futuro</t>
  </si>
  <si>
    <t>ROI</t>
  </si>
  <si>
    <t>Propuesta 2</t>
  </si>
  <si>
    <t>Popuesta 3</t>
  </si>
  <si>
    <t>Documentos por pagar (LP)</t>
  </si>
  <si>
    <t>Aumento de ventas</t>
  </si>
  <si>
    <t>Propuesta 1</t>
  </si>
  <si>
    <t>Almacen</t>
  </si>
  <si>
    <t>Actividades de Operación</t>
  </si>
  <si>
    <t>Utilidad neta (ultimo periodo)</t>
  </si>
  <si>
    <t>suma de depreciacion</t>
  </si>
  <si>
    <t>Diferencias en el activo (+)-</t>
  </si>
  <si>
    <t>Diferencias en el pasivo (-)+</t>
  </si>
  <si>
    <t>Efectivo proveniente de las operaciones</t>
  </si>
  <si>
    <t>Actividades de inversión</t>
  </si>
  <si>
    <t>Variacion en el activo fijo (+)-</t>
  </si>
  <si>
    <t>Terrenos</t>
  </si>
  <si>
    <t>Efectivo por actividades de inversion</t>
  </si>
  <si>
    <t>Actividades de financiamiento</t>
  </si>
  <si>
    <t>Variacion del pasivo de largo plazo +(-)</t>
  </si>
  <si>
    <t>Variacion de capital +(-)</t>
  </si>
  <si>
    <t>Efectivo proveniente de financiamiento</t>
  </si>
  <si>
    <t>Flujo de efectivo neto</t>
  </si>
  <si>
    <t>Esto de flujo de efectivo al 17 de junio del 2021</t>
  </si>
  <si>
    <t>proforma</t>
  </si>
  <si>
    <t>Proforma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</si>
</sst>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"/>
    <numFmt numFmtId="165" formatCode="_-&quot;$&quot;* #,##0_-;\-&quot;$&quot;* #,##0_-;_-&quot;$&quot;* &quot;-&quot;??_-;_-@_-"/>
    <numFmt numFmtId="166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2">
    <xf numFmtId="0" fontId="0" fillId="0" borderId="0" xfId="0"/>
    <xf numFmtId="44" fontId="0" fillId="0" borderId="0" xfId="0" applyNumberFormat="1"/>
    <xf numFmtId="44" fontId="0" fillId="0" borderId="0" xfId="1" applyNumberFormat="1" applyFont="1"/>
    <xf numFmtId="0" fontId="0" fillId="0" borderId="0" xfId="0" applyFont="1"/>
    <xf numFmtId="44" fontId="0" fillId="5" borderId="0" xfId="0" applyNumberFormat="1" applyFill="1"/>
    <xf numFmtId="44" fontId="0" fillId="0" borderId="0" xfId="0" applyNumberFormat="1" applyFill="1"/>
    <xf numFmtId="0" fontId="0" fillId="0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2" fontId="0" fillId="0" borderId="0" xfId="0" applyNumberFormat="1"/>
    <xf numFmtId="2" fontId="4" fillId="4" borderId="0" xfId="4" applyNumberFormat="1"/>
    <xf numFmtId="2" fontId="2" fillId="2" borderId="0" xfId="2" applyNumberFormat="1"/>
    <xf numFmtId="2" fontId="3" fillId="0" borderId="0" xfId="3" applyNumberFormat="1" applyFill="1"/>
    <xf numFmtId="2" fontId="0" fillId="0" borderId="0" xfId="0" applyNumberFormat="1" applyFill="1"/>
    <xf numFmtId="0" fontId="0" fillId="7" borderId="0" xfId="0" applyFill="1"/>
    <xf numFmtId="0" fontId="0" fillId="0" borderId="0" xfId="1" applyNumberFormat="1" applyFont="1"/>
    <xf numFmtId="10" fontId="0" fillId="0" borderId="0" xfId="0" applyNumberFormat="1"/>
    <xf numFmtId="0" fontId="0" fillId="8" borderId="0" xfId="0" applyFill="1"/>
    <xf numFmtId="0" fontId="0" fillId="8" borderId="0" xfId="1" applyNumberFormat="1" applyFont="1" applyFill="1"/>
    <xf numFmtId="3" fontId="0" fillId="9" borderId="0" xfId="0" applyNumberFormat="1" applyFill="1"/>
    <xf numFmtId="9" fontId="0" fillId="0" borderId="0" xfId="0" applyNumberFormat="1"/>
    <xf numFmtId="3" fontId="0" fillId="0" borderId="0" xfId="1" applyNumberFormat="1" applyFont="1"/>
    <xf numFmtId="44" fontId="0" fillId="9" borderId="0" xfId="1" applyFont="1" applyFill="1"/>
    <xf numFmtId="1" fontId="0" fillId="0" borderId="0" xfId="1" applyNumberFormat="1" applyFont="1"/>
    <xf numFmtId="1" fontId="0" fillId="0" borderId="0" xfId="0" applyNumberFormat="1"/>
    <xf numFmtId="1" fontId="0" fillId="11" borderId="0" xfId="0" applyNumberFormat="1" applyFill="1"/>
    <xf numFmtId="0" fontId="4" fillId="4" borderId="0" xfId="4"/>
    <xf numFmtId="10" fontId="0" fillId="0" borderId="0" xfId="0" applyNumberFormat="1" applyFill="1"/>
    <xf numFmtId="9" fontId="0" fillId="0" borderId="0" xfId="0" applyNumberFormat="1" applyFill="1"/>
    <xf numFmtId="44" fontId="0" fillId="0" borderId="0" xfId="1" applyNumberFormat="1" applyFont="1" applyFill="1"/>
    <xf numFmtId="16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3" fontId="0" fillId="0" borderId="0" xfId="0" applyNumberFormat="1"/>
    <xf numFmtId="9" fontId="2" fillId="2" borderId="0" xfId="2" applyNumberFormat="1"/>
    <xf numFmtId="4" fontId="0" fillId="0" borderId="0" xfId="0" applyNumberFormat="1"/>
    <xf numFmtId="166" fontId="0" fillId="0" borderId="0" xfId="0" applyNumberFormat="1"/>
    <xf numFmtId="0" fontId="4" fillId="0" borderId="0" xfId="4" applyFill="1" applyAlignment="1"/>
    <xf numFmtId="4" fontId="0" fillId="11" borderId="0" xfId="0" applyNumberFormat="1" applyFill="1"/>
    <xf numFmtId="3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44" fontId="0" fillId="11" borderId="0" xfId="0" applyNumberFormat="1" applyFill="1"/>
    <xf numFmtId="0" fontId="0" fillId="0" borderId="0" xfId="1" applyNumberFormat="1" applyFont="1" applyFill="1"/>
    <xf numFmtId="3" fontId="0" fillId="0" borderId="0" xfId="1" applyNumberFormat="1" applyFont="1" applyFill="1"/>
    <xf numFmtId="0" fontId="0" fillId="0" borderId="0" xfId="0" applyFont="1" applyFill="1"/>
    <xf numFmtId="0" fontId="4" fillId="0" borderId="0" xfId="4" applyFill="1" applyBorder="1" applyAlignment="1">
      <alignment horizontal="center"/>
    </xf>
    <xf numFmtId="44" fontId="0" fillId="0" borderId="0" xfId="1" applyFont="1" applyFill="1"/>
    <xf numFmtId="0" fontId="0" fillId="12" borderId="0" xfId="0" applyFill="1"/>
    <xf numFmtId="44" fontId="0" fillId="12" borderId="0" xfId="1" applyFont="1" applyFill="1"/>
    <xf numFmtId="44" fontId="0" fillId="0" borderId="0" xfId="1" applyFont="1"/>
    <xf numFmtId="0" fontId="0" fillId="13" borderId="0" xfId="0" applyFill="1"/>
    <xf numFmtId="44" fontId="0" fillId="13" borderId="0" xfId="0" applyNumberFormat="1" applyFill="1"/>
    <xf numFmtId="44" fontId="0" fillId="6" borderId="0" xfId="0" applyNumberFormat="1" applyFill="1"/>
    <xf numFmtId="44" fontId="0" fillId="12" borderId="0" xfId="0" applyNumberFormat="1" applyFill="1"/>
    <xf numFmtId="0" fontId="4" fillId="4" borderId="0" xfId="4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4" fillId="4" borderId="0" xfId="4" applyBorder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5">
    <cellStyle name="Bueno" xfId="2" builtinId="26"/>
    <cellStyle name="Incorrecto" xfId="3" builtinId="27"/>
    <cellStyle name="Moneda" xfId="1" builtinId="4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180976</xdr:rowOff>
    </xdr:from>
    <xdr:to>
      <xdr:col>2</xdr:col>
      <xdr:colOff>66675</xdr:colOff>
      <xdr:row>19</xdr:row>
      <xdr:rowOff>47626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BFAB18C-95C3-4A7C-8842-D85BD94B55BC}"/>
            </a:ext>
          </a:extLst>
        </xdr:cNvPr>
        <xdr:cNvSpPr/>
      </xdr:nvSpPr>
      <xdr:spPr>
        <a:xfrm>
          <a:off x="38100" y="3228976"/>
          <a:ext cx="2581275" cy="4381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Excedente</a:t>
          </a:r>
          <a:r>
            <a:rPr lang="es-MX" sz="1100" baseline="0"/>
            <a:t> de recursos necesita ponerlos a trabajar</a:t>
          </a:r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4</xdr:col>
      <xdr:colOff>552450</xdr:colOff>
      <xdr:row>6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038AFDE-2B58-4AC9-A232-C73B7076EFB8}"/>
            </a:ext>
          </a:extLst>
        </xdr:cNvPr>
        <xdr:cNvSpPr txBox="1"/>
      </xdr:nvSpPr>
      <xdr:spPr>
        <a:xfrm>
          <a:off x="0" y="38100"/>
          <a:ext cx="440055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Propuestas</a:t>
          </a:r>
        </a:p>
        <a:p>
          <a:endParaRPr lang="es-MX" sz="1100"/>
        </a:p>
        <a:p>
          <a:r>
            <a:rPr lang="es-MX" sz="1100"/>
            <a:t>1) Incrementar ventas para un rendimiento</a:t>
          </a:r>
          <a:r>
            <a:rPr lang="es-MX" sz="1100" baseline="0"/>
            <a:t> del 65%</a:t>
          </a:r>
          <a:endParaRPr lang="es-MX" sz="1100"/>
        </a:p>
        <a:p>
          <a:r>
            <a:rPr lang="es-MX" sz="1100"/>
            <a:t>2)</a:t>
          </a:r>
          <a:r>
            <a:rPr lang="es-MX" sz="1100" baseline="0"/>
            <a:t> </a:t>
          </a:r>
          <a:r>
            <a:rPr lang="es-MX" sz="1100"/>
            <a:t>Invertir,</a:t>
          </a:r>
          <a:r>
            <a:rPr lang="es-MX" sz="1100" baseline="0"/>
            <a:t> donde la mitad del monto es reucurso propio y el otro deuda.</a:t>
          </a:r>
          <a:endParaRPr lang="es-MX" sz="1100"/>
        </a:p>
        <a:p>
          <a:r>
            <a:rPr lang="es-MX" sz="1100"/>
            <a:t>3) Pagar 10% de pasivo a</a:t>
          </a:r>
          <a:r>
            <a:rPr lang="es-MX" sz="1100" baseline="0"/>
            <a:t> largo plazo con un descuento del 3%</a:t>
          </a:r>
          <a:endParaRPr lang="es-MX" sz="1100"/>
        </a:p>
      </xdr:txBody>
    </xdr:sp>
    <xdr:clientData/>
  </xdr:twoCellAnchor>
  <xdr:twoCellAnchor>
    <xdr:from>
      <xdr:col>8</xdr:col>
      <xdr:colOff>685800</xdr:colOff>
      <xdr:row>12</xdr:row>
      <xdr:rowOff>152400</xdr:rowOff>
    </xdr:from>
    <xdr:to>
      <xdr:col>15</xdr:col>
      <xdr:colOff>28575</xdr:colOff>
      <xdr:row>15</xdr:row>
      <xdr:rowOff>85725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F54D986-D81E-4C8F-AE80-B7F22312B622}"/>
            </a:ext>
          </a:extLst>
        </xdr:cNvPr>
        <xdr:cNvSpPr txBox="1"/>
      </xdr:nvSpPr>
      <xdr:spPr>
        <a:xfrm>
          <a:off x="9020175" y="2438400"/>
          <a:ext cx="56388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Calcular el punto de equilibrio, tomando en cuenta que el precio</a:t>
          </a:r>
          <a:r>
            <a:rPr lang="es-MX" sz="1100" baseline="0"/>
            <a:t> de venta unitario es de 3,000 y la utilidad es del 65%.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zoomScaleNormal="100" workbookViewId="0">
      <selection activeCell="B14" sqref="B14"/>
    </sheetView>
  </sheetViews>
  <sheetFormatPr baseColWidth="10" defaultRowHeight="15" x14ac:dyDescent="0.25"/>
  <cols>
    <col min="1" max="1" width="37.5703125" customWidth="1"/>
    <col min="2" max="2" width="14.85546875" customWidth="1"/>
    <col min="3" max="3" width="12.7109375" customWidth="1"/>
    <col min="4" max="4" width="12.5703125" bestFit="1" customWidth="1"/>
    <col min="5" max="6" width="12.5703125" customWidth="1"/>
    <col min="7" max="7" width="12.140625" customWidth="1"/>
    <col min="8" max="8" width="19.28515625" customWidth="1"/>
    <col min="9" max="9" width="12.5703125" customWidth="1"/>
    <col min="10" max="10" width="12.5703125" bestFit="1" customWidth="1"/>
    <col min="11" max="12" width="12.5703125" customWidth="1"/>
    <col min="13" max="13" width="12.5703125" bestFit="1" customWidth="1"/>
    <col min="14" max="14" width="12.5703125" customWidth="1"/>
    <col min="15" max="15" width="20.7109375" customWidth="1"/>
    <col min="16" max="18" width="12.5703125" bestFit="1" customWidth="1"/>
  </cols>
  <sheetData>
    <row r="1" spans="1:20" x14ac:dyDescent="0.25">
      <c r="A1" s="55" t="s">
        <v>29</v>
      </c>
      <c r="B1" s="55"/>
      <c r="C1" s="55"/>
      <c r="D1" s="55"/>
      <c r="E1" s="55"/>
      <c r="F1" s="55"/>
      <c r="H1" s="55" t="s">
        <v>29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x14ac:dyDescent="0.25">
      <c r="A2" s="55" t="s">
        <v>31</v>
      </c>
      <c r="B2" s="55"/>
      <c r="C2" s="55"/>
      <c r="D2" s="55"/>
      <c r="E2" s="55"/>
      <c r="F2" s="55"/>
      <c r="H2" s="55" t="s">
        <v>5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0" x14ac:dyDescent="0.25">
      <c r="A3" t="s">
        <v>0</v>
      </c>
      <c r="B3" s="1">
        <v>219186</v>
      </c>
      <c r="C3" s="20">
        <v>1</v>
      </c>
      <c r="D3" s="1">
        <v>187053</v>
      </c>
      <c r="E3" s="20">
        <v>1</v>
      </c>
      <c r="F3" s="4">
        <f>B3-D3</f>
        <v>32133</v>
      </c>
      <c r="H3" t="s">
        <v>6</v>
      </c>
      <c r="I3">
        <v>2020</v>
      </c>
      <c r="K3">
        <v>2019</v>
      </c>
      <c r="O3" t="s">
        <v>7</v>
      </c>
      <c r="P3">
        <v>2020</v>
      </c>
      <c r="R3">
        <v>2019</v>
      </c>
    </row>
    <row r="4" spans="1:20" x14ac:dyDescent="0.25">
      <c r="A4" t="s">
        <v>1</v>
      </c>
      <c r="B4" s="2">
        <v>84192</v>
      </c>
      <c r="C4" s="16">
        <f>(C3/B3)*B4</f>
        <v>0.38411212394952232</v>
      </c>
      <c r="D4" s="2">
        <v>71862</v>
      </c>
      <c r="E4" s="16">
        <f>(E3/D3)*D4</f>
        <v>0.38417988484547161</v>
      </c>
      <c r="F4" s="4">
        <f>B4-D4</f>
        <v>12330</v>
      </c>
      <c r="H4" t="s">
        <v>8</v>
      </c>
      <c r="O4" t="s">
        <v>8</v>
      </c>
    </row>
    <row r="5" spans="1:20" x14ac:dyDescent="0.25">
      <c r="A5" t="s">
        <v>2</v>
      </c>
      <c r="B5" s="2">
        <f>B3-B4</f>
        <v>134994</v>
      </c>
      <c r="C5" s="16">
        <f>(C3/B3)*B5</f>
        <v>0.61588787605047768</v>
      </c>
      <c r="D5" s="2">
        <f>D3-D4</f>
        <v>115191</v>
      </c>
      <c r="E5" s="16">
        <f>(E3/D3)*D5</f>
        <v>0.61582011515452839</v>
      </c>
      <c r="F5" s="4">
        <f>B5-D5</f>
        <v>19803</v>
      </c>
      <c r="H5" t="s">
        <v>9</v>
      </c>
      <c r="I5" s="1">
        <v>13825</v>
      </c>
      <c r="J5" s="16">
        <f>(J18/I18)*I5</f>
        <v>7.606435071580267E-2</v>
      </c>
      <c r="K5" s="1">
        <v>2572</v>
      </c>
      <c r="L5" s="16">
        <f>(L18/K18)*K5</f>
        <v>1.904381113159629E-2</v>
      </c>
      <c r="M5" s="4">
        <f>I5-K5</f>
        <v>11253</v>
      </c>
      <c r="O5" t="s">
        <v>10</v>
      </c>
      <c r="P5" s="1">
        <v>13146</v>
      </c>
      <c r="Q5" s="16">
        <f>(Q18/P18)*P5</f>
        <v>7.2328531971786042E-2</v>
      </c>
      <c r="R5" s="1">
        <v>11857</v>
      </c>
      <c r="S5" s="16">
        <f>(S18/R18)*R5</f>
        <v>8.7792561659151322E-2</v>
      </c>
      <c r="T5" s="4">
        <f>P5-R5</f>
        <v>1289</v>
      </c>
    </row>
    <row r="6" spans="1:20" x14ac:dyDescent="0.25">
      <c r="A6" t="s">
        <v>3</v>
      </c>
      <c r="B6" s="2">
        <v>83077</v>
      </c>
      <c r="C6" s="16">
        <f>(C3/B3)*B6</f>
        <v>0.37902512021753215</v>
      </c>
      <c r="D6" s="2">
        <v>78636</v>
      </c>
      <c r="E6" s="16">
        <f>(E3/D3)*D6</f>
        <v>0.42039421982005104</v>
      </c>
      <c r="F6" s="4">
        <f>B6-D6</f>
        <v>4441</v>
      </c>
      <c r="H6" t="s">
        <v>11</v>
      </c>
      <c r="I6" s="1">
        <v>15509</v>
      </c>
      <c r="J6" s="16">
        <f>(J18/I18)*I6</f>
        <v>8.5329621356338786E-2</v>
      </c>
      <c r="K6" s="1">
        <v>14978</v>
      </c>
      <c r="L6" s="16">
        <f>(L18/K18)*K6</f>
        <v>0.11090132314504247</v>
      </c>
      <c r="M6" s="4">
        <f>I6-K6</f>
        <v>531</v>
      </c>
      <c r="O6" t="s">
        <v>12</v>
      </c>
      <c r="P6" s="1">
        <v>2845</v>
      </c>
      <c r="Q6" s="16">
        <f>(Q18/P18)*P6</f>
        <v>1.5653025518007856E-2</v>
      </c>
      <c r="R6" s="1">
        <v>3235</v>
      </c>
      <c r="S6" s="16">
        <f>(S18/R18)*R6</f>
        <v>2.3952849537602641E-2</v>
      </c>
      <c r="T6" s="4">
        <f>P6-R6</f>
        <v>-390</v>
      </c>
    </row>
    <row r="7" spans="1:20" x14ac:dyDescent="0.25">
      <c r="A7" t="s">
        <v>4</v>
      </c>
      <c r="B7" s="2">
        <f>B5-B6</f>
        <v>51917</v>
      </c>
      <c r="C7" s="16">
        <f>(C3/B3)*B7</f>
        <v>0.23686275583294553</v>
      </c>
      <c r="D7" s="2">
        <f>D5-D6</f>
        <v>36555</v>
      </c>
      <c r="E7" s="16">
        <f>(E3/D3)*D7</f>
        <v>0.19542589533447741</v>
      </c>
      <c r="F7" s="4">
        <f>B7-D7</f>
        <v>15362</v>
      </c>
      <c r="H7" t="s">
        <v>13</v>
      </c>
      <c r="I7" s="1">
        <v>19047</v>
      </c>
      <c r="J7" s="16">
        <f>(J18/I18)*I7</f>
        <v>0.10479549280896155</v>
      </c>
      <c r="K7" s="1">
        <v>29028</v>
      </c>
      <c r="L7" s="16">
        <f>(L18/K18)*K7</f>
        <v>0.21493147337790711</v>
      </c>
      <c r="M7" s="4">
        <f>I7-K7</f>
        <v>-9981</v>
      </c>
      <c r="O7" t="s">
        <v>14</v>
      </c>
      <c r="P7" s="1">
        <v>10046</v>
      </c>
      <c r="Q7" s="16">
        <f>(Q18/P18)*P7</f>
        <v>5.5272511196452344E-2</v>
      </c>
      <c r="R7" s="1">
        <v>12432</v>
      </c>
      <c r="S7" s="16">
        <f>(S18/R18)*R7</f>
        <v>9.205002332348565E-2</v>
      </c>
      <c r="T7" s="4">
        <f>P7-R7</f>
        <v>-2386</v>
      </c>
    </row>
    <row r="8" spans="1:20" x14ac:dyDescent="0.25">
      <c r="H8" t="s">
        <v>15</v>
      </c>
      <c r="I8" s="1">
        <v>5225</v>
      </c>
      <c r="J8" s="16">
        <f>(J18/I18)*I8</f>
        <v>2.8747647919715659E-2</v>
      </c>
      <c r="K8" s="1">
        <v>4800</v>
      </c>
      <c r="L8" s="16">
        <f>(L18/K18)*K8</f>
        <v>3.5540549545747355E-2</v>
      </c>
      <c r="M8" s="4">
        <f>I8-K8</f>
        <v>425</v>
      </c>
      <c r="O8" t="s">
        <v>16</v>
      </c>
      <c r="P8" s="1">
        <f>P5+P6+P7</f>
        <v>26037</v>
      </c>
      <c r="Q8" s="16">
        <f>(Q18/P18)*P8</f>
        <v>0.14325406868624624</v>
      </c>
      <c r="R8" s="1">
        <f>R5+R6+R7</f>
        <v>27524</v>
      </c>
      <c r="S8" s="16">
        <f>(S18/R18)*R8</f>
        <v>0.2037954345202396</v>
      </c>
      <c r="T8" s="4">
        <f>P8-R8</f>
        <v>-1487</v>
      </c>
    </row>
    <row r="9" spans="1:20" x14ac:dyDescent="0.25">
      <c r="A9" s="7" t="s">
        <v>44</v>
      </c>
      <c r="B9" s="7" t="s">
        <v>32</v>
      </c>
      <c r="C9" s="7" t="s">
        <v>32</v>
      </c>
      <c r="D9" s="56" t="s">
        <v>33</v>
      </c>
      <c r="E9" s="56"/>
      <c r="H9" t="s">
        <v>16</v>
      </c>
      <c r="I9" s="1">
        <f>SUM(I5:I8)</f>
        <v>53606</v>
      </c>
      <c r="J9" s="16">
        <f>(J18/I18)*I9</f>
        <v>0.29493711280081869</v>
      </c>
      <c r="K9" s="1">
        <f>SUM(K5:K8)</f>
        <v>51378</v>
      </c>
      <c r="L9" s="16">
        <f>(L18/K18)*K9</f>
        <v>0.38041715720029323</v>
      </c>
      <c r="M9" s="4">
        <f>I9-K9</f>
        <v>2228</v>
      </c>
      <c r="O9" t="s">
        <v>17</v>
      </c>
      <c r="P9" s="1"/>
      <c r="R9" s="1"/>
      <c r="T9" s="5"/>
    </row>
    <row r="10" spans="1:20" x14ac:dyDescent="0.25">
      <c r="A10" s="7" t="s">
        <v>45</v>
      </c>
      <c r="B10" s="7" t="s">
        <v>34</v>
      </c>
      <c r="C10" s="7" t="s">
        <v>35</v>
      </c>
      <c r="D10" s="8" t="s">
        <v>36</v>
      </c>
      <c r="E10" s="8" t="s">
        <v>37</v>
      </c>
      <c r="H10" t="s">
        <v>17</v>
      </c>
      <c r="I10" s="1"/>
      <c r="K10" s="1"/>
      <c r="M10" s="5"/>
      <c r="O10" t="s">
        <v>14</v>
      </c>
      <c r="P10" s="1">
        <v>18974</v>
      </c>
      <c r="Q10" s="16">
        <f>(Q18/P18)*P10</f>
        <v>0.10439385102941337</v>
      </c>
      <c r="R10" s="1">
        <v>7523</v>
      </c>
      <c r="S10" s="16">
        <f>(S18/R18)*R10</f>
        <v>5.5702407131803612E-2</v>
      </c>
      <c r="T10" s="4">
        <f>P10-R10</f>
        <v>11451</v>
      </c>
    </row>
    <row r="11" spans="1:20" x14ac:dyDescent="0.25">
      <c r="A11" s="14" t="s">
        <v>38</v>
      </c>
      <c r="B11" s="9">
        <f>(I5+I6)/P8</f>
        <v>1.1266274916465031</v>
      </c>
      <c r="C11" s="9">
        <v>0.96</v>
      </c>
      <c r="D11" s="11">
        <f>B11-C11</f>
        <v>0.16662749164650315</v>
      </c>
      <c r="H11" t="s">
        <v>30</v>
      </c>
      <c r="I11" s="1">
        <v>58073</v>
      </c>
      <c r="J11" s="16">
        <f>(J18/I18)*I11</f>
        <v>0.31951428854385594</v>
      </c>
      <c r="K11" s="1">
        <v>52475</v>
      </c>
      <c r="L11" s="16">
        <f>(L18/K18)*K11</f>
        <v>0.38853965362772758</v>
      </c>
      <c r="M11" s="4">
        <f>I11-K11</f>
        <v>5598</v>
      </c>
      <c r="O11" t="s">
        <v>18</v>
      </c>
      <c r="P11" s="1">
        <f>P8+P10</f>
        <v>45011</v>
      </c>
      <c r="Q11" s="16">
        <f>(Q18/P18)*P11</f>
        <v>0.24764791971565961</v>
      </c>
      <c r="R11" s="1">
        <f>R8+R10</f>
        <v>35047</v>
      </c>
      <c r="S11" s="16">
        <f>(S18/R18)*R11</f>
        <v>0.2594978416520432</v>
      </c>
      <c r="T11" s="4">
        <f>P11-R11</f>
        <v>9964</v>
      </c>
    </row>
    <row r="12" spans="1:20" x14ac:dyDescent="0.25">
      <c r="A12" s="14" t="s">
        <v>39</v>
      </c>
      <c r="B12" s="9">
        <f>I9/P8</f>
        <v>2.0588393440104467</v>
      </c>
      <c r="C12" s="9">
        <v>2.08</v>
      </c>
      <c r="D12" s="13"/>
      <c r="E12" s="10">
        <f>C12-B12</f>
        <v>2.1160655989553412E-2</v>
      </c>
      <c r="H12" t="s">
        <v>19</v>
      </c>
      <c r="I12" s="1">
        <v>10705</v>
      </c>
      <c r="J12" s="16">
        <f>(J18/I18)*I12</f>
        <v>5.8898291096757149E-2</v>
      </c>
      <c r="K12" s="1">
        <v>8709</v>
      </c>
      <c r="L12" s="16">
        <f>(L18/K18)*K12</f>
        <v>6.4483884582065359E-2</v>
      </c>
      <c r="M12" s="4">
        <f>I12-K12</f>
        <v>1996</v>
      </c>
      <c r="O12" t="s">
        <v>20</v>
      </c>
      <c r="P12" s="1"/>
      <c r="Q12" s="16"/>
      <c r="R12" s="1"/>
      <c r="T12" s="5"/>
    </row>
    <row r="13" spans="1:20" x14ac:dyDescent="0.25">
      <c r="A13" s="14" t="s">
        <v>40</v>
      </c>
      <c r="B13" s="9">
        <f>P11/I18</f>
        <v>0.24764791971565964</v>
      </c>
      <c r="C13" s="9">
        <v>0.57999999999999996</v>
      </c>
      <c r="D13" s="11">
        <f>-B13+C13</f>
        <v>0.33235208028434032</v>
      </c>
      <c r="E13" s="12"/>
      <c r="H13" t="s">
        <v>21</v>
      </c>
      <c r="I13" s="1">
        <v>32535</v>
      </c>
      <c r="J13" s="16">
        <f>(J18/I18)*I13</f>
        <v>0.17900568900821989</v>
      </c>
      <c r="K13" s="1">
        <v>17960</v>
      </c>
      <c r="L13" s="16">
        <f>(L18/K18)*K13</f>
        <v>0.13298088955033802</v>
      </c>
      <c r="M13" s="4">
        <f>I13-K13</f>
        <v>14575</v>
      </c>
      <c r="O13" t="s">
        <v>22</v>
      </c>
      <c r="P13" s="1">
        <v>84826</v>
      </c>
      <c r="Q13" s="16">
        <f>(Q18/P18)*P13</f>
        <v>0.4667077478349857</v>
      </c>
      <c r="R13" s="1">
        <v>63455</v>
      </c>
      <c r="S13" s="16">
        <f>(S18/R18)*R13</f>
        <v>0.46983866071362462</v>
      </c>
      <c r="T13" s="4">
        <f>P13-R13</f>
        <v>21371</v>
      </c>
    </row>
    <row r="14" spans="1:20" x14ac:dyDescent="0.25">
      <c r="A14" s="14" t="s">
        <v>41</v>
      </c>
      <c r="B14" s="9">
        <f>I15/P15</f>
        <v>0.8294318539157397</v>
      </c>
      <c r="C14" s="9">
        <v>1.24</v>
      </c>
      <c r="D14" s="11">
        <f>C14-B14</f>
        <v>0.41056814608426029</v>
      </c>
      <c r="E14" s="12"/>
      <c r="H14" t="s">
        <v>23</v>
      </c>
      <c r="I14" s="1">
        <v>12106</v>
      </c>
      <c r="J14" s="16">
        <f>(J18/I18)*I14</f>
        <v>6.6606512098770859E-2</v>
      </c>
      <c r="K14" s="1">
        <v>2031</v>
      </c>
      <c r="L14" s="16">
        <f>(L18/K18)*K14</f>
        <v>1.5038095026544348E-2</v>
      </c>
      <c r="M14" s="4">
        <f>I14-K14</f>
        <v>10075</v>
      </c>
      <c r="O14" t="s">
        <v>4</v>
      </c>
      <c r="P14" s="2">
        <v>51917</v>
      </c>
      <c r="Q14" s="16">
        <f>(Q18/P18)*P14</f>
        <v>0.28564433244935461</v>
      </c>
      <c r="R14" s="2">
        <v>36555</v>
      </c>
      <c r="S14" s="16">
        <f>(S18/R18)*R14</f>
        <v>0.27066349763433217</v>
      </c>
      <c r="T14" s="4">
        <f>P14-R14</f>
        <v>15362</v>
      </c>
    </row>
    <row r="15" spans="1:20" x14ac:dyDescent="0.25">
      <c r="A15" s="14" t="s">
        <v>42</v>
      </c>
      <c r="B15" s="9">
        <f>B7/B3</f>
        <v>0.23686275583294553</v>
      </c>
      <c r="C15" s="9">
        <v>0.1</v>
      </c>
      <c r="D15" s="11">
        <f>B15-C15</f>
        <v>0.13686275583294552</v>
      </c>
      <c r="E15" s="13"/>
      <c r="H15" t="s">
        <v>16</v>
      </c>
      <c r="I15" s="1">
        <f>SUM(I11:I14)</f>
        <v>113419</v>
      </c>
      <c r="J15" s="16">
        <f>(J18/I18)*I15</f>
        <v>0.62402478074760381</v>
      </c>
      <c r="K15" s="1">
        <f>SUM(K11:K14)</f>
        <v>81175</v>
      </c>
      <c r="L15" s="16">
        <f>(L18/K18)*K15</f>
        <v>0.60104252278667525</v>
      </c>
      <c r="M15" s="4">
        <f>I15-K15</f>
        <v>32244</v>
      </c>
      <c r="O15" t="s">
        <v>24</v>
      </c>
      <c r="P15" s="1">
        <f>P13+P14</f>
        <v>136743</v>
      </c>
      <c r="Q15" s="16">
        <f>(Q18/P18)*P15</f>
        <v>0.75235208028434031</v>
      </c>
      <c r="R15" s="1">
        <f>R13+R14</f>
        <v>100010</v>
      </c>
      <c r="S15" s="16">
        <f>(S18/R18)*R15</f>
        <v>0.74050215834795685</v>
      </c>
      <c r="T15" s="4">
        <f>P15-R15</f>
        <v>36733</v>
      </c>
    </row>
    <row r="16" spans="1:20" x14ac:dyDescent="0.25">
      <c r="A16" s="14" t="s">
        <v>43</v>
      </c>
      <c r="B16" s="9">
        <f>P14/P13</f>
        <v>0.61204111946808759</v>
      </c>
      <c r="C16" s="9">
        <v>0.15</v>
      </c>
      <c r="D16" s="11">
        <f>B16-C16</f>
        <v>0.46204111946808757</v>
      </c>
      <c r="E16" s="13"/>
      <c r="H16" t="s">
        <v>25</v>
      </c>
      <c r="I16" s="1"/>
      <c r="K16" s="1"/>
      <c r="M16" s="5"/>
      <c r="O16" t="s">
        <v>18</v>
      </c>
      <c r="T16" s="5"/>
    </row>
    <row r="17" spans="2:20" x14ac:dyDescent="0.25">
      <c r="B17" s="1"/>
      <c r="C17" s="1"/>
      <c r="H17" t="s">
        <v>26</v>
      </c>
      <c r="I17" s="1">
        <v>14729</v>
      </c>
      <c r="J17" s="16">
        <f>(J18/I18)*I17</f>
        <v>8.1038106451577399E-2</v>
      </c>
      <c r="K17" s="1">
        <v>2504</v>
      </c>
      <c r="L17" s="16">
        <f>(L18/K18)*K17</f>
        <v>1.8540320013031537E-2</v>
      </c>
      <c r="M17" s="4">
        <f>I17-K17</f>
        <v>12225</v>
      </c>
      <c r="O17" t="s">
        <v>27</v>
      </c>
      <c r="P17" s="1"/>
      <c r="T17" s="5"/>
    </row>
    <row r="18" spans="2:20" x14ac:dyDescent="0.25">
      <c r="B18" s="1"/>
      <c r="C18" s="1"/>
      <c r="H18" t="s">
        <v>28</v>
      </c>
      <c r="I18" s="1">
        <f>I9+I15+I17</f>
        <v>181754</v>
      </c>
      <c r="J18" s="20">
        <v>1</v>
      </c>
      <c r="K18" s="1">
        <f>K9+K15+K17</f>
        <v>135057</v>
      </c>
      <c r="L18" s="20">
        <v>1</v>
      </c>
      <c r="M18" s="4">
        <f>I18-K18</f>
        <v>46697</v>
      </c>
      <c r="P18" s="1">
        <f>P11+P15</f>
        <v>181754</v>
      </c>
      <c r="Q18" s="20">
        <v>1</v>
      </c>
      <c r="R18" s="1">
        <v>135057</v>
      </c>
      <c r="S18" s="20">
        <v>1</v>
      </c>
      <c r="T18" s="4">
        <f>P18-R18</f>
        <v>46697</v>
      </c>
    </row>
    <row r="19" spans="2:20" x14ac:dyDescent="0.25">
      <c r="B19" s="1"/>
      <c r="C19" s="1"/>
      <c r="G19" s="2"/>
      <c r="H19" s="2"/>
    </row>
    <row r="20" spans="2:20" x14ac:dyDescent="0.25">
      <c r="C20" s="1"/>
    </row>
    <row r="21" spans="2:20" x14ac:dyDescent="0.25">
      <c r="C21" s="1"/>
    </row>
    <row r="28" spans="2:20" s="3" customFormat="1" x14ac:dyDescent="0.25"/>
  </sheetData>
  <mergeCells count="5">
    <mergeCell ref="A1:F1"/>
    <mergeCell ref="A2:F2"/>
    <mergeCell ref="H1:T1"/>
    <mergeCell ref="H2:T2"/>
    <mergeCell ref="D9:E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5479-B37F-4DC7-842A-3EC520BC039C}">
  <dimension ref="A1:T46"/>
  <sheetViews>
    <sheetView tabSelected="1" topLeftCell="E1" workbookViewId="0">
      <selection activeCell="C34" sqref="C34"/>
    </sheetView>
  </sheetViews>
  <sheetFormatPr baseColWidth="10" defaultRowHeight="15" x14ac:dyDescent="0.25"/>
  <cols>
    <col min="1" max="1" width="19" customWidth="1"/>
    <col min="2" max="4" width="12.5703125" bestFit="1" customWidth="1"/>
    <col min="8" max="8" width="24.5703125" customWidth="1"/>
    <col min="9" max="11" width="12.5703125" bestFit="1" customWidth="1"/>
    <col min="12" max="12" width="21" customWidth="1"/>
    <col min="13" max="14" width="12.5703125" bestFit="1" customWidth="1"/>
    <col min="15" max="15" width="23.85546875" customWidth="1"/>
    <col min="16" max="16" width="12.5703125" bestFit="1" customWidth="1"/>
    <col min="18" max="18" width="12.5703125" bestFit="1" customWidth="1"/>
  </cols>
  <sheetData>
    <row r="1" spans="1:20" x14ac:dyDescent="0.25">
      <c r="A1" s="55" t="s">
        <v>29</v>
      </c>
      <c r="B1" s="55"/>
      <c r="C1" s="55"/>
      <c r="H1" s="55" t="s">
        <v>29</v>
      </c>
      <c r="I1" s="55"/>
      <c r="J1" s="55"/>
      <c r="K1" s="55"/>
      <c r="L1" s="55"/>
      <c r="M1" s="55"/>
      <c r="N1" s="55"/>
    </row>
    <row r="2" spans="1:20" x14ac:dyDescent="0.25">
      <c r="A2" s="55" t="s">
        <v>31</v>
      </c>
      <c r="B2" s="55"/>
      <c r="C2" s="55"/>
      <c r="H2" s="55" t="s">
        <v>5</v>
      </c>
      <c r="I2" s="55"/>
      <c r="J2" s="55"/>
      <c r="K2" s="55"/>
      <c r="L2" s="55"/>
      <c r="M2" s="55"/>
      <c r="N2" s="55"/>
    </row>
    <row r="3" spans="1:20" x14ac:dyDescent="0.25">
      <c r="A3" t="s">
        <v>0</v>
      </c>
      <c r="B3" s="1">
        <v>219186</v>
      </c>
      <c r="C3" s="1">
        <v>219186</v>
      </c>
      <c r="D3" s="5"/>
      <c r="E3" s="28"/>
      <c r="F3" s="5"/>
      <c r="H3" t="s">
        <v>6</v>
      </c>
      <c r="J3">
        <v>2020</v>
      </c>
      <c r="K3" s="6"/>
      <c r="L3" t="s">
        <v>7</v>
      </c>
      <c r="N3">
        <v>2020</v>
      </c>
      <c r="R3" s="6"/>
      <c r="S3" s="6"/>
      <c r="T3" s="6"/>
    </row>
    <row r="4" spans="1:20" x14ac:dyDescent="0.25">
      <c r="A4" t="s">
        <v>1</v>
      </c>
      <c r="B4" s="2">
        <v>84192</v>
      </c>
      <c r="C4" s="2">
        <v>84192</v>
      </c>
      <c r="D4" s="29"/>
      <c r="E4" s="27"/>
      <c r="F4" s="5"/>
      <c r="H4" t="s">
        <v>8</v>
      </c>
      <c r="K4" s="6"/>
      <c r="L4" t="s">
        <v>8</v>
      </c>
      <c r="R4" s="6"/>
      <c r="S4" s="6"/>
      <c r="T4" s="6"/>
    </row>
    <row r="5" spans="1:20" x14ac:dyDescent="0.25">
      <c r="A5" t="s">
        <v>2</v>
      </c>
      <c r="B5" s="2">
        <f>B3-B4</f>
        <v>134994</v>
      </c>
      <c r="C5" s="2">
        <f>C3-C4</f>
        <v>134994</v>
      </c>
      <c r="D5" s="29"/>
      <c r="E5" s="27"/>
      <c r="F5" s="5"/>
      <c r="H5" t="s">
        <v>9</v>
      </c>
      <c r="J5" s="1">
        <v>13825</v>
      </c>
      <c r="K5" s="5"/>
      <c r="L5" t="s">
        <v>10</v>
      </c>
      <c r="N5" s="1">
        <v>13146</v>
      </c>
      <c r="Q5" s="16"/>
      <c r="R5" s="5"/>
      <c r="S5" s="27"/>
      <c r="T5" s="5"/>
    </row>
    <row r="6" spans="1:20" x14ac:dyDescent="0.25">
      <c r="A6" t="s">
        <v>3</v>
      </c>
      <c r="B6" s="2">
        <v>83077</v>
      </c>
      <c r="C6" s="30">
        <f>D26</f>
        <v>99553.15</v>
      </c>
      <c r="D6" s="29"/>
      <c r="E6" s="27"/>
      <c r="F6" s="5"/>
      <c r="H6" t="s">
        <v>11</v>
      </c>
      <c r="J6" s="1">
        <v>15509</v>
      </c>
      <c r="K6" s="5"/>
      <c r="L6" t="s">
        <v>12</v>
      </c>
      <c r="N6" s="1">
        <v>2845</v>
      </c>
      <c r="Q6" s="16"/>
      <c r="R6" s="5"/>
      <c r="S6" s="27"/>
      <c r="T6" s="5"/>
    </row>
    <row r="7" spans="1:20" x14ac:dyDescent="0.25">
      <c r="A7" t="s">
        <v>4</v>
      </c>
      <c r="B7" s="2">
        <f>B5-B6</f>
        <v>51917</v>
      </c>
      <c r="C7" s="1">
        <f>C5-C6</f>
        <v>35440.850000000006</v>
      </c>
      <c r="D7" s="29"/>
      <c r="E7" s="27"/>
      <c r="F7" s="5"/>
      <c r="H7" t="s">
        <v>13</v>
      </c>
      <c r="J7" s="1">
        <v>19047</v>
      </c>
      <c r="K7" s="5"/>
      <c r="L7" t="s">
        <v>14</v>
      </c>
      <c r="N7" s="1">
        <v>10046</v>
      </c>
      <c r="Q7" s="16"/>
      <c r="R7" s="5"/>
      <c r="S7" s="27"/>
      <c r="T7" s="5"/>
    </row>
    <row r="8" spans="1:20" x14ac:dyDescent="0.25">
      <c r="H8" t="s">
        <v>15</v>
      </c>
      <c r="J8" s="1">
        <v>5225</v>
      </c>
      <c r="K8" s="5"/>
      <c r="L8" t="s">
        <v>16</v>
      </c>
      <c r="N8" s="1">
        <f>N5+N6+N7</f>
        <v>26037</v>
      </c>
      <c r="Q8" s="16"/>
      <c r="R8" s="5"/>
      <c r="S8" s="27"/>
      <c r="T8" s="5"/>
    </row>
    <row r="9" spans="1:20" x14ac:dyDescent="0.25">
      <c r="H9" t="s">
        <v>16</v>
      </c>
      <c r="J9" s="1">
        <f>SUM(J5:J8)</f>
        <v>53606</v>
      </c>
      <c r="K9" s="5"/>
      <c r="L9" t="s">
        <v>17</v>
      </c>
      <c r="N9" s="1"/>
      <c r="R9" s="5"/>
      <c r="S9" s="6"/>
      <c r="T9" s="5"/>
    </row>
    <row r="10" spans="1:20" x14ac:dyDescent="0.25">
      <c r="H10" t="s">
        <v>17</v>
      </c>
      <c r="J10" s="1"/>
      <c r="K10" s="5"/>
      <c r="L10" t="s">
        <v>14</v>
      </c>
      <c r="N10" s="1">
        <v>18974</v>
      </c>
      <c r="Q10" s="16"/>
      <c r="R10" s="5"/>
      <c r="S10" s="27"/>
      <c r="T10" s="5"/>
    </row>
    <row r="11" spans="1:20" x14ac:dyDescent="0.25">
      <c r="H11" t="s">
        <v>30</v>
      </c>
      <c r="I11" s="1">
        <v>58073</v>
      </c>
      <c r="J11" s="1">
        <f>I11-I12</f>
        <v>55169.35</v>
      </c>
      <c r="K11" s="5"/>
      <c r="L11" t="s">
        <v>18</v>
      </c>
      <c r="N11" s="1">
        <f>N8+N10</f>
        <v>45011</v>
      </c>
      <c r="Q11" s="16"/>
      <c r="R11" s="5"/>
      <c r="S11" s="27"/>
      <c r="T11" s="5"/>
    </row>
    <row r="12" spans="1:20" x14ac:dyDescent="0.25">
      <c r="I12" s="24">
        <f>B14</f>
        <v>2903.65</v>
      </c>
      <c r="J12" s="1"/>
      <c r="K12" s="6"/>
      <c r="L12" t="s">
        <v>20</v>
      </c>
      <c r="N12" s="1"/>
      <c r="Q12" s="16"/>
      <c r="R12" s="5"/>
      <c r="S12" s="6"/>
      <c r="T12" s="5"/>
    </row>
    <row r="13" spans="1:20" x14ac:dyDescent="0.25">
      <c r="A13" s="58" t="s">
        <v>70</v>
      </c>
      <c r="B13" s="58"/>
      <c r="D13" s="58" t="s">
        <v>71</v>
      </c>
      <c r="E13" s="58"/>
      <c r="H13" t="s">
        <v>19</v>
      </c>
      <c r="I13" s="1">
        <v>10705</v>
      </c>
      <c r="J13" s="1">
        <f t="shared" ref="J13:J17" si="0">I13-I14</f>
        <v>9634.5</v>
      </c>
      <c r="K13" s="5"/>
      <c r="L13" t="s">
        <v>22</v>
      </c>
      <c r="N13" s="1">
        <v>84826</v>
      </c>
      <c r="Q13" s="16"/>
      <c r="R13" s="5"/>
      <c r="S13" s="27"/>
      <c r="T13" s="5"/>
    </row>
    <row r="14" spans="1:20" x14ac:dyDescent="0.25">
      <c r="B14" s="25">
        <f>C30</f>
        <v>2903.65</v>
      </c>
      <c r="E14" s="25">
        <f>C31</f>
        <v>1070.5</v>
      </c>
      <c r="I14" s="24">
        <f>E14</f>
        <v>1070.5</v>
      </c>
      <c r="J14" s="1"/>
      <c r="K14" s="6"/>
      <c r="L14" t="s">
        <v>4</v>
      </c>
      <c r="N14" s="2">
        <f>C7</f>
        <v>35440.850000000006</v>
      </c>
      <c r="Q14" s="16"/>
      <c r="R14" s="29"/>
      <c r="S14" s="27"/>
      <c r="T14" s="5"/>
    </row>
    <row r="15" spans="1:20" x14ac:dyDescent="0.25">
      <c r="H15" t="s">
        <v>21</v>
      </c>
      <c r="I15" s="1">
        <v>32535</v>
      </c>
      <c r="J15" s="1">
        <f t="shared" si="0"/>
        <v>24401.25</v>
      </c>
      <c r="K15" s="5"/>
      <c r="L15" t="s">
        <v>24</v>
      </c>
      <c r="N15" s="1">
        <f>N13+N14</f>
        <v>120266.85</v>
      </c>
      <c r="Q15" s="16"/>
      <c r="R15" s="5"/>
      <c r="S15" s="27"/>
      <c r="T15" s="5"/>
    </row>
    <row r="16" spans="1:20" x14ac:dyDescent="0.25">
      <c r="A16" s="58" t="s">
        <v>73</v>
      </c>
      <c r="B16" s="58"/>
      <c r="D16" s="58" t="s">
        <v>74</v>
      </c>
      <c r="E16" s="58"/>
      <c r="I16" s="24">
        <f>B17</f>
        <v>8133.75</v>
      </c>
      <c r="J16" s="1"/>
      <c r="K16" s="6"/>
      <c r="L16" t="s">
        <v>18</v>
      </c>
      <c r="R16" s="6"/>
      <c r="S16" s="6"/>
      <c r="T16" s="5"/>
    </row>
    <row r="17" spans="1:20" x14ac:dyDescent="0.25">
      <c r="B17" s="25">
        <f>C32</f>
        <v>8133.75</v>
      </c>
      <c r="E17" s="25">
        <f>C33</f>
        <v>3631.7999999999997</v>
      </c>
      <c r="H17" t="s">
        <v>23</v>
      </c>
      <c r="I17" s="1">
        <v>12106</v>
      </c>
      <c r="J17" s="1">
        <f t="shared" si="0"/>
        <v>8474.2000000000007</v>
      </c>
      <c r="K17" s="5"/>
      <c r="L17" t="s">
        <v>27</v>
      </c>
      <c r="N17" s="1"/>
      <c r="R17" s="6"/>
      <c r="S17" s="6"/>
      <c r="T17" s="5"/>
    </row>
    <row r="18" spans="1:20" x14ac:dyDescent="0.25">
      <c r="I18" s="24">
        <f>E17</f>
        <v>3631.7999999999997</v>
      </c>
      <c r="J18" s="1"/>
      <c r="K18" s="6"/>
      <c r="N18" s="1">
        <f>N11+N15</f>
        <v>165277.85</v>
      </c>
      <c r="Q18" s="20"/>
      <c r="R18" s="5"/>
      <c r="S18" s="28"/>
      <c r="T18" s="5"/>
    </row>
    <row r="19" spans="1:20" x14ac:dyDescent="0.25">
      <c r="A19" s="58" t="s">
        <v>76</v>
      </c>
      <c r="B19" s="58"/>
      <c r="D19" s="58" t="s">
        <v>75</v>
      </c>
      <c r="E19" s="58"/>
      <c r="H19" t="s">
        <v>16</v>
      </c>
      <c r="J19" s="1">
        <f>SUM(J11:J17)</f>
        <v>97679.3</v>
      </c>
      <c r="K19" s="5"/>
      <c r="L19" s="27"/>
      <c r="M19" s="5"/>
    </row>
    <row r="20" spans="1:20" x14ac:dyDescent="0.25">
      <c r="B20" s="25">
        <f>I21*0.05</f>
        <v>736.45</v>
      </c>
      <c r="D20" s="24">
        <f>B6</f>
        <v>83077</v>
      </c>
      <c r="H20" t="s">
        <v>25</v>
      </c>
      <c r="J20" s="1"/>
      <c r="K20" s="5"/>
      <c r="L20" s="6"/>
      <c r="M20" s="5"/>
    </row>
    <row r="21" spans="1:20" x14ac:dyDescent="0.25">
      <c r="D21" s="24">
        <f>B14</f>
        <v>2903.65</v>
      </c>
      <c r="H21" t="s">
        <v>26</v>
      </c>
      <c r="I21" s="1">
        <v>14729</v>
      </c>
      <c r="J21" s="1">
        <f>I21-I22</f>
        <v>13992.55</v>
      </c>
      <c r="K21" s="5"/>
      <c r="L21" s="27"/>
      <c r="M21" s="5"/>
    </row>
    <row r="22" spans="1:20" x14ac:dyDescent="0.25">
      <c r="D22" s="24">
        <f>E14</f>
        <v>1070.5</v>
      </c>
      <c r="H22" t="s">
        <v>77</v>
      </c>
      <c r="I22" s="32">
        <f>B20</f>
        <v>736.45</v>
      </c>
      <c r="K22" s="5"/>
      <c r="L22" s="28"/>
      <c r="M22" s="5"/>
    </row>
    <row r="23" spans="1:20" x14ac:dyDescent="0.25">
      <c r="D23" s="24">
        <f>B17</f>
        <v>8133.75</v>
      </c>
      <c r="H23" t="s">
        <v>28</v>
      </c>
      <c r="J23" s="1">
        <f>J9+J19+J21</f>
        <v>165277.84999999998</v>
      </c>
    </row>
    <row r="24" spans="1:20" x14ac:dyDescent="0.25">
      <c r="D24" s="24">
        <f>E17</f>
        <v>3631.7999999999997</v>
      </c>
    </row>
    <row r="25" spans="1:20" x14ac:dyDescent="0.25">
      <c r="D25" s="24">
        <f>B20</f>
        <v>736.45</v>
      </c>
    </row>
    <row r="26" spans="1:20" x14ac:dyDescent="0.25">
      <c r="D26" s="25">
        <f>SUM(D20:D25)</f>
        <v>99553.15</v>
      </c>
    </row>
    <row r="28" spans="1:20" x14ac:dyDescent="0.25">
      <c r="N28" s="6"/>
      <c r="O28" s="6"/>
      <c r="P28" s="6"/>
      <c r="Q28" s="6"/>
      <c r="R28" s="6"/>
      <c r="S28" s="6"/>
    </row>
    <row r="29" spans="1:20" x14ac:dyDescent="0.25">
      <c r="A29" s="26" t="s">
        <v>67</v>
      </c>
      <c r="B29" s="26" t="s">
        <v>68</v>
      </c>
      <c r="C29" s="26" t="s">
        <v>69</v>
      </c>
      <c r="N29" s="6"/>
      <c r="O29" s="6"/>
      <c r="P29" s="29"/>
      <c r="Q29" s="57"/>
      <c r="R29" s="57"/>
      <c r="S29" s="57"/>
    </row>
    <row r="30" spans="1:20" x14ac:dyDescent="0.25">
      <c r="A30" t="s">
        <v>30</v>
      </c>
      <c r="B30" s="23">
        <f>I11</f>
        <v>58073</v>
      </c>
      <c r="C30" s="24">
        <f>B30*0.05</f>
        <v>2903.65</v>
      </c>
      <c r="N30" s="6"/>
      <c r="O30" s="27"/>
      <c r="P30" s="43"/>
      <c r="Q30" s="57"/>
      <c r="R30" s="57"/>
      <c r="S30" s="57"/>
    </row>
    <row r="31" spans="1:20" x14ac:dyDescent="0.25">
      <c r="A31" t="s">
        <v>19</v>
      </c>
      <c r="B31" s="23">
        <f>I13</f>
        <v>10705</v>
      </c>
      <c r="C31" s="24">
        <f>B31*0.1</f>
        <v>1070.5</v>
      </c>
      <c r="N31" s="6"/>
      <c r="O31" s="6"/>
      <c r="P31" s="44"/>
      <c r="Q31" s="6"/>
      <c r="R31" s="6"/>
      <c r="S31" s="6"/>
    </row>
    <row r="32" spans="1:20" x14ac:dyDescent="0.25">
      <c r="A32" t="s">
        <v>72</v>
      </c>
      <c r="B32" s="23">
        <f>I15</f>
        <v>32535</v>
      </c>
      <c r="C32" s="24">
        <f>B32*0.25</f>
        <v>8133.75</v>
      </c>
      <c r="F32" s="24">
        <f>C34+B20</f>
        <v>16476.149999999998</v>
      </c>
      <c r="N32" s="6"/>
      <c r="O32" s="6"/>
      <c r="P32" s="29"/>
      <c r="Q32" s="57"/>
      <c r="R32" s="57"/>
      <c r="S32" s="57"/>
    </row>
    <row r="33" spans="1:19" x14ac:dyDescent="0.25">
      <c r="A33" t="s">
        <v>23</v>
      </c>
      <c r="B33" s="23">
        <f>I17</f>
        <v>12106</v>
      </c>
      <c r="C33" s="24">
        <f>B33*0.3</f>
        <v>3631.7999999999997</v>
      </c>
      <c r="N33" s="6"/>
      <c r="O33" s="6"/>
      <c r="P33" s="6"/>
      <c r="Q33" s="6"/>
      <c r="R33" s="6"/>
      <c r="S33" s="6"/>
    </row>
    <row r="34" spans="1:19" x14ac:dyDescent="0.25">
      <c r="C34" s="25">
        <f>SUM(C30:C33)</f>
        <v>15739.699999999999</v>
      </c>
      <c r="N34" s="6"/>
      <c r="O34" s="6"/>
      <c r="P34" s="43"/>
      <c r="Q34" s="57"/>
      <c r="R34" s="57"/>
      <c r="S34" s="57"/>
    </row>
    <row r="35" spans="1:19" x14ac:dyDescent="0.25">
      <c r="M35" s="3"/>
      <c r="N35" s="45"/>
      <c r="O35" s="6"/>
      <c r="P35" s="6"/>
      <c r="Q35" s="6"/>
      <c r="R35" s="6"/>
      <c r="S35" s="6"/>
    </row>
    <row r="36" spans="1:19" x14ac:dyDescent="0.25">
      <c r="N36" s="6"/>
      <c r="O36" s="6"/>
      <c r="P36" s="43"/>
      <c r="Q36" s="57"/>
      <c r="R36" s="57"/>
      <c r="S36" s="57"/>
    </row>
    <row r="37" spans="1:19" x14ac:dyDescent="0.25">
      <c r="N37" s="6"/>
      <c r="O37" s="6"/>
      <c r="P37" s="6"/>
      <c r="Q37" s="6"/>
      <c r="R37" s="6"/>
      <c r="S37" s="6"/>
    </row>
    <row r="38" spans="1:19" x14ac:dyDescent="0.25">
      <c r="N38" s="6"/>
      <c r="O38" s="6"/>
      <c r="P38" s="43"/>
      <c r="Q38" s="57"/>
      <c r="R38" s="57"/>
      <c r="S38" s="57"/>
    </row>
    <row r="39" spans="1:19" x14ac:dyDescent="0.25">
      <c r="N39" s="6"/>
      <c r="O39" s="6"/>
      <c r="P39" s="6"/>
      <c r="Q39" s="6"/>
      <c r="R39" s="6"/>
      <c r="S39" s="6"/>
    </row>
    <row r="40" spans="1:19" x14ac:dyDescent="0.25">
      <c r="N40" s="6"/>
      <c r="O40" s="46"/>
      <c r="P40" s="46"/>
      <c r="Q40" s="6"/>
      <c r="R40" s="6"/>
      <c r="S40" s="6"/>
    </row>
    <row r="41" spans="1:19" x14ac:dyDescent="0.25">
      <c r="N41" s="6"/>
      <c r="O41" s="46"/>
      <c r="P41" s="46"/>
      <c r="Q41" s="6"/>
      <c r="R41" s="6"/>
      <c r="S41" s="6"/>
    </row>
    <row r="42" spans="1:19" x14ac:dyDescent="0.25">
      <c r="N42" s="6"/>
      <c r="O42" s="6"/>
      <c r="P42" s="43"/>
      <c r="Q42" s="6"/>
      <c r="R42" s="6"/>
      <c r="S42" s="6"/>
    </row>
    <row r="43" spans="1:19" x14ac:dyDescent="0.25">
      <c r="N43" s="6"/>
      <c r="O43" s="6"/>
      <c r="P43" s="43"/>
      <c r="Q43" s="6"/>
      <c r="R43" s="6"/>
      <c r="S43" s="6"/>
    </row>
    <row r="44" spans="1:19" x14ac:dyDescent="0.25">
      <c r="N44" s="6"/>
      <c r="O44" s="6"/>
      <c r="P44" s="43"/>
      <c r="Q44" s="6"/>
      <c r="R44" s="6"/>
      <c r="S44" s="6"/>
    </row>
    <row r="45" spans="1:19" x14ac:dyDescent="0.25">
      <c r="N45" s="6"/>
      <c r="O45" s="6"/>
      <c r="P45" s="43"/>
      <c r="Q45" s="6"/>
      <c r="R45" s="6"/>
      <c r="S45" s="6"/>
    </row>
    <row r="46" spans="1:19" x14ac:dyDescent="0.25">
      <c r="N46" s="6"/>
      <c r="O46" s="6"/>
      <c r="P46" s="47"/>
      <c r="Q46" s="6"/>
      <c r="R46" s="6"/>
      <c r="S46" s="6"/>
    </row>
  </sheetData>
  <mergeCells count="16">
    <mergeCell ref="D19:E19"/>
    <mergeCell ref="A19:B19"/>
    <mergeCell ref="A16:B16"/>
    <mergeCell ref="D16:E16"/>
    <mergeCell ref="H1:N1"/>
    <mergeCell ref="H2:N2"/>
    <mergeCell ref="A1:C1"/>
    <mergeCell ref="A2:C2"/>
    <mergeCell ref="A13:B13"/>
    <mergeCell ref="D13:E13"/>
    <mergeCell ref="Q36:S36"/>
    <mergeCell ref="Q38:S38"/>
    <mergeCell ref="Q34:S34"/>
    <mergeCell ref="Q29:S29"/>
    <mergeCell ref="Q30:S30"/>
    <mergeCell ref="Q32:S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0722-767D-4215-A04F-2E94BF60FAD3}">
  <dimension ref="A2:T38"/>
  <sheetViews>
    <sheetView workbookViewId="0">
      <selection activeCell="H21" sqref="H21"/>
    </sheetView>
  </sheetViews>
  <sheetFormatPr baseColWidth="10" defaultRowHeight="15" x14ac:dyDescent="0.25"/>
  <cols>
    <col min="1" max="1" width="23.42578125" customWidth="1"/>
    <col min="2" max="2" width="12.5703125" bestFit="1" customWidth="1"/>
    <col min="4" max="4" width="21.42578125" customWidth="1"/>
    <col min="5" max="5" width="12.5703125" bestFit="1" customWidth="1"/>
    <col min="7" max="7" width="19.5703125" customWidth="1"/>
    <col min="8" max="9" width="12.5703125" bestFit="1" customWidth="1"/>
    <col min="10" max="10" width="24.7109375" customWidth="1"/>
    <col min="16" max="16" width="24.140625" customWidth="1"/>
  </cols>
  <sheetData>
    <row r="2" spans="1:14" x14ac:dyDescent="0.25">
      <c r="G2" t="s">
        <v>85</v>
      </c>
      <c r="J2" t="s">
        <v>88</v>
      </c>
    </row>
    <row r="4" spans="1:14" x14ac:dyDescent="0.25">
      <c r="G4" s="58" t="s">
        <v>86</v>
      </c>
      <c r="H4" s="58"/>
      <c r="J4" s="58" t="s">
        <v>0</v>
      </c>
      <c r="K4" s="58"/>
      <c r="M4" s="58" t="s">
        <v>1</v>
      </c>
      <c r="N4" s="58"/>
    </row>
    <row r="5" spans="1:14" x14ac:dyDescent="0.25">
      <c r="G5" s="9">
        <f>H5*0.1</f>
        <v>1897.4</v>
      </c>
      <c r="H5">
        <v>18974</v>
      </c>
      <c r="K5">
        <v>219186</v>
      </c>
      <c r="M5">
        <v>84192</v>
      </c>
    </row>
    <row r="6" spans="1:14" x14ac:dyDescent="0.25">
      <c r="H6" s="41">
        <f>H5-G5</f>
        <v>17076.599999999999</v>
      </c>
      <c r="K6" s="1">
        <f>K37</f>
        <v>29254.529032258055</v>
      </c>
      <c r="M6" s="1">
        <f>K11</f>
        <v>11116.721032258061</v>
      </c>
    </row>
    <row r="7" spans="1:14" x14ac:dyDescent="0.25">
      <c r="K7" s="40">
        <f>SUM(K5:K6)</f>
        <v>248440.52903225805</v>
      </c>
      <c r="M7" s="40">
        <f>SUM(M5:M6)</f>
        <v>95308.721032258065</v>
      </c>
    </row>
    <row r="8" spans="1:14" x14ac:dyDescent="0.25">
      <c r="D8" s="58" t="s">
        <v>11</v>
      </c>
      <c r="E8" s="58"/>
    </row>
    <row r="9" spans="1:14" x14ac:dyDescent="0.25">
      <c r="A9" s="14"/>
      <c r="B9" s="14" t="s">
        <v>84</v>
      </c>
      <c r="D9" s="33">
        <v>15509</v>
      </c>
      <c r="E9" s="9">
        <f>G5-H11</f>
        <v>1840.4780000000001</v>
      </c>
      <c r="G9" s="58" t="s">
        <v>3</v>
      </c>
      <c r="H9" s="58"/>
    </row>
    <row r="10" spans="1:14" x14ac:dyDescent="0.25">
      <c r="A10" t="s">
        <v>78</v>
      </c>
      <c r="B10" s="33">
        <v>4000</v>
      </c>
      <c r="D10" s="35">
        <v>600</v>
      </c>
      <c r="G10" s="35">
        <v>99553.15</v>
      </c>
      <c r="H10" s="36">
        <f>D10</f>
        <v>600</v>
      </c>
      <c r="J10" s="58" t="s">
        <v>89</v>
      </c>
      <c r="K10" s="58"/>
    </row>
    <row r="11" spans="1:14" x14ac:dyDescent="0.25">
      <c r="A11" t="s">
        <v>79</v>
      </c>
      <c r="B11" s="33">
        <v>2000</v>
      </c>
      <c r="D11" s="1">
        <f>K37</f>
        <v>29254.529032258055</v>
      </c>
      <c r="H11" s="9">
        <f>G5*0.03</f>
        <v>56.922000000000004</v>
      </c>
      <c r="J11">
        <v>19047</v>
      </c>
      <c r="K11" s="1">
        <f>K37*0.38</f>
        <v>11116.721032258061</v>
      </c>
    </row>
    <row r="12" spans="1:14" x14ac:dyDescent="0.25">
      <c r="A12" t="s">
        <v>80</v>
      </c>
      <c r="B12" s="33">
        <v>2400</v>
      </c>
      <c r="D12" s="39">
        <f>SUM(D9:D11)-E9</f>
        <v>43523.051032258052</v>
      </c>
      <c r="G12" s="38">
        <f>G10-SUM(H10:H11)</f>
        <v>98896.227999999988</v>
      </c>
      <c r="J12" s="42">
        <f>J11-K11</f>
        <v>7930.2789677419387</v>
      </c>
    </row>
    <row r="13" spans="1:14" x14ac:dyDescent="0.25">
      <c r="A13" t="s">
        <v>81</v>
      </c>
      <c r="B13" s="33">
        <v>600</v>
      </c>
    </row>
    <row r="14" spans="1:14" x14ac:dyDescent="0.25">
      <c r="A14" t="s">
        <v>82</v>
      </c>
    </row>
    <row r="15" spans="1:14" x14ac:dyDescent="0.25">
      <c r="A15" t="s">
        <v>83</v>
      </c>
      <c r="B15" s="34">
        <f>B13/B11</f>
        <v>0.3</v>
      </c>
    </row>
    <row r="17" spans="1:20" x14ac:dyDescent="0.25">
      <c r="A17" s="55" t="s">
        <v>29</v>
      </c>
      <c r="B17" s="55"/>
      <c r="C17" s="55"/>
      <c r="D17" s="55"/>
      <c r="E17" s="55"/>
      <c r="G17" s="55" t="s">
        <v>29</v>
      </c>
      <c r="H17" s="55"/>
      <c r="I17" s="37"/>
      <c r="J17" t="s">
        <v>46</v>
      </c>
      <c r="K17" s="2">
        <f>G12</f>
        <v>98896.227999999988</v>
      </c>
      <c r="L17" s="61" t="s">
        <v>47</v>
      </c>
      <c r="M17" s="61"/>
      <c r="N17" s="61"/>
      <c r="P17" t="s">
        <v>46</v>
      </c>
      <c r="Q17" s="31">
        <f>K17</f>
        <v>98896.227999999988</v>
      </c>
      <c r="R17" s="61" t="s">
        <v>47</v>
      </c>
      <c r="S17" s="61"/>
      <c r="T17" s="61"/>
    </row>
    <row r="18" spans="1:20" x14ac:dyDescent="0.25">
      <c r="A18" s="55" t="s">
        <v>5</v>
      </c>
      <c r="B18" s="55"/>
      <c r="C18" s="55"/>
      <c r="D18" s="55"/>
      <c r="E18" s="55"/>
      <c r="G18" s="55" t="s">
        <v>31</v>
      </c>
      <c r="H18" s="55"/>
      <c r="I18" s="37"/>
      <c r="J18" s="16" t="s">
        <v>48</v>
      </c>
      <c r="K18" s="15">
        <f>K19*0.38</f>
        <v>1140</v>
      </c>
      <c r="L18" s="61" t="s">
        <v>49</v>
      </c>
      <c r="M18" s="61"/>
      <c r="N18" s="61"/>
      <c r="P18" s="16" t="s">
        <v>48</v>
      </c>
      <c r="Q18" s="15">
        <f>Q19*0.38</f>
        <v>1140</v>
      </c>
      <c r="R18" s="61" t="s">
        <v>49</v>
      </c>
      <c r="S18" s="61"/>
      <c r="T18" s="61"/>
    </row>
    <row r="19" spans="1:20" x14ac:dyDescent="0.25">
      <c r="A19" t="s">
        <v>6</v>
      </c>
      <c r="B19">
        <v>2020</v>
      </c>
      <c r="D19" t="s">
        <v>7</v>
      </c>
      <c r="E19">
        <v>2020</v>
      </c>
      <c r="G19" t="s">
        <v>0</v>
      </c>
      <c r="H19" s="1">
        <f>K7</f>
        <v>248440.52903225805</v>
      </c>
      <c r="J19" t="s">
        <v>50</v>
      </c>
      <c r="K19" s="21">
        <v>3000</v>
      </c>
      <c r="P19" t="s">
        <v>50</v>
      </c>
      <c r="Q19" s="21">
        <v>3000</v>
      </c>
    </row>
    <row r="20" spans="1:20" x14ac:dyDescent="0.25">
      <c r="A20" t="s">
        <v>8</v>
      </c>
      <c r="D20" t="s">
        <v>8</v>
      </c>
      <c r="G20" t="s">
        <v>1</v>
      </c>
      <c r="H20" s="2">
        <f>M7</f>
        <v>95308.721032258065</v>
      </c>
      <c r="J20" t="s">
        <v>60</v>
      </c>
      <c r="K20" s="2">
        <f>E29*0.65</f>
        <v>55136.9</v>
      </c>
      <c r="L20" s="61" t="s">
        <v>63</v>
      </c>
      <c r="M20" s="61"/>
      <c r="N20" s="61"/>
    </row>
    <row r="21" spans="1:20" x14ac:dyDescent="0.25">
      <c r="A21" t="s">
        <v>9</v>
      </c>
      <c r="B21" s="1">
        <v>13825</v>
      </c>
      <c r="D21" t="s">
        <v>10</v>
      </c>
      <c r="E21" s="1">
        <v>13146</v>
      </c>
      <c r="G21" t="s">
        <v>2</v>
      </c>
      <c r="H21" s="2">
        <f>H19-H20</f>
        <v>153131.80799999999</v>
      </c>
      <c r="P21" s="17" t="s">
        <v>51</v>
      </c>
      <c r="Q21" s="18">
        <f>(Q17)/(1-(Q18/Q19))</f>
        <v>159510.0451612903</v>
      </c>
      <c r="R21" s="60" t="s">
        <v>52</v>
      </c>
      <c r="S21" s="60"/>
      <c r="T21" s="60"/>
    </row>
    <row r="22" spans="1:20" x14ac:dyDescent="0.25">
      <c r="A22" t="s">
        <v>11</v>
      </c>
      <c r="B22" s="1">
        <f>D12</f>
        <v>43523.051032258052</v>
      </c>
      <c r="D22" t="s">
        <v>12</v>
      </c>
      <c r="E22" s="1">
        <v>2845</v>
      </c>
      <c r="G22" t="s">
        <v>3</v>
      </c>
      <c r="H22" s="30">
        <f>G12</f>
        <v>98896.227999999988</v>
      </c>
      <c r="J22" s="17" t="s">
        <v>61</v>
      </c>
      <c r="K22" s="18">
        <f>(K17+K20)/(1-(K18/K19))</f>
        <v>248440.52903225805</v>
      </c>
      <c r="L22" s="60" t="s">
        <v>52</v>
      </c>
      <c r="M22" s="60"/>
      <c r="N22" s="60"/>
    </row>
    <row r="23" spans="1:20" x14ac:dyDescent="0.25">
      <c r="A23" t="s">
        <v>13</v>
      </c>
      <c r="B23" s="1">
        <f>J12</f>
        <v>7930.2789677419387</v>
      </c>
      <c r="D23" t="s">
        <v>14</v>
      </c>
      <c r="E23" s="1">
        <v>10046</v>
      </c>
      <c r="G23" t="s">
        <v>4</v>
      </c>
      <c r="H23" s="1">
        <f>H21-H22</f>
        <v>54235.58</v>
      </c>
      <c r="P23" t="s">
        <v>53</v>
      </c>
      <c r="Q23" s="15">
        <f>Q21/Q19</f>
        <v>53.170015053763436</v>
      </c>
      <c r="R23" s="61" t="s">
        <v>54</v>
      </c>
      <c r="S23" s="61"/>
      <c r="T23" s="61"/>
    </row>
    <row r="24" spans="1:20" x14ac:dyDescent="0.25">
      <c r="A24" t="s">
        <v>15</v>
      </c>
      <c r="B24" s="1">
        <v>5225</v>
      </c>
      <c r="D24" t="s">
        <v>16</v>
      </c>
      <c r="E24" s="1">
        <f>E21+E22+E23</f>
        <v>26037</v>
      </c>
      <c r="J24" t="s">
        <v>53</v>
      </c>
      <c r="K24" s="15">
        <f>K22/K19</f>
        <v>82.813509677419347</v>
      </c>
      <c r="L24" s="61" t="s">
        <v>54</v>
      </c>
      <c r="M24" s="61"/>
      <c r="N24" s="61"/>
    </row>
    <row r="25" spans="1:20" x14ac:dyDescent="0.25">
      <c r="A25" t="s">
        <v>16</v>
      </c>
      <c r="B25" s="1">
        <f>SUM(B21:B24)</f>
        <v>70503.329999999987</v>
      </c>
      <c r="D25" t="s">
        <v>17</v>
      </c>
      <c r="E25" s="1"/>
      <c r="P25" t="s">
        <v>55</v>
      </c>
      <c r="Q25" s="15">
        <f>Q23*Q18</f>
        <v>60613.817161290317</v>
      </c>
      <c r="R25" s="61" t="s">
        <v>56</v>
      </c>
      <c r="S25" s="61"/>
      <c r="T25" s="61"/>
    </row>
    <row r="26" spans="1:20" x14ac:dyDescent="0.25">
      <c r="D26" t="s">
        <v>14</v>
      </c>
      <c r="E26" s="1">
        <f>H6</f>
        <v>17076.599999999999</v>
      </c>
      <c r="J26" t="s">
        <v>55</v>
      </c>
      <c r="K26" s="15">
        <f>K24*K18</f>
        <v>94407.401032258058</v>
      </c>
      <c r="L26" s="61" t="s">
        <v>56</v>
      </c>
      <c r="M26" s="61"/>
      <c r="N26" s="61"/>
    </row>
    <row r="27" spans="1:20" x14ac:dyDescent="0.25">
      <c r="A27" t="s">
        <v>17</v>
      </c>
      <c r="B27" s="1"/>
      <c r="D27" t="s">
        <v>18</v>
      </c>
      <c r="E27" s="1">
        <f>E24+E26</f>
        <v>43113.599999999999</v>
      </c>
      <c r="P27" s="55" t="s">
        <v>66</v>
      </c>
      <c r="Q27" s="55"/>
    </row>
    <row r="28" spans="1:20" x14ac:dyDescent="0.25">
      <c r="A28" t="s">
        <v>30</v>
      </c>
      <c r="B28" s="1">
        <f>55169.35</f>
        <v>55169.35</v>
      </c>
      <c r="D28" t="s">
        <v>20</v>
      </c>
      <c r="E28" s="1"/>
      <c r="J28" s="59" t="s">
        <v>66</v>
      </c>
      <c r="K28" s="59"/>
      <c r="P28" s="55" t="s">
        <v>64</v>
      </c>
      <c r="Q28" s="55"/>
    </row>
    <row r="29" spans="1:20" x14ac:dyDescent="0.25">
      <c r="A29" t="s">
        <v>19</v>
      </c>
      <c r="B29" s="1">
        <v>9634.5</v>
      </c>
      <c r="D29" t="s">
        <v>22</v>
      </c>
      <c r="E29" s="1">
        <v>84826</v>
      </c>
      <c r="J29" s="59" t="s">
        <v>65</v>
      </c>
      <c r="K29" s="59"/>
      <c r="P29" t="s">
        <v>57</v>
      </c>
      <c r="Q29" s="15">
        <f>Q21</f>
        <v>159510.0451612903</v>
      </c>
    </row>
    <row r="30" spans="1:20" x14ac:dyDescent="0.25">
      <c r="A30" t="s">
        <v>21</v>
      </c>
      <c r="B30" s="1">
        <f>24401.25</f>
        <v>24401.25</v>
      </c>
      <c r="D30" t="s">
        <v>4</v>
      </c>
      <c r="E30" s="2">
        <f>H23</f>
        <v>54235.58</v>
      </c>
      <c r="J30" t="s">
        <v>57</v>
      </c>
      <c r="K30" s="15">
        <f>K22</f>
        <v>248440.52903225805</v>
      </c>
      <c r="P30" t="s">
        <v>1</v>
      </c>
      <c r="Q30" s="15">
        <f>Q25</f>
        <v>60613.817161290317</v>
      </c>
    </row>
    <row r="31" spans="1:20" x14ac:dyDescent="0.25">
      <c r="A31" t="s">
        <v>23</v>
      </c>
      <c r="B31" s="1">
        <v>8474.2000000000007</v>
      </c>
      <c r="D31" t="s">
        <v>24</v>
      </c>
      <c r="E31" s="1">
        <f>E29+E30</f>
        <v>139061.58000000002</v>
      </c>
      <c r="J31" t="s">
        <v>1</v>
      </c>
      <c r="K31" s="15">
        <f>K26</f>
        <v>94407.401032258058</v>
      </c>
      <c r="P31" t="s">
        <v>58</v>
      </c>
      <c r="Q31" s="15">
        <f>Q29-Q30</f>
        <v>98896.227999999974</v>
      </c>
    </row>
    <row r="32" spans="1:20" x14ac:dyDescent="0.25">
      <c r="A32" t="s">
        <v>16</v>
      </c>
      <c r="B32" s="1">
        <f>SUM(B28:B31)</f>
        <v>97679.3</v>
      </c>
      <c r="D32" t="s">
        <v>18</v>
      </c>
      <c r="J32" t="s">
        <v>58</v>
      </c>
      <c r="K32" s="15">
        <f>K30-K31</f>
        <v>154033.128</v>
      </c>
      <c r="P32" t="s">
        <v>3</v>
      </c>
      <c r="Q32" s="15">
        <f>Q17</f>
        <v>98896.227999999988</v>
      </c>
    </row>
    <row r="33" spans="1:17" x14ac:dyDescent="0.25">
      <c r="D33" t="s">
        <v>27</v>
      </c>
      <c r="E33" s="1"/>
      <c r="J33" t="s">
        <v>3</v>
      </c>
      <c r="K33" s="15">
        <f>K17</f>
        <v>98896.227999999988</v>
      </c>
      <c r="P33" t="s">
        <v>59</v>
      </c>
      <c r="Q33" s="19">
        <f>Q31-Q32</f>
        <v>0</v>
      </c>
    </row>
    <row r="34" spans="1:17" x14ac:dyDescent="0.25">
      <c r="A34" t="s">
        <v>25</v>
      </c>
      <c r="B34" s="1"/>
      <c r="E34" s="1">
        <f>E27+E31</f>
        <v>182175.18000000002</v>
      </c>
      <c r="J34" t="s">
        <v>62</v>
      </c>
      <c r="K34" s="22">
        <f>K32-K33</f>
        <v>55136.900000000009</v>
      </c>
    </row>
    <row r="35" spans="1:17" x14ac:dyDescent="0.25">
      <c r="A35" t="s">
        <v>26</v>
      </c>
      <c r="B35" s="1">
        <v>13992.55</v>
      </c>
      <c r="D35" s="5"/>
      <c r="E35" s="27"/>
      <c r="F35" s="5"/>
      <c r="L35" s="6"/>
      <c r="M35" s="6"/>
    </row>
    <row r="36" spans="1:17" x14ac:dyDescent="0.25">
      <c r="D36" s="5"/>
      <c r="E36" s="6"/>
      <c r="F36" s="5"/>
    </row>
    <row r="37" spans="1:17" x14ac:dyDescent="0.25">
      <c r="A37" t="s">
        <v>28</v>
      </c>
      <c r="B37" s="1">
        <f>B25+B32+B35</f>
        <v>182175.18</v>
      </c>
      <c r="D37" s="5"/>
      <c r="E37" s="27"/>
      <c r="F37" s="5"/>
      <c r="J37" s="40" t="s">
        <v>87</v>
      </c>
      <c r="K37" s="42">
        <f>K30-K5</f>
        <v>29254.529032258055</v>
      </c>
    </row>
    <row r="38" spans="1:17" x14ac:dyDescent="0.25">
      <c r="D38" s="5"/>
      <c r="E38" s="28"/>
      <c r="F38" s="5"/>
    </row>
  </sheetData>
  <mergeCells count="25">
    <mergeCell ref="G4:H4"/>
    <mergeCell ref="L17:N17"/>
    <mergeCell ref="L18:N18"/>
    <mergeCell ref="L20:N20"/>
    <mergeCell ref="L24:N24"/>
    <mergeCell ref="J4:K4"/>
    <mergeCell ref="M4:N4"/>
    <mergeCell ref="J10:K10"/>
    <mergeCell ref="L22:N22"/>
    <mergeCell ref="R17:T17"/>
    <mergeCell ref="R18:T18"/>
    <mergeCell ref="A17:E17"/>
    <mergeCell ref="A18:E18"/>
    <mergeCell ref="D8:E8"/>
    <mergeCell ref="G9:H9"/>
    <mergeCell ref="G17:H17"/>
    <mergeCell ref="G18:H18"/>
    <mergeCell ref="J28:K28"/>
    <mergeCell ref="J29:K29"/>
    <mergeCell ref="P28:Q28"/>
    <mergeCell ref="P27:Q27"/>
    <mergeCell ref="R21:T21"/>
    <mergeCell ref="R23:T23"/>
    <mergeCell ref="R25:T25"/>
    <mergeCell ref="L26:N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6078-9AFB-471D-A3FB-5D1D34851F54}">
  <dimension ref="B2:L51"/>
  <sheetViews>
    <sheetView topLeftCell="A4" workbookViewId="0">
      <selection activeCell="C51" sqref="C51"/>
    </sheetView>
  </sheetViews>
  <sheetFormatPr baseColWidth="10" defaultRowHeight="15" x14ac:dyDescent="0.25"/>
  <cols>
    <col min="2" max="2" width="38" customWidth="1"/>
    <col min="3" max="5" width="12.5703125" bestFit="1" customWidth="1"/>
    <col min="7" max="7" width="20.5703125" customWidth="1"/>
    <col min="8" max="11" width="12.5703125" bestFit="1" customWidth="1"/>
  </cols>
  <sheetData>
    <row r="2" spans="2:12" x14ac:dyDescent="0.25">
      <c r="B2" s="55" t="s">
        <v>29</v>
      </c>
      <c r="C2" s="55"/>
      <c r="D2" s="55"/>
      <c r="E2" s="55"/>
      <c r="F2" s="55"/>
      <c r="G2" s="55"/>
      <c r="H2" s="55"/>
      <c r="I2" s="55"/>
      <c r="J2" s="55"/>
    </row>
    <row r="3" spans="2:12" x14ac:dyDescent="0.25">
      <c r="B3" s="55" t="s">
        <v>5</v>
      </c>
      <c r="C3" s="55"/>
      <c r="D3" s="55"/>
      <c r="E3" s="55"/>
      <c r="F3" s="55"/>
      <c r="G3" s="55"/>
      <c r="H3" s="55"/>
      <c r="I3" s="55"/>
      <c r="J3" s="55"/>
    </row>
    <row r="4" spans="2:12" x14ac:dyDescent="0.25">
      <c r="B4" t="s">
        <v>6</v>
      </c>
      <c r="C4" t="s">
        <v>106</v>
      </c>
      <c r="D4">
        <v>2020</v>
      </c>
      <c r="G4" t="s">
        <v>7</v>
      </c>
      <c r="H4" t="s">
        <v>106</v>
      </c>
      <c r="I4">
        <v>2020</v>
      </c>
    </row>
    <row r="5" spans="2:12" x14ac:dyDescent="0.25">
      <c r="B5" t="s">
        <v>8</v>
      </c>
      <c r="G5" t="s">
        <v>8</v>
      </c>
    </row>
    <row r="6" spans="2:12" x14ac:dyDescent="0.25">
      <c r="B6" t="s">
        <v>9</v>
      </c>
      <c r="C6" s="1">
        <v>13825</v>
      </c>
      <c r="D6" s="1">
        <v>13825</v>
      </c>
      <c r="E6" s="4">
        <f>C6-D6</f>
        <v>0</v>
      </c>
      <c r="F6" s="16"/>
      <c r="G6" t="s">
        <v>10</v>
      </c>
      <c r="H6" s="1">
        <v>13146</v>
      </c>
      <c r="I6" s="1">
        <v>13146</v>
      </c>
      <c r="J6" s="4">
        <f>H6-I6</f>
        <v>0</v>
      </c>
      <c r="L6" s="16"/>
    </row>
    <row r="7" spans="2:12" x14ac:dyDescent="0.25">
      <c r="B7" t="s">
        <v>11</v>
      </c>
      <c r="C7" s="1">
        <v>43523.05</v>
      </c>
      <c r="D7" s="1">
        <v>15509</v>
      </c>
      <c r="E7" s="4">
        <f t="shared" ref="E7:E19" si="0">C7-D7</f>
        <v>28014.050000000003</v>
      </c>
      <c r="F7" s="16"/>
      <c r="G7" t="s">
        <v>12</v>
      </c>
      <c r="H7" s="1">
        <v>2845</v>
      </c>
      <c r="I7" s="1">
        <v>2845</v>
      </c>
      <c r="J7" s="4">
        <f t="shared" ref="J7:J19" si="1">H7-I7</f>
        <v>0</v>
      </c>
      <c r="L7" s="16"/>
    </row>
    <row r="8" spans="2:12" x14ac:dyDescent="0.25">
      <c r="B8" t="s">
        <v>13</v>
      </c>
      <c r="C8" s="1">
        <v>7930.28</v>
      </c>
      <c r="D8" s="1">
        <v>19047</v>
      </c>
      <c r="E8" s="4">
        <f t="shared" si="0"/>
        <v>-11116.720000000001</v>
      </c>
      <c r="F8" s="16"/>
      <c r="G8" t="s">
        <v>14</v>
      </c>
      <c r="H8" s="1">
        <v>10046</v>
      </c>
      <c r="I8" s="1">
        <v>10046</v>
      </c>
      <c r="J8" s="4">
        <f t="shared" si="1"/>
        <v>0</v>
      </c>
      <c r="L8" s="16"/>
    </row>
    <row r="9" spans="2:12" x14ac:dyDescent="0.25">
      <c r="B9" t="s">
        <v>15</v>
      </c>
      <c r="C9" s="1">
        <v>5225</v>
      </c>
      <c r="D9" s="1">
        <v>5225</v>
      </c>
      <c r="E9" s="4">
        <f t="shared" si="0"/>
        <v>0</v>
      </c>
      <c r="F9" s="16"/>
      <c r="G9" t="s">
        <v>16</v>
      </c>
      <c r="H9" s="1">
        <f>H6+H7+H8</f>
        <v>26037</v>
      </c>
      <c r="I9" s="1">
        <f>I6+I7+I8</f>
        <v>26037</v>
      </c>
      <c r="J9" s="4">
        <f t="shared" si="1"/>
        <v>0</v>
      </c>
      <c r="L9" s="16"/>
    </row>
    <row r="10" spans="2:12" x14ac:dyDescent="0.25">
      <c r="B10" t="s">
        <v>16</v>
      </c>
      <c r="C10" s="1">
        <f>SUM(C6:C9)</f>
        <v>70503.33</v>
      </c>
      <c r="D10" s="1">
        <f>SUM(D6:D9)</f>
        <v>53606</v>
      </c>
      <c r="E10" s="4">
        <f t="shared" si="0"/>
        <v>16897.330000000002</v>
      </c>
      <c r="F10" s="16"/>
      <c r="G10" t="s">
        <v>17</v>
      </c>
      <c r="I10" s="1"/>
      <c r="J10" s="5"/>
    </row>
    <row r="11" spans="2:12" x14ac:dyDescent="0.25">
      <c r="B11" t="s">
        <v>17</v>
      </c>
      <c r="D11" s="1"/>
      <c r="E11" s="5"/>
      <c r="G11" t="s">
        <v>14</v>
      </c>
      <c r="H11" s="1">
        <v>17076.599999999999</v>
      </c>
      <c r="I11" s="1">
        <v>18974</v>
      </c>
      <c r="J11" s="4">
        <f t="shared" si="1"/>
        <v>-1897.4000000000015</v>
      </c>
      <c r="L11" s="16"/>
    </row>
    <row r="12" spans="2:12" x14ac:dyDescent="0.25">
      <c r="B12" t="s">
        <v>30</v>
      </c>
      <c r="C12" s="1">
        <f>55169.35</f>
        <v>55169.35</v>
      </c>
      <c r="D12" s="1">
        <v>58073</v>
      </c>
      <c r="E12" s="4">
        <f t="shared" si="0"/>
        <v>-2903.6500000000015</v>
      </c>
      <c r="F12" s="16"/>
      <c r="G12" t="s">
        <v>18</v>
      </c>
      <c r="H12" s="1">
        <f>H9+H11</f>
        <v>43113.599999999999</v>
      </c>
      <c r="I12" s="1">
        <f>I9+I11</f>
        <v>45011</v>
      </c>
      <c r="J12" s="4">
        <f t="shared" si="1"/>
        <v>-1897.4000000000015</v>
      </c>
      <c r="L12" s="16"/>
    </row>
    <row r="13" spans="2:12" x14ac:dyDescent="0.25">
      <c r="B13" t="s">
        <v>19</v>
      </c>
      <c r="C13" s="1">
        <v>9634.5</v>
      </c>
      <c r="D13" s="1">
        <v>10705</v>
      </c>
      <c r="E13" s="4">
        <f t="shared" si="0"/>
        <v>-1070.5</v>
      </c>
      <c r="F13" s="16"/>
      <c r="G13" t="s">
        <v>20</v>
      </c>
      <c r="I13" s="1"/>
      <c r="J13" s="4"/>
    </row>
    <row r="14" spans="2:12" x14ac:dyDescent="0.25">
      <c r="B14" t="s">
        <v>21</v>
      </c>
      <c r="C14" s="1">
        <f>24401.25</f>
        <v>24401.25</v>
      </c>
      <c r="D14" s="1">
        <v>32535</v>
      </c>
      <c r="E14" s="4">
        <f t="shared" si="0"/>
        <v>-8133.75</v>
      </c>
      <c r="F14" s="16"/>
      <c r="G14" t="s">
        <v>22</v>
      </c>
      <c r="H14" s="1">
        <v>84826</v>
      </c>
      <c r="I14" s="1">
        <v>84826</v>
      </c>
      <c r="J14" s="4">
        <f t="shared" si="1"/>
        <v>0</v>
      </c>
      <c r="L14" s="16"/>
    </row>
    <row r="15" spans="2:12" x14ac:dyDescent="0.25">
      <c r="B15" t="s">
        <v>23</v>
      </c>
      <c r="C15" s="1">
        <v>8474.2000000000007</v>
      </c>
      <c r="D15" s="1">
        <v>12106</v>
      </c>
      <c r="E15" s="4">
        <f t="shared" si="0"/>
        <v>-3631.7999999999993</v>
      </c>
      <c r="F15" s="16"/>
      <c r="G15" t="s">
        <v>4</v>
      </c>
      <c r="H15" s="2">
        <v>54235.58</v>
      </c>
      <c r="I15" s="2">
        <v>51917</v>
      </c>
      <c r="J15" s="4">
        <f t="shared" si="1"/>
        <v>2318.5800000000017</v>
      </c>
      <c r="L15" s="16"/>
    </row>
    <row r="16" spans="2:12" x14ac:dyDescent="0.25">
      <c r="B16" t="s">
        <v>16</v>
      </c>
      <c r="C16" s="1">
        <f>SUM(C12:C15)</f>
        <v>97679.3</v>
      </c>
      <c r="D16" s="1">
        <f>SUM(D12:D15)</f>
        <v>113419</v>
      </c>
      <c r="E16" s="4">
        <f t="shared" si="0"/>
        <v>-15739.699999999997</v>
      </c>
      <c r="F16" s="16"/>
      <c r="G16" t="s">
        <v>24</v>
      </c>
      <c r="H16" s="1">
        <f>H14+H15</f>
        <v>139061.58000000002</v>
      </c>
      <c r="I16" s="1">
        <f>I14+I15</f>
        <v>136743</v>
      </c>
      <c r="J16" s="4">
        <f t="shared" si="1"/>
        <v>2318.5800000000163</v>
      </c>
      <c r="L16" s="16"/>
    </row>
    <row r="17" spans="2:12" x14ac:dyDescent="0.25">
      <c r="B17" t="s">
        <v>25</v>
      </c>
      <c r="C17" s="1"/>
      <c r="D17" s="1"/>
      <c r="E17" s="5"/>
      <c r="G17" t="s">
        <v>18</v>
      </c>
      <c r="J17" s="5"/>
    </row>
    <row r="18" spans="2:12" x14ac:dyDescent="0.25">
      <c r="B18" t="s">
        <v>26</v>
      </c>
      <c r="C18" s="1">
        <v>13992.55</v>
      </c>
      <c r="D18" s="1">
        <v>14729</v>
      </c>
      <c r="E18" s="4">
        <f t="shared" si="0"/>
        <v>-736.45000000000073</v>
      </c>
      <c r="F18" s="16"/>
      <c r="G18" t="s">
        <v>27</v>
      </c>
      <c r="I18" s="1"/>
      <c r="J18" s="5"/>
    </row>
    <row r="19" spans="2:12" x14ac:dyDescent="0.25">
      <c r="B19" t="s">
        <v>28</v>
      </c>
      <c r="C19" s="1">
        <f>SUM(C16+C10+C18)</f>
        <v>182175.18</v>
      </c>
      <c r="D19" s="1">
        <f>D10+D16+D18</f>
        <v>181754</v>
      </c>
      <c r="E19" s="4">
        <f t="shared" si="0"/>
        <v>421.17999999999302</v>
      </c>
      <c r="F19" s="20"/>
      <c r="H19" s="1">
        <f>SUM(H16+H12)</f>
        <v>182175.18000000002</v>
      </c>
      <c r="I19" s="1">
        <f>I12+I16</f>
        <v>181754</v>
      </c>
      <c r="J19" s="4">
        <f t="shared" si="1"/>
        <v>421.18000000002212</v>
      </c>
      <c r="L19" s="20"/>
    </row>
    <row r="20" spans="2:12" x14ac:dyDescent="0.25">
      <c r="C20" s="1"/>
    </row>
    <row r="22" spans="2:12" x14ac:dyDescent="0.25">
      <c r="C22" s="1"/>
    </row>
    <row r="23" spans="2:12" x14ac:dyDescent="0.25">
      <c r="B23" s="55" t="s">
        <v>29</v>
      </c>
      <c r="C23" s="55"/>
      <c r="G23" s="55" t="s">
        <v>29</v>
      </c>
      <c r="H23" s="55"/>
      <c r="I23" s="55"/>
    </row>
    <row r="24" spans="2:12" x14ac:dyDescent="0.25">
      <c r="B24" s="55" t="s">
        <v>105</v>
      </c>
      <c r="C24" s="55"/>
      <c r="G24" s="55" t="s">
        <v>31</v>
      </c>
      <c r="H24" s="55"/>
      <c r="I24" s="55"/>
    </row>
    <row r="25" spans="2:12" x14ac:dyDescent="0.25">
      <c r="B25" s="48" t="s">
        <v>90</v>
      </c>
      <c r="C25" s="49"/>
      <c r="H25" t="s">
        <v>107</v>
      </c>
      <c r="I25">
        <v>2020</v>
      </c>
    </row>
    <row r="26" spans="2:12" x14ac:dyDescent="0.25">
      <c r="B26" t="s">
        <v>91</v>
      </c>
      <c r="C26" s="50">
        <f>H15</f>
        <v>54235.58</v>
      </c>
      <c r="G26" t="s">
        <v>0</v>
      </c>
      <c r="H26" s="1">
        <v>248440.53</v>
      </c>
      <c r="I26" s="1">
        <v>219186</v>
      </c>
      <c r="J26" s="4">
        <f>H26-I26</f>
        <v>29254.53</v>
      </c>
    </row>
    <row r="27" spans="2:12" x14ac:dyDescent="0.25">
      <c r="B27" t="s">
        <v>92</v>
      </c>
      <c r="C27" s="50">
        <v>16476</v>
      </c>
      <c r="G27" t="s">
        <v>1</v>
      </c>
      <c r="H27" s="2">
        <f>95308.72</f>
        <v>95308.72</v>
      </c>
      <c r="I27" s="2">
        <v>84192</v>
      </c>
      <c r="J27" s="4">
        <f t="shared" ref="J27:J30" si="2">H27-I27</f>
        <v>11116.720000000001</v>
      </c>
    </row>
    <row r="28" spans="2:12" x14ac:dyDescent="0.25">
      <c r="B28" s="51" t="s">
        <v>93</v>
      </c>
      <c r="C28" s="52"/>
      <c r="G28" t="s">
        <v>2</v>
      </c>
      <c r="H28" s="2">
        <f>H26-H27</f>
        <v>153131.81</v>
      </c>
      <c r="I28" s="2">
        <f>I26-I27</f>
        <v>134994</v>
      </c>
      <c r="J28" s="4">
        <f t="shared" si="2"/>
        <v>18137.809999999998</v>
      </c>
    </row>
    <row r="29" spans="2:12" x14ac:dyDescent="0.25">
      <c r="B29" t="s">
        <v>89</v>
      </c>
      <c r="C29" s="50">
        <f>(-1)*E8</f>
        <v>11116.720000000001</v>
      </c>
      <c r="G29" t="s">
        <v>3</v>
      </c>
      <c r="H29" s="30">
        <f>98896.23</f>
        <v>98896.23</v>
      </c>
      <c r="I29" s="30">
        <f>99553.15</f>
        <v>99553.15</v>
      </c>
      <c r="J29" s="4">
        <f t="shared" si="2"/>
        <v>-656.91999999999825</v>
      </c>
    </row>
    <row r="30" spans="2:12" x14ac:dyDescent="0.25">
      <c r="B30" t="s">
        <v>15</v>
      </c>
      <c r="C30" s="50">
        <f>(-1)*E9</f>
        <v>0</v>
      </c>
      <c r="G30" t="s">
        <v>4</v>
      </c>
      <c r="H30" s="1">
        <f>H28-H29</f>
        <v>54235.58</v>
      </c>
      <c r="I30" s="1">
        <f>I28-I29</f>
        <v>35440.850000000006</v>
      </c>
      <c r="J30" s="4">
        <f t="shared" si="2"/>
        <v>18794.729999999996</v>
      </c>
    </row>
    <row r="31" spans="2:12" x14ac:dyDescent="0.25">
      <c r="B31" s="51" t="s">
        <v>94</v>
      </c>
      <c r="C31" s="52"/>
    </row>
    <row r="32" spans="2:12" x14ac:dyDescent="0.25">
      <c r="B32" t="s">
        <v>10</v>
      </c>
      <c r="C32" s="1">
        <f>J6</f>
        <v>0</v>
      </c>
    </row>
    <row r="33" spans="2:3" x14ac:dyDescent="0.25">
      <c r="B33" t="s">
        <v>12</v>
      </c>
      <c r="C33" s="1">
        <f>J7</f>
        <v>0</v>
      </c>
    </row>
    <row r="34" spans="2:3" x14ac:dyDescent="0.25">
      <c r="B34" t="s">
        <v>14</v>
      </c>
      <c r="C34" s="1">
        <f>J8</f>
        <v>0</v>
      </c>
    </row>
    <row r="35" spans="2:3" x14ac:dyDescent="0.25">
      <c r="B35" s="7" t="s">
        <v>95</v>
      </c>
      <c r="C35" s="53">
        <f>SUM(C26:C34)</f>
        <v>81828.3</v>
      </c>
    </row>
    <row r="36" spans="2:3" x14ac:dyDescent="0.25">
      <c r="B36" s="48" t="s">
        <v>96</v>
      </c>
      <c r="C36" s="48"/>
    </row>
    <row r="37" spans="2:3" x14ac:dyDescent="0.25">
      <c r="B37" s="51" t="s">
        <v>97</v>
      </c>
      <c r="C37" s="51"/>
    </row>
    <row r="38" spans="2:3" x14ac:dyDescent="0.25">
      <c r="B38" t="s">
        <v>98</v>
      </c>
      <c r="C38" s="1">
        <v>0</v>
      </c>
    </row>
    <row r="39" spans="2:3" x14ac:dyDescent="0.25">
      <c r="B39" t="s">
        <v>30</v>
      </c>
      <c r="C39" s="1">
        <f>(-1)*E12</f>
        <v>2903.6500000000015</v>
      </c>
    </row>
    <row r="40" spans="2:3" x14ac:dyDescent="0.25">
      <c r="B40" t="s">
        <v>19</v>
      </c>
      <c r="C40" s="1">
        <f>(-1)*E13</f>
        <v>1070.5</v>
      </c>
    </row>
    <row r="41" spans="2:3" x14ac:dyDescent="0.25">
      <c r="B41" t="s">
        <v>72</v>
      </c>
      <c r="C41" s="1">
        <f>(-1)*E14</f>
        <v>8133.75</v>
      </c>
    </row>
    <row r="42" spans="2:3" x14ac:dyDescent="0.25">
      <c r="B42" t="s">
        <v>23</v>
      </c>
      <c r="C42" s="1">
        <f>(-1)*E15</f>
        <v>3631.7999999999993</v>
      </c>
    </row>
    <row r="43" spans="2:3" x14ac:dyDescent="0.25">
      <c r="B43" s="7" t="s">
        <v>99</v>
      </c>
      <c r="C43" s="53">
        <f>SUM(C38:C42)</f>
        <v>15739.7</v>
      </c>
    </row>
    <row r="44" spans="2:3" x14ac:dyDescent="0.25">
      <c r="B44" s="48" t="s">
        <v>100</v>
      </c>
      <c r="C44" s="48"/>
    </row>
    <row r="45" spans="2:3" x14ac:dyDescent="0.25">
      <c r="B45" s="51" t="s">
        <v>101</v>
      </c>
      <c r="C45" s="51"/>
    </row>
    <row r="46" spans="2:3" x14ac:dyDescent="0.25">
      <c r="B46" t="s">
        <v>14</v>
      </c>
      <c r="C46" s="1">
        <f>J11</f>
        <v>-1897.4000000000015</v>
      </c>
    </row>
    <row r="47" spans="2:3" x14ac:dyDescent="0.25">
      <c r="B47" s="51" t="s">
        <v>102</v>
      </c>
      <c r="C47" s="51"/>
    </row>
    <row r="48" spans="2:3" x14ac:dyDescent="0.25">
      <c r="B48" t="s">
        <v>79</v>
      </c>
      <c r="C48" s="1">
        <f>J14</f>
        <v>0</v>
      </c>
    </row>
    <row r="49" spans="2:3" x14ac:dyDescent="0.25">
      <c r="B49" t="s">
        <v>62</v>
      </c>
      <c r="C49" s="1">
        <f>J15</f>
        <v>2318.5800000000017</v>
      </c>
    </row>
    <row r="50" spans="2:3" x14ac:dyDescent="0.25">
      <c r="B50" s="7" t="s">
        <v>103</v>
      </c>
      <c r="C50" s="53">
        <f>SUM(C46:C49)</f>
        <v>421.18000000000029</v>
      </c>
    </row>
    <row r="51" spans="2:3" x14ac:dyDescent="0.25">
      <c r="B51" s="48" t="s">
        <v>104</v>
      </c>
      <c r="C51" s="54">
        <f>SUM(C43,C50,C35)</f>
        <v>97989.180000000008</v>
      </c>
    </row>
  </sheetData>
  <mergeCells count="6">
    <mergeCell ref="B23:C23"/>
    <mergeCell ref="B24:C24"/>
    <mergeCell ref="B2:J2"/>
    <mergeCell ref="B3:J3"/>
    <mergeCell ref="G23:I23"/>
    <mergeCell ref="G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Analisis V y H</vt:lpstr>
      <vt:lpstr>Depreciacion y amortizacion</vt:lpstr>
      <vt:lpstr>Proforma, PE, PEU</vt:lpstr>
      <vt:lpstr>Flujo de efectivo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brayan ramirez</cp:lastModifiedBy>
  <cp:lastPrinted>2021-06-16T19:28:41Z</cp:lastPrinted>
  <dcterms:created xsi:type="dcterms:W3CDTF">2019-04-01T20:39:56Z</dcterms:created>
  <dcterms:modified xsi:type="dcterms:W3CDTF">2021-06-22T00:43:52Z</dcterms:modified>
</cp:coreProperties>
</file>