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BBB_lab\research\usa\utah\westdesert\bsf\data\lab\Biology_BSF_Collaborative Data and Files\McGonigle_2018\"/>
    </mc:Choice>
  </mc:AlternateContent>
  <xr:revisionPtr revIDLastSave="0" documentId="8_{1A9F7716-A40C-4018-B61F-22FDF95899D0}" xr6:coauthVersionLast="40" xr6:coauthVersionMax="40" xr10:uidLastSave="{00000000-0000-0000-0000-000000000000}"/>
  <bookViews>
    <workbookView xWindow="0" yWindow="0" windowWidth="28800" windowHeight="11325" activeTab="1" xr2:uid="{00000000-000D-0000-FFFF-FFFF00000000}"/>
  </bookViews>
  <sheets>
    <sheet name="ClassificationDetails" sheetId="2" r:id="rId1"/>
    <sheet name="MineralAnalysis" sheetId="4" r:id="rId2"/>
    <sheet name="FieldData" sheetId="1" r:id="rId3"/>
    <sheet name="TraceElementAnalysis" sheetId="5" r:id="rId4"/>
    <sheet name="Sheet3" sheetId="8" state="hidden" r:id="rId5"/>
  </sheets>
  <definedNames>
    <definedName name="_xlnm._FilterDatabase" localSheetId="4" hidden="1">Sheet3!$A$1:$AA$1</definedName>
    <definedName name="_xlnm.Print_Titles" localSheetId="0">ClassificationDetails!$A:$A,ClassificationDetails!$1:$6</definedName>
  </definedNames>
  <calcPr calcId="181029"/>
</workbook>
</file>

<file path=xl/calcChain.xml><?xml version="1.0" encoding="utf-8"?>
<calcChain xmlns="http://schemas.openxmlformats.org/spreadsheetml/2006/main">
  <c r="CV7" i="4" l="1"/>
  <c r="CY7" i="4" l="1"/>
  <c r="CV27" i="4" l="1"/>
  <c r="CV22" i="4"/>
  <c r="CV23" i="4"/>
  <c r="CV24" i="4"/>
  <c r="CV25" i="4"/>
  <c r="CV28" i="4"/>
  <c r="CV29" i="4"/>
  <c r="CV30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6" i="4"/>
  <c r="D27" i="4" l="1"/>
  <c r="D22" i="4"/>
  <c r="D23" i="4"/>
  <c r="D24" i="4"/>
  <c r="D25" i="4"/>
  <c r="D28" i="4"/>
  <c r="D29" i="4"/>
  <c r="D30" i="4"/>
  <c r="D7" i="4"/>
  <c r="CU7" i="4" s="1"/>
  <c r="D8" i="4"/>
  <c r="D9" i="4"/>
  <c r="D10" i="4"/>
  <c r="D11" i="4"/>
  <c r="D12" i="4"/>
  <c r="D13" i="4"/>
  <c r="D14" i="4"/>
  <c r="D15" i="4"/>
  <c r="CU15" i="4" s="1"/>
  <c r="D16" i="4"/>
  <c r="CU16" i="4" s="1"/>
  <c r="D17" i="4"/>
  <c r="D18" i="4"/>
  <c r="CU18" i="4" s="1"/>
  <c r="D19" i="4"/>
  <c r="CU19" i="4" s="1"/>
  <c r="D20" i="4"/>
  <c r="CU20" i="4" s="1"/>
  <c r="D21" i="4"/>
  <c r="D26" i="4"/>
  <c r="CX29" i="4"/>
  <c r="CX25" i="4"/>
  <c r="CX27" i="4"/>
  <c r="CY27" i="4"/>
  <c r="CZ27" i="4"/>
  <c r="DA27" i="4"/>
  <c r="CX22" i="4"/>
  <c r="CY22" i="4"/>
  <c r="CZ22" i="4"/>
  <c r="DA22" i="4"/>
  <c r="CX23" i="4"/>
  <c r="CY23" i="4"/>
  <c r="CZ23" i="4"/>
  <c r="DA23" i="4"/>
  <c r="CX24" i="4"/>
  <c r="CY24" i="4"/>
  <c r="CZ24" i="4"/>
  <c r="DA24" i="4"/>
  <c r="CY25" i="4"/>
  <c r="CZ25" i="4"/>
  <c r="DA25" i="4"/>
  <c r="CX28" i="4"/>
  <c r="CY28" i="4"/>
  <c r="CZ28" i="4"/>
  <c r="DA28" i="4"/>
  <c r="CY29" i="4"/>
  <c r="CZ29" i="4"/>
  <c r="DA29" i="4"/>
  <c r="CX30" i="4"/>
  <c r="CY30" i="4"/>
  <c r="CZ30" i="4"/>
  <c r="DA30" i="4"/>
  <c r="CX7" i="4"/>
  <c r="CZ7" i="4"/>
  <c r="DA7" i="4"/>
  <c r="CX8" i="4"/>
  <c r="CY8" i="4"/>
  <c r="CZ8" i="4"/>
  <c r="DA8" i="4"/>
  <c r="CX9" i="4"/>
  <c r="CY9" i="4"/>
  <c r="CZ9" i="4"/>
  <c r="DA9" i="4"/>
  <c r="CX10" i="4"/>
  <c r="CY10" i="4"/>
  <c r="CZ10" i="4"/>
  <c r="DA10" i="4"/>
  <c r="CX11" i="4"/>
  <c r="CY11" i="4"/>
  <c r="CZ11" i="4"/>
  <c r="DA11" i="4"/>
  <c r="CX12" i="4"/>
  <c r="CY12" i="4"/>
  <c r="CZ12" i="4"/>
  <c r="DA12" i="4"/>
  <c r="CX13" i="4"/>
  <c r="CY13" i="4"/>
  <c r="CZ13" i="4"/>
  <c r="DA13" i="4"/>
  <c r="CX14" i="4"/>
  <c r="CY14" i="4"/>
  <c r="CZ14" i="4"/>
  <c r="DA14" i="4"/>
  <c r="CX15" i="4"/>
  <c r="CY15" i="4"/>
  <c r="CZ15" i="4"/>
  <c r="DA15" i="4"/>
  <c r="CX16" i="4"/>
  <c r="CY16" i="4"/>
  <c r="CZ16" i="4"/>
  <c r="DA16" i="4"/>
  <c r="CX17" i="4"/>
  <c r="CY17" i="4"/>
  <c r="CZ17" i="4"/>
  <c r="DA17" i="4"/>
  <c r="CX18" i="4"/>
  <c r="CY18" i="4"/>
  <c r="CZ18" i="4"/>
  <c r="DA18" i="4"/>
  <c r="CX19" i="4"/>
  <c r="CY19" i="4"/>
  <c r="CZ19" i="4"/>
  <c r="DA19" i="4"/>
  <c r="CX20" i="4"/>
  <c r="CY20" i="4"/>
  <c r="CZ20" i="4"/>
  <c r="DA20" i="4"/>
  <c r="CX21" i="4"/>
  <c r="CY21" i="4"/>
  <c r="CZ21" i="4"/>
  <c r="DA21" i="4"/>
  <c r="DA26" i="4"/>
  <c r="CZ26" i="4"/>
  <c r="CX26" i="4"/>
  <c r="CY26" i="4"/>
  <c r="BX25" i="4"/>
  <c r="BX26" i="4"/>
  <c r="CC26" i="4"/>
  <c r="CF26" i="4"/>
  <c r="CD26" i="4"/>
  <c r="BY21" i="4"/>
  <c r="BY26" i="4"/>
  <c r="BY27" i="4"/>
  <c r="BY22" i="4"/>
  <c r="BY23" i="4"/>
  <c r="BY24" i="4"/>
  <c r="BY25" i="4"/>
  <c r="BY28" i="4"/>
  <c r="BY29" i="4"/>
  <c r="BY30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CA27" i="4"/>
  <c r="CA22" i="4"/>
  <c r="CA23" i="4"/>
  <c r="CA24" i="4"/>
  <c r="CA25" i="4"/>
  <c r="CA28" i="4"/>
  <c r="CA29" i="4"/>
  <c r="CA30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6" i="4"/>
  <c r="BX27" i="4"/>
  <c r="BX22" i="4"/>
  <c r="BX23" i="4"/>
  <c r="BX24" i="4"/>
  <c r="BX28" i="4"/>
  <c r="BX29" i="4"/>
  <c r="BX30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CI7" i="4" l="1"/>
  <c r="CJ14" i="4"/>
  <c r="CJ30" i="4"/>
  <c r="CJ21" i="4"/>
  <c r="CJ20" i="4"/>
  <c r="CJ12" i="4"/>
  <c r="CJ28" i="4"/>
  <c r="CI27" i="4"/>
  <c r="CJ13" i="4"/>
  <c r="BZ8" i="4"/>
  <c r="BZ22" i="4"/>
  <c r="BZ16" i="4"/>
  <c r="CJ26" i="4"/>
  <c r="CJ29" i="4"/>
  <c r="CU21" i="4"/>
  <c r="CU12" i="4"/>
  <c r="CU28" i="4"/>
  <c r="CU11" i="4"/>
  <c r="CU10" i="4"/>
  <c r="CU17" i="4"/>
  <c r="CU9" i="4"/>
  <c r="CU8" i="4"/>
  <c r="CU24" i="4"/>
  <c r="CU22" i="4"/>
  <c r="CU27" i="4"/>
  <c r="CU26" i="4"/>
  <c r="CU14" i="4"/>
  <c r="CU30" i="4"/>
  <c r="CU29" i="4"/>
  <c r="CU13" i="4"/>
  <c r="CU25" i="4"/>
  <c r="CU23" i="4"/>
  <c r="BZ26" i="4"/>
  <c r="BZ17" i="4"/>
  <c r="BZ9" i="4"/>
  <c r="BZ23" i="4"/>
  <c r="BZ15" i="4"/>
  <c r="BZ7" i="4"/>
  <c r="BZ27" i="4"/>
  <c r="BZ14" i="4"/>
  <c r="BZ30" i="4"/>
  <c r="BZ13" i="4"/>
  <c r="BZ29" i="4"/>
  <c r="BZ21" i="4"/>
  <c r="BZ20" i="4"/>
  <c r="BZ12" i="4"/>
  <c r="BZ28" i="4"/>
  <c r="BZ19" i="4"/>
  <c r="BZ11" i="4"/>
  <c r="BZ18" i="4"/>
  <c r="BZ10" i="4"/>
  <c r="BZ24" i="4"/>
  <c r="BZ25" i="4"/>
  <c r="CI26" i="4"/>
  <c r="CJ19" i="4"/>
  <c r="CJ11" i="4"/>
  <c r="CJ25" i="4"/>
  <c r="CJ18" i="4"/>
  <c r="CJ10" i="4"/>
  <c r="CJ24" i="4"/>
  <c r="CJ17" i="4"/>
  <c r="CJ9" i="4"/>
  <c r="CJ23" i="4"/>
  <c r="CJ16" i="4"/>
  <c r="CJ8" i="4"/>
  <c r="CJ22" i="4"/>
  <c r="CJ15" i="4"/>
  <c r="CJ7" i="4"/>
  <c r="CJ27" i="4"/>
  <c r="BU57" i="5"/>
  <c r="BU53" i="5"/>
  <c r="BU54" i="5"/>
  <c r="BU55" i="5"/>
  <c r="BU56" i="5"/>
  <c r="BU52" i="5"/>
  <c r="BN53" i="5"/>
  <c r="BN57" i="5" s="1"/>
  <c r="BN58" i="5" s="1"/>
  <c r="BN54" i="5"/>
  <c r="BN55" i="5"/>
  <c r="BN56" i="5"/>
  <c r="BN52" i="5"/>
  <c r="CW7" i="4" l="1"/>
  <c r="CW27" i="4"/>
  <c r="DC27" i="4" s="1"/>
  <c r="DD27" i="4" s="1"/>
  <c r="CS26" i="4"/>
  <c r="CT26" i="4" s="1"/>
  <c r="CR26" i="4" s="1"/>
  <c r="CW26" i="4"/>
  <c r="DC26" i="4" s="1"/>
  <c r="DD26" i="4" s="1"/>
  <c r="DB26" i="4" s="1"/>
  <c r="AD34" i="5"/>
  <c r="AD26" i="5"/>
  <c r="AD17" i="5"/>
  <c r="AD13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F34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F26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F17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F13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F8" i="5"/>
  <c r="AD43" i="2"/>
  <c r="AD44" i="2" s="1"/>
  <c r="AD41" i="2"/>
  <c r="AD42" i="2" s="1"/>
  <c r="AD39" i="2"/>
  <c r="AD40" i="2" s="1"/>
  <c r="AD37" i="2"/>
  <c r="AD38" i="2" s="1"/>
  <c r="AD35" i="2"/>
  <c r="AD36" i="2" s="1"/>
  <c r="CC27" i="4" l="1"/>
  <c r="CD27" i="4"/>
  <c r="CF27" i="4"/>
  <c r="CC22" i="4"/>
  <c r="CD22" i="4"/>
  <c r="CF22" i="4"/>
  <c r="CC23" i="4"/>
  <c r="CD23" i="4"/>
  <c r="CF23" i="4"/>
  <c r="CC24" i="4"/>
  <c r="CD24" i="4"/>
  <c r="CF24" i="4"/>
  <c r="CC25" i="4"/>
  <c r="CD25" i="4"/>
  <c r="CF25" i="4"/>
  <c r="CC28" i="4"/>
  <c r="CD28" i="4"/>
  <c r="CF28" i="4"/>
  <c r="CC29" i="4"/>
  <c r="CD29" i="4"/>
  <c r="CF29" i="4"/>
  <c r="CC30" i="4"/>
  <c r="CD30" i="4"/>
  <c r="CF30" i="4"/>
  <c r="CC7" i="4"/>
  <c r="CD7" i="4"/>
  <c r="CF7" i="4"/>
  <c r="CC8" i="4"/>
  <c r="CD8" i="4"/>
  <c r="CF8" i="4"/>
  <c r="CC9" i="4"/>
  <c r="CD9" i="4"/>
  <c r="CF9" i="4"/>
  <c r="CC10" i="4"/>
  <c r="CD10" i="4"/>
  <c r="CF10" i="4"/>
  <c r="CC11" i="4"/>
  <c r="CD11" i="4"/>
  <c r="CF11" i="4"/>
  <c r="CC12" i="4"/>
  <c r="CD12" i="4"/>
  <c r="CF12" i="4"/>
  <c r="CC13" i="4"/>
  <c r="CD13" i="4"/>
  <c r="CF13" i="4"/>
  <c r="CC14" i="4"/>
  <c r="CD14" i="4"/>
  <c r="CF14" i="4"/>
  <c r="CC15" i="4"/>
  <c r="CD15" i="4"/>
  <c r="CF15" i="4"/>
  <c r="CC16" i="4"/>
  <c r="CD16" i="4"/>
  <c r="CF16" i="4"/>
  <c r="CC17" i="4"/>
  <c r="CD17" i="4"/>
  <c r="CF17" i="4"/>
  <c r="CC18" i="4"/>
  <c r="CD18" i="4"/>
  <c r="CF18" i="4"/>
  <c r="CC19" i="4"/>
  <c r="CD19" i="4"/>
  <c r="CF19" i="4"/>
  <c r="CC20" i="4"/>
  <c r="CD20" i="4"/>
  <c r="CF20" i="4"/>
  <c r="CC21" i="4"/>
  <c r="CD21" i="4"/>
  <c r="CF21" i="4"/>
  <c r="CB27" i="4"/>
  <c r="CE27" i="4" s="1"/>
  <c r="CB22" i="4"/>
  <c r="CE22" i="4" s="1"/>
  <c r="CB23" i="4"/>
  <c r="CE23" i="4" s="1"/>
  <c r="CB24" i="4"/>
  <c r="CE24" i="4" s="1"/>
  <c r="CB25" i="4"/>
  <c r="CE25" i="4" s="1"/>
  <c r="CB28" i="4"/>
  <c r="CE28" i="4" s="1"/>
  <c r="CB29" i="4"/>
  <c r="CE29" i="4" s="1"/>
  <c r="CB30" i="4"/>
  <c r="CE30" i="4" s="1"/>
  <c r="CB7" i="4"/>
  <c r="CE7" i="4" s="1"/>
  <c r="CB8" i="4"/>
  <c r="CE8" i="4" s="1"/>
  <c r="CB9" i="4"/>
  <c r="CE9" i="4" s="1"/>
  <c r="CB10" i="4"/>
  <c r="CE10" i="4" s="1"/>
  <c r="CB11" i="4"/>
  <c r="CE11" i="4" s="1"/>
  <c r="CB12" i="4"/>
  <c r="CE12" i="4" s="1"/>
  <c r="CB13" i="4"/>
  <c r="CE13" i="4" s="1"/>
  <c r="CB14" i="4"/>
  <c r="CE14" i="4" s="1"/>
  <c r="CB15" i="4"/>
  <c r="CE15" i="4" s="1"/>
  <c r="CB16" i="4"/>
  <c r="CE16" i="4" s="1"/>
  <c r="CB17" i="4"/>
  <c r="CE17" i="4" s="1"/>
  <c r="CB18" i="4"/>
  <c r="CE18" i="4" s="1"/>
  <c r="CB19" i="4"/>
  <c r="CE19" i="4" s="1"/>
  <c r="CB20" i="4"/>
  <c r="CE20" i="4" s="1"/>
  <c r="CB21" i="4"/>
  <c r="CE21" i="4" s="1"/>
  <c r="CB26" i="4"/>
  <c r="CE26" i="4" s="1"/>
  <c r="CS27" i="4"/>
  <c r="CT27" i="4" s="1"/>
  <c r="CR27" i="4" s="1"/>
  <c r="CI30" i="4"/>
  <c r="CI8" i="4"/>
  <c r="CI16" i="4"/>
  <c r="CH20" i="4"/>
  <c r="CH17" i="4"/>
  <c r="AN15" i="4"/>
  <c r="AN16" i="4"/>
  <c r="AN17" i="4"/>
  <c r="AB27" i="4"/>
  <c r="AB22" i="4"/>
  <c r="AB23" i="4"/>
  <c r="AB24" i="4"/>
  <c r="AB28" i="4"/>
  <c r="AB29" i="4"/>
  <c r="AB30" i="4"/>
  <c r="AB7" i="4"/>
  <c r="AB8" i="4"/>
  <c r="AB12" i="4"/>
  <c r="AB13" i="4"/>
  <c r="AB15" i="4"/>
  <c r="AB16" i="4"/>
  <c r="AB17" i="4"/>
  <c r="AB18" i="4"/>
  <c r="AB19" i="4"/>
  <c r="AB20" i="4"/>
  <c r="AB21" i="4"/>
  <c r="AB26" i="4"/>
  <c r="AD27" i="4"/>
  <c r="AD22" i="4"/>
  <c r="AD23" i="4"/>
  <c r="AD24" i="4"/>
  <c r="AD25" i="4"/>
  <c r="AD28" i="4"/>
  <c r="AD29" i="4"/>
  <c r="AD30" i="4"/>
  <c r="AD7" i="4"/>
  <c r="AD8" i="4"/>
  <c r="AD9" i="4"/>
  <c r="AD11" i="4"/>
  <c r="AD12" i="4"/>
  <c r="AD13" i="4"/>
  <c r="AD14" i="4"/>
  <c r="AD15" i="4"/>
  <c r="AD16" i="4"/>
  <c r="AD17" i="4"/>
  <c r="AD18" i="4"/>
  <c r="AD19" i="4"/>
  <c r="AD20" i="4"/>
  <c r="AD21" i="4"/>
  <c r="AD26" i="4"/>
  <c r="AH27" i="4"/>
  <c r="AH22" i="4"/>
  <c r="AH23" i="4"/>
  <c r="AH24" i="4"/>
  <c r="AH25" i="4"/>
  <c r="AH28" i="4"/>
  <c r="AH29" i="4"/>
  <c r="AH30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6" i="4"/>
  <c r="AK27" i="4"/>
  <c r="AK22" i="4"/>
  <c r="AK23" i="4"/>
  <c r="AK24" i="4"/>
  <c r="AK25" i="4"/>
  <c r="AK28" i="4"/>
  <c r="AK29" i="4"/>
  <c r="AK30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6" i="4"/>
  <c r="AN26" i="4"/>
  <c r="AN19" i="4"/>
  <c r="AN20" i="4"/>
  <c r="AN21" i="4"/>
  <c r="AQ27" i="4"/>
  <c r="AR27" i="4" s="1"/>
  <c r="AO27" i="4" s="1"/>
  <c r="AM27" i="4" s="1"/>
  <c r="AQ22" i="4"/>
  <c r="AR22" i="4" s="1"/>
  <c r="AO22" i="4" s="1"/>
  <c r="AM22" i="4" s="1"/>
  <c r="AQ23" i="4"/>
  <c r="AR23" i="4" s="1"/>
  <c r="AO23" i="4" s="1"/>
  <c r="AM23" i="4" s="1"/>
  <c r="AQ24" i="4"/>
  <c r="AR24" i="4" s="1"/>
  <c r="AO24" i="4" s="1"/>
  <c r="AM24" i="4" s="1"/>
  <c r="AQ25" i="4"/>
  <c r="AR25" i="4" s="1"/>
  <c r="AO25" i="4" s="1"/>
  <c r="AM25" i="4" s="1"/>
  <c r="AQ28" i="4"/>
  <c r="AR28" i="4" s="1"/>
  <c r="AO28" i="4" s="1"/>
  <c r="AM28" i="4" s="1"/>
  <c r="AQ29" i="4"/>
  <c r="AR29" i="4" s="1"/>
  <c r="AO29" i="4" s="1"/>
  <c r="AM29" i="4" s="1"/>
  <c r="AQ30" i="4"/>
  <c r="AR30" i="4" s="1"/>
  <c r="AO30" i="4" s="1"/>
  <c r="AM30" i="4" s="1"/>
  <c r="AQ7" i="4"/>
  <c r="AR7" i="4" s="1"/>
  <c r="AO7" i="4" s="1"/>
  <c r="AM7" i="4" s="1"/>
  <c r="AQ8" i="4"/>
  <c r="AR8" i="4" s="1"/>
  <c r="AO8" i="4" s="1"/>
  <c r="AM8" i="4" s="1"/>
  <c r="AQ9" i="4"/>
  <c r="AR9" i="4" s="1"/>
  <c r="AO9" i="4" s="1"/>
  <c r="AM9" i="4" s="1"/>
  <c r="AQ10" i="4"/>
  <c r="AR10" i="4" s="1"/>
  <c r="AO10" i="4" s="1"/>
  <c r="AM10" i="4" s="1"/>
  <c r="AQ11" i="4"/>
  <c r="AR11" i="4" s="1"/>
  <c r="AO11" i="4" s="1"/>
  <c r="AM11" i="4" s="1"/>
  <c r="AQ12" i="4"/>
  <c r="AR12" i="4" s="1"/>
  <c r="AO12" i="4" s="1"/>
  <c r="AM12" i="4" s="1"/>
  <c r="AQ13" i="4"/>
  <c r="AR13" i="4" s="1"/>
  <c r="AO13" i="4" s="1"/>
  <c r="AM13" i="4" s="1"/>
  <c r="AQ14" i="4"/>
  <c r="AR14" i="4" s="1"/>
  <c r="AO14" i="4" s="1"/>
  <c r="AM14" i="4" s="1"/>
  <c r="AQ15" i="4"/>
  <c r="AR15" i="4" s="1"/>
  <c r="AQ16" i="4"/>
  <c r="AR16" i="4" s="1"/>
  <c r="AQ17" i="4"/>
  <c r="AR17" i="4" s="1"/>
  <c r="AQ18" i="4"/>
  <c r="AR18" i="4" s="1"/>
  <c r="AO18" i="4" s="1"/>
  <c r="AM18" i="4" s="1"/>
  <c r="AQ19" i="4"/>
  <c r="AR19" i="4" s="1"/>
  <c r="AQ20" i="4"/>
  <c r="AR20" i="4" s="1"/>
  <c r="AQ21" i="4"/>
  <c r="AR21" i="4" s="1"/>
  <c r="AQ26" i="4"/>
  <c r="AR26" i="4" s="1"/>
  <c r="X15" i="4"/>
  <c r="X22" i="4"/>
  <c r="X8" i="4"/>
  <c r="X16" i="4"/>
  <c r="X26" i="4"/>
  <c r="X28" i="4"/>
  <c r="X9" i="4"/>
  <c r="X17" i="4"/>
  <c r="V17" i="4" s="1"/>
  <c r="U17" i="4" s="1"/>
  <c r="X29" i="4"/>
  <c r="X10" i="4"/>
  <c r="X23" i="4"/>
  <c r="X24" i="4"/>
  <c r="X11" i="4"/>
  <c r="X18" i="4"/>
  <c r="X25" i="4"/>
  <c r="X27" i="4"/>
  <c r="X12" i="4"/>
  <c r="X19" i="4"/>
  <c r="X30" i="4"/>
  <c r="X13" i="4"/>
  <c r="X20" i="4"/>
  <c r="V20" i="4" s="1"/>
  <c r="X14" i="4"/>
  <c r="X21" i="4"/>
  <c r="X7" i="4"/>
  <c r="V15" i="4"/>
  <c r="V22" i="4"/>
  <c r="V8" i="4"/>
  <c r="V16" i="4"/>
  <c r="V26" i="4"/>
  <c r="V28" i="4"/>
  <c r="V9" i="4"/>
  <c r="V29" i="4"/>
  <c r="V10" i="4"/>
  <c r="V23" i="4"/>
  <c r="V24" i="4"/>
  <c r="V11" i="4"/>
  <c r="V18" i="4"/>
  <c r="V25" i="4"/>
  <c r="V27" i="4"/>
  <c r="V12" i="4"/>
  <c r="V19" i="4"/>
  <c r="V30" i="4"/>
  <c r="V13" i="4"/>
  <c r="V14" i="4"/>
  <c r="V21" i="4"/>
  <c r="V7" i="4"/>
  <c r="CS30" i="4" l="1"/>
  <c r="CT30" i="4" s="1"/>
  <c r="CR30" i="4" s="1"/>
  <c r="CW30" i="4"/>
  <c r="DC30" i="4" s="1"/>
  <c r="DD30" i="4" s="1"/>
  <c r="CS16" i="4"/>
  <c r="CT16" i="4" s="1"/>
  <c r="CR16" i="4" s="1"/>
  <c r="CW16" i="4"/>
  <c r="DC16" i="4" s="1"/>
  <c r="DD16" i="4" s="1"/>
  <c r="CS8" i="4"/>
  <c r="CT8" i="4" s="1"/>
  <c r="CR8" i="4" s="1"/>
  <c r="CW8" i="4"/>
  <c r="DC8" i="4" s="1"/>
  <c r="DD8" i="4" s="1"/>
  <c r="CI22" i="4"/>
  <c r="CI15" i="4"/>
  <c r="CI20" i="4"/>
  <c r="CI21" i="4"/>
  <c r="CI29" i="4"/>
  <c r="CI28" i="4"/>
  <c r="CI19" i="4"/>
  <c r="CI25" i="4"/>
  <c r="CI18" i="4"/>
  <c r="CI24" i="4"/>
  <c r="CI13" i="4"/>
  <c r="CI12" i="4"/>
  <c r="CI11" i="4"/>
  <c r="CI10" i="4"/>
  <c r="CI17" i="4"/>
  <c r="CI9" i="4"/>
  <c r="CI23" i="4"/>
  <c r="CI14" i="4"/>
  <c r="U20" i="4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CS7" i="4" l="1"/>
  <c r="CT7" i="4" s="1"/>
  <c r="CR7" i="4" s="1"/>
  <c r="DC7" i="4"/>
  <c r="DD7" i="4" s="1"/>
  <c r="CS23" i="4"/>
  <c r="CT23" i="4" s="1"/>
  <c r="CR23" i="4" s="1"/>
  <c r="CW23" i="4"/>
  <c r="DC23" i="4" s="1"/>
  <c r="DD23" i="4" s="1"/>
  <c r="CS20" i="4"/>
  <c r="CT20" i="4" s="1"/>
  <c r="CR20" i="4" s="1"/>
  <c r="CW20" i="4"/>
  <c r="DC20" i="4" s="1"/>
  <c r="DD20" i="4" s="1"/>
  <c r="CS9" i="4"/>
  <c r="CT9" i="4" s="1"/>
  <c r="CR9" i="4" s="1"/>
  <c r="CW9" i="4"/>
  <c r="DC9" i="4" s="1"/>
  <c r="DD9" i="4" s="1"/>
  <c r="CS19" i="4"/>
  <c r="CT19" i="4" s="1"/>
  <c r="CR19" i="4" s="1"/>
  <c r="CW19" i="4"/>
  <c r="DC19" i="4" s="1"/>
  <c r="DD19" i="4" s="1"/>
  <c r="CS28" i="4"/>
  <c r="CT28" i="4" s="1"/>
  <c r="CR28" i="4" s="1"/>
  <c r="CW28" i="4"/>
  <c r="DC28" i="4" s="1"/>
  <c r="DD28" i="4" s="1"/>
  <c r="CS11" i="4"/>
  <c r="CT11" i="4" s="1"/>
  <c r="CR11" i="4" s="1"/>
  <c r="CW11" i="4"/>
  <c r="DC11" i="4" s="1"/>
  <c r="DD11" i="4" s="1"/>
  <c r="CS29" i="4"/>
  <c r="CT29" i="4" s="1"/>
  <c r="CR29" i="4" s="1"/>
  <c r="CW29" i="4"/>
  <c r="DC29" i="4" s="1"/>
  <c r="DD29" i="4" s="1"/>
  <c r="CS15" i="4"/>
  <c r="CT15" i="4" s="1"/>
  <c r="CR15" i="4" s="1"/>
  <c r="CW15" i="4"/>
  <c r="DC15" i="4" s="1"/>
  <c r="DD15" i="4" s="1"/>
  <c r="CS18" i="4"/>
  <c r="CT18" i="4" s="1"/>
  <c r="CR18" i="4" s="1"/>
  <c r="CW18" i="4"/>
  <c r="DC18" i="4" s="1"/>
  <c r="DD18" i="4" s="1"/>
  <c r="CS13" i="4"/>
  <c r="CT13" i="4" s="1"/>
  <c r="CR13" i="4" s="1"/>
  <c r="CW13" i="4"/>
  <c r="DC13" i="4" s="1"/>
  <c r="DD13" i="4" s="1"/>
  <c r="CS17" i="4"/>
  <c r="CT17" i="4" s="1"/>
  <c r="CR17" i="4" s="1"/>
  <c r="CW17" i="4"/>
  <c r="DC17" i="4" s="1"/>
  <c r="DD17" i="4" s="1"/>
  <c r="CS21" i="4"/>
  <c r="CT21" i="4" s="1"/>
  <c r="CR21" i="4" s="1"/>
  <c r="CW21" i="4"/>
  <c r="DC21" i="4" s="1"/>
  <c r="DD21" i="4" s="1"/>
  <c r="CS12" i="4"/>
  <c r="CT12" i="4" s="1"/>
  <c r="CR12" i="4" s="1"/>
  <c r="CW12" i="4"/>
  <c r="DC12" i="4" s="1"/>
  <c r="DD12" i="4" s="1"/>
  <c r="CS14" i="4"/>
  <c r="CT14" i="4" s="1"/>
  <c r="CR14" i="4" s="1"/>
  <c r="CW14" i="4"/>
  <c r="DC14" i="4" s="1"/>
  <c r="DD14" i="4" s="1"/>
  <c r="CS10" i="4"/>
  <c r="CT10" i="4" s="1"/>
  <c r="CR10" i="4" s="1"/>
  <c r="CW10" i="4"/>
  <c r="DC10" i="4" s="1"/>
  <c r="DD10" i="4" s="1"/>
  <c r="CS25" i="4"/>
  <c r="CT25" i="4" s="1"/>
  <c r="CR25" i="4" s="1"/>
  <c r="CW25" i="4"/>
  <c r="DC25" i="4" s="1"/>
  <c r="DD25" i="4" s="1"/>
  <c r="CS24" i="4"/>
  <c r="CT24" i="4" s="1"/>
  <c r="CR24" i="4" s="1"/>
  <c r="CW24" i="4"/>
  <c r="DC24" i="4" s="1"/>
  <c r="DD24" i="4" s="1"/>
  <c r="CS22" i="4"/>
  <c r="CT22" i="4" s="1"/>
  <c r="CR22" i="4" s="1"/>
  <c r="CW22" i="4"/>
  <c r="DC22" i="4" s="1"/>
  <c r="DD22" i="4" s="1"/>
  <c r="J9" i="2"/>
  <c r="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Jeremiah Bernau</author>
  </authors>
  <commentList>
    <comment ref="AB21" authorId="0" shapeId="0" xr:uid="{D60614FA-C268-4E0E-8482-BAFA638F487E}">
      <text>
        <r>
          <rPr>
            <b/>
            <sz val="9"/>
            <color indexed="81"/>
            <rFont val="Tahoma"/>
            <charset val="1"/>
          </rPr>
          <t>Jeremiah Bernau:</t>
        </r>
        <r>
          <rPr>
            <sz val="9"/>
            <color indexed="81"/>
            <rFont val="Tahoma"/>
            <charset val="1"/>
          </rPr>
          <t xml:space="preserve">
this is better off classified as a gypsum… </t>
        </r>
      </text>
    </comment>
  </commentList>
</comments>
</file>

<file path=xl/sharedStrings.xml><?xml version="1.0" encoding="utf-8"?>
<sst xmlns="http://schemas.openxmlformats.org/spreadsheetml/2006/main" count="4041" uniqueCount="453">
  <si>
    <t>CollectionDate</t>
  </si>
  <si>
    <t>Collected by</t>
  </si>
  <si>
    <t>Sample ID_PitID/ThinSectionID</t>
  </si>
  <si>
    <t>Longitude</t>
  </si>
  <si>
    <t>Latitude</t>
  </si>
  <si>
    <t>PitDepth_Surface=0mm'</t>
  </si>
  <si>
    <t>Notes</t>
  </si>
  <si>
    <t>Comments</t>
  </si>
  <si>
    <t>FieldLabel</t>
  </si>
  <si>
    <t>LayerID</t>
  </si>
  <si>
    <t>SamplingMethod</t>
  </si>
  <si>
    <t>material</t>
  </si>
  <si>
    <t>SampleColor1 - primary</t>
  </si>
  <si>
    <t>SampleColor2 - secondary</t>
  </si>
  <si>
    <t>sulfur smell?</t>
  </si>
  <si>
    <t>brine?</t>
  </si>
  <si>
    <t>Julia McGonigle</t>
  </si>
  <si>
    <t>D-12B</t>
  </si>
  <si>
    <t>0-3mm</t>
  </si>
  <si>
    <t>White halite with patches of redish below white surface</t>
  </si>
  <si>
    <t>16-D12B-1 DNA</t>
  </si>
  <si>
    <t>Layer 1</t>
  </si>
  <si>
    <t xml:space="preserve">Pit dug and layers adjacent to pit separated by hand with flat trowel. </t>
  </si>
  <si>
    <t>surface halite</t>
  </si>
  <si>
    <t>white</t>
  </si>
  <si>
    <t>red</t>
  </si>
  <si>
    <t>no</t>
  </si>
  <si>
    <t>3mm-7mm</t>
  </si>
  <si>
    <t>Green layer mixed with tan mud</t>
  </si>
  <si>
    <t>16-D12B-2 DNA</t>
  </si>
  <si>
    <t>Layer 2</t>
  </si>
  <si>
    <t>mud</t>
  </si>
  <si>
    <t>green</t>
  </si>
  <si>
    <t>tan/brown</t>
  </si>
  <si>
    <t>7-15mm</t>
  </si>
  <si>
    <t>Black, sulfurous  mud</t>
  </si>
  <si>
    <t>16-D12B-3 DNA</t>
  </si>
  <si>
    <t>Layer 3</t>
  </si>
  <si>
    <t>black</t>
  </si>
  <si>
    <t>yes</t>
  </si>
  <si>
    <t>15mm-40mm</t>
  </si>
  <si>
    <t>Loosely packed gypsum</t>
  </si>
  <si>
    <t>16-D12B-4 DNA</t>
  </si>
  <si>
    <t>Layer 4</t>
  </si>
  <si>
    <t>gypsum sand</t>
  </si>
  <si>
    <t>D-29</t>
  </si>
  <si>
    <t>0-9mm</t>
  </si>
  <si>
    <t>Hard packed white salt</t>
  </si>
  <si>
    <t>16-D29-1 DNA</t>
  </si>
  <si>
    <t>9-26mm</t>
  </si>
  <si>
    <t>Grey mud layer</t>
  </si>
  <si>
    <t>16-D29-2 DNA</t>
  </si>
  <si>
    <t>gray</t>
  </si>
  <si>
    <t>26-59mm</t>
  </si>
  <si>
    <t>Large crystal salt</t>
  </si>
  <si>
    <t>16-D29-3 DNA</t>
  </si>
  <si>
    <t>coarse halite</t>
  </si>
  <si>
    <t>D-33</t>
  </si>
  <si>
    <t>0-5cm</t>
  </si>
  <si>
    <t>White Halite with patches of redish below white surface</t>
  </si>
  <si>
    <t>16-D33-1 DNA</t>
  </si>
  <si>
    <t>5-10cm</t>
  </si>
  <si>
    <t>Grey green mud</t>
  </si>
  <si>
    <t>16-D33-2 DNA</t>
  </si>
  <si>
    <t>10cm-brine</t>
  </si>
  <si>
    <t xml:space="preserve">Gypsum and brine water </t>
  </si>
  <si>
    <t>16-D33-3 DNA</t>
  </si>
  <si>
    <t>D-35</t>
  </si>
  <si>
    <t>0-2cm</t>
  </si>
  <si>
    <t>White halite with pink throughout</t>
  </si>
  <si>
    <t>16-D35-1 DNA</t>
  </si>
  <si>
    <t>2-6cm</t>
  </si>
  <si>
    <t>Bown, halite with green  and brown stripes.</t>
  </si>
  <si>
    <t>16-D35-2 DNA</t>
  </si>
  <si>
    <t>white, green</t>
  </si>
  <si>
    <t>6-12cm</t>
  </si>
  <si>
    <t>Dark black layer, cemeted salt, and brine</t>
  </si>
  <si>
    <t>16-D35-3 DNA</t>
  </si>
  <si>
    <t>D-41</t>
  </si>
  <si>
    <t>0-25mm</t>
  </si>
  <si>
    <t>White fluffy halite</t>
  </si>
  <si>
    <t>16-D41-1 DNA</t>
  </si>
  <si>
    <t>25-90mm</t>
  </si>
  <si>
    <t>Dark brown grey sludge with a little green. Smells like sulfur</t>
  </si>
  <si>
    <t>16-D41-2 DNA</t>
  </si>
  <si>
    <t>D-46</t>
  </si>
  <si>
    <t>0-10mm</t>
  </si>
  <si>
    <t>Thin salt crust</t>
  </si>
  <si>
    <t>16-D46-1 DNA</t>
  </si>
  <si>
    <t>10mm-as far as trowel went</t>
  </si>
  <si>
    <t>Muddy silt with some greeen and black</t>
  </si>
  <si>
    <t>16-D46-2 DNA</t>
  </si>
  <si>
    <t>D-56</t>
  </si>
  <si>
    <t>White on very top with pink throughout rest</t>
  </si>
  <si>
    <t>16-D56-1 DNA</t>
  </si>
  <si>
    <t>25-45mm</t>
  </si>
  <si>
    <t>Brown with bright green from below white, top halite</t>
  </si>
  <si>
    <t>16-D56-2 DNA</t>
  </si>
  <si>
    <t>45-95mm</t>
  </si>
  <si>
    <t xml:space="preserve">Second salt layer </t>
  </si>
  <si>
    <t>16-D56-3 DNA</t>
  </si>
  <si>
    <t>95-115mm</t>
  </si>
  <si>
    <t>Black sulfur sludge</t>
  </si>
  <si>
    <t>16-D56-4 DNA</t>
  </si>
  <si>
    <t>D-67B</t>
  </si>
  <si>
    <t>0-15mm</t>
  </si>
  <si>
    <t>Thick, white salt layer with thin green layer on lower side (side on top of mud)</t>
  </si>
  <si>
    <t>16-D67B-1 DNA</t>
  </si>
  <si>
    <t xml:space="preserve">15-80mm </t>
  </si>
  <si>
    <t>Mix of lighter green and brown</t>
  </si>
  <si>
    <t>16-D67B-2 DNA</t>
  </si>
  <si>
    <t>80mm</t>
  </si>
  <si>
    <t>Hard salt layer</t>
  </si>
  <si>
    <t>16-D67B-3 DNA</t>
  </si>
  <si>
    <t>&lt; 10</t>
  </si>
  <si>
    <t>&lt; 5</t>
  </si>
  <si>
    <t>&lt; 1</t>
  </si>
  <si>
    <t>&lt; 2</t>
  </si>
  <si>
    <t>&lt; 20</t>
  </si>
  <si>
    <t>&lt; 0.01</t>
  </si>
  <si>
    <t>&lt; 0.5</t>
  </si>
  <si>
    <t>&lt; 0.2</t>
  </si>
  <si>
    <t xml:space="preserve">16-D41-2 </t>
  </si>
  <si>
    <t>&lt; 100</t>
  </si>
  <si>
    <t>&lt; 50</t>
  </si>
  <si>
    <t>&lt; 0.001</t>
  </si>
  <si>
    <t>&gt; 10.0</t>
  </si>
  <si>
    <t xml:space="preserve">16-D41-1 </t>
  </si>
  <si>
    <t xml:space="preserve">16-D46-2 </t>
  </si>
  <si>
    <t xml:space="preserve">16-D46-1 </t>
  </si>
  <si>
    <t>&lt; 80</t>
  </si>
  <si>
    <t>&lt; 40</t>
  </si>
  <si>
    <t xml:space="preserve">16-D67B-3 </t>
  </si>
  <si>
    <t>&lt; 30</t>
  </si>
  <si>
    <t xml:space="preserve">16-D67B-2 </t>
  </si>
  <si>
    <t xml:space="preserve">16-D67B-1 </t>
  </si>
  <si>
    <t>&lt; 60</t>
  </si>
  <si>
    <t>&lt; 90</t>
  </si>
  <si>
    <t xml:space="preserve">16-D56-4 </t>
  </si>
  <si>
    <t xml:space="preserve">16-D56-3 </t>
  </si>
  <si>
    <t xml:space="preserve">16-D56-2 </t>
  </si>
  <si>
    <t xml:space="preserve">16-D56-1 </t>
  </si>
  <si>
    <t xml:space="preserve">16-D35-3 </t>
  </si>
  <si>
    <t xml:space="preserve">16-D35-2 </t>
  </si>
  <si>
    <t xml:space="preserve">16-D35-1 </t>
  </si>
  <si>
    <t xml:space="preserve">16-D33-3 </t>
  </si>
  <si>
    <t xml:space="preserve">16-D33-2 </t>
  </si>
  <si>
    <t xml:space="preserve">16-D33-1 </t>
  </si>
  <si>
    <t xml:space="preserve">16-D12B-4 </t>
  </si>
  <si>
    <t xml:space="preserve">16-D12B-3 </t>
  </si>
  <si>
    <t xml:space="preserve">16-D12B-2 </t>
  </si>
  <si>
    <t xml:space="preserve">16-D12B-1 </t>
  </si>
  <si>
    <t xml:space="preserve">16-D29-3 </t>
  </si>
  <si>
    <t xml:space="preserve">16-D29-2 </t>
  </si>
  <si>
    <t xml:space="preserve">16-D29-1 </t>
  </si>
  <si>
    <t>TITR</t>
  </si>
  <si>
    <t>IC</t>
  </si>
  <si>
    <t>AR-ICP</t>
  </si>
  <si>
    <t>Analysis Method</t>
  </si>
  <si>
    <t>Detection Limit</t>
  </si>
  <si>
    <t>mg/L CaCO3</t>
  </si>
  <si>
    <t>mg/L</t>
  </si>
  <si>
    <t>ppm</t>
  </si>
  <si>
    <t>%</t>
  </si>
  <si>
    <t>Unit Symbol</t>
  </si>
  <si>
    <t>OH(-)</t>
  </si>
  <si>
    <t>HCO3(-)</t>
  </si>
  <si>
    <t>CO3(2-)</t>
  </si>
  <si>
    <t>Alk.</t>
  </si>
  <si>
    <t>SO4</t>
  </si>
  <si>
    <t>PO4 (as P)</t>
  </si>
  <si>
    <t>NO3 (as N)</t>
  </si>
  <si>
    <t>Br</t>
  </si>
  <si>
    <t>NO2 (as N)</t>
  </si>
  <si>
    <t>Cl</t>
  </si>
  <si>
    <t>F</t>
  </si>
  <si>
    <t>Zr</t>
  </si>
  <si>
    <t>Y</t>
  </si>
  <si>
    <t>W</t>
  </si>
  <si>
    <t>V</t>
  </si>
  <si>
    <t>U</t>
  </si>
  <si>
    <t>Tl</t>
  </si>
  <si>
    <t>Te</t>
  </si>
  <si>
    <t>Th</t>
  </si>
  <si>
    <t>Ti</t>
  </si>
  <si>
    <t>Sr</t>
  </si>
  <si>
    <t>Sc</t>
  </si>
  <si>
    <t>Sb</t>
  </si>
  <si>
    <t>S</t>
  </si>
  <si>
    <t>P</t>
  </si>
  <si>
    <t>Na</t>
  </si>
  <si>
    <t>Mg</t>
  </si>
  <si>
    <t>La</t>
  </si>
  <si>
    <t>K</t>
  </si>
  <si>
    <t>Hg</t>
  </si>
  <si>
    <t>Ga</t>
  </si>
  <si>
    <t>Fe</t>
  </si>
  <si>
    <t>Cr</t>
  </si>
  <si>
    <t>Co</t>
  </si>
  <si>
    <t>Ca</t>
  </si>
  <si>
    <t>Bi</t>
  </si>
  <si>
    <t>Be</t>
  </si>
  <si>
    <t>Ba</t>
  </si>
  <si>
    <t>B</t>
  </si>
  <si>
    <t>As</t>
  </si>
  <si>
    <t>Al</t>
  </si>
  <si>
    <t>Zn</t>
  </si>
  <si>
    <t>Pb</t>
  </si>
  <si>
    <t>Ni</t>
  </si>
  <si>
    <t>Mo</t>
  </si>
  <si>
    <t>Mn</t>
  </si>
  <si>
    <t>Cu</t>
  </si>
  <si>
    <t>Cd</t>
  </si>
  <si>
    <t>Ag</t>
  </si>
  <si>
    <t>Analyte Symbol</t>
  </si>
  <si>
    <t>Report Date: 15/5/2018</t>
  </si>
  <si>
    <t>Report Number: A18-04885</t>
  </si>
  <si>
    <t>Have XRF data for subsamples from core?</t>
  </si>
  <si>
    <t>XRF</t>
  </si>
  <si>
    <t>No</t>
  </si>
  <si>
    <t>sample depth (center of interval) - cm</t>
  </si>
  <si>
    <t>JAB classification (sed only) 181107</t>
  </si>
  <si>
    <t xml:space="preserve"> thin halite veneer</t>
  </si>
  <si>
    <t>thin halite veneer</t>
  </si>
  <si>
    <t>thick surface halite</t>
  </si>
  <si>
    <t>coarse dissolution pipe halite</t>
  </si>
  <si>
    <t>Thin section (present, and what it says)</t>
  </si>
  <si>
    <t>fine grained sand</t>
  </si>
  <si>
    <t>fine-muddy sand</t>
  </si>
  <si>
    <t>coarse sand with halite</t>
  </si>
  <si>
    <t>sub-halite 1 with gypsum sand in it</t>
  </si>
  <si>
    <t>coarse halite with gypsum sand… ???, brine</t>
  </si>
  <si>
    <t>muddy may mean organic rich in this case</t>
  </si>
  <si>
    <t>fine-muddy sand/fine grained sand</t>
  </si>
  <si>
    <t>comparison to core data</t>
  </si>
  <si>
    <t>salt for first 10 cm - so gypsum layer is relatively thin</t>
  </si>
  <si>
    <t>fine-medium sand</t>
  </si>
  <si>
    <t>10 inch thick lower halite layer</t>
  </si>
  <si>
    <t>5 inch thick lower halite layer</t>
  </si>
  <si>
    <t>1 cm thick upper halite layer</t>
  </si>
  <si>
    <t>9 inches of thick lower halite</t>
  </si>
  <si>
    <t>thick surface halite 4"</t>
  </si>
  <si>
    <t>fine to coarse gypsum - muddy</t>
  </si>
  <si>
    <t>thin gypsum layer - in halite</t>
  </si>
  <si>
    <t>part of the upper halite interval - but dissoluton pipes</t>
  </si>
  <si>
    <t>1.5 " thick surface halite</t>
  </si>
  <si>
    <t>fine-medium sand - thin</t>
  </si>
  <si>
    <t xml:space="preserve">thick subsurface halite 15" </t>
  </si>
  <si>
    <t>thin surface halite</t>
  </si>
  <si>
    <t>thin halite layer</t>
  </si>
  <si>
    <t>thin 1.5" gypsum layer with 9" halite subsurface layer</t>
  </si>
  <si>
    <t>very thick surface sample - some thin gypsum "layers" within</t>
  </si>
  <si>
    <t>thin sand interval in salt?</t>
  </si>
  <si>
    <t>dissolution pipe halite</t>
  </si>
  <si>
    <t>not in thin section.</t>
  </si>
  <si>
    <t>top surface halite - no gypsum layer (block is ~7.6 cm deep)</t>
  </si>
  <si>
    <t>porous halite - thin gypsum layers</t>
  </si>
  <si>
    <t>dissolution pipe halite - only gypsum at bottom (sample may have gypsum)</t>
  </si>
  <si>
    <t>thin surface halite, some bottom growth</t>
  </si>
  <si>
    <t>~3 - 4 cm of gypsum sand with some sed features, upper darker layer, larger gypsum crystals at base</t>
  </si>
  <si>
    <t>dissolution pipe halite, high gypsum constituent</t>
  </si>
  <si>
    <t>Have XRF data for subsamples from core? ( and XRF sample it likely correlated with)</t>
  </si>
  <si>
    <t>brine and coarse dissolution pipe halite layer???</t>
  </si>
  <si>
    <t xml:space="preserve">33-2 - gypsum with clay, trace halite </t>
  </si>
  <si>
    <t>33-1 - gypsum with halite and some clay</t>
  </si>
  <si>
    <t>35-2 - counts gypsum with halite, most clay rich interval - gypsum and halite</t>
  </si>
  <si>
    <t>35-1 - counts - very halite rich, trace gypsum - other interpretation - halite dominant with trace clays</t>
  </si>
  <si>
    <t>35-3 - counts halite with gypsum, other interpretation - halite rich interval with clay and gypsum</t>
  </si>
  <si>
    <t>33-3 - (gross element count similar to 33-1)halite, lot of gypsum, some clay</t>
  </si>
  <si>
    <t>12B-1 - halite, some clay - pure counts indicate most halite rich intercal with some gypsum</t>
  </si>
  <si>
    <t>12B-2 - gypsum rich, some clay, trace halite</t>
  </si>
  <si>
    <t xml:space="preserve">12B-3 - halite, with some gypsum and clay(subsample with extrapolated XRF interpretation) - counts indicate there could be gypsum here. </t>
  </si>
  <si>
    <t>Cl adjusted (/10,000</t>
  </si>
  <si>
    <t>(10) dag/L</t>
  </si>
  <si>
    <t>g/L</t>
  </si>
  <si>
    <t xml:space="preserve">no clear relation with S concentrations… </t>
  </si>
  <si>
    <t>means high Halite</t>
  </si>
  <si>
    <t xml:space="preserve"> </t>
  </si>
  <si>
    <t>means high clay</t>
  </si>
  <si>
    <t>means high gypsum</t>
  </si>
  <si>
    <t>red is high, yellow it low</t>
  </si>
  <si>
    <t>clayt</t>
  </si>
  <si>
    <t>clay</t>
  </si>
  <si>
    <t>high Al - more clay?</t>
  </si>
  <si>
    <t>high dertrital inpu (high clay/gyp)</t>
  </si>
  <si>
    <t>yellow means low halite</t>
  </si>
  <si>
    <t xml:space="preserve">halite rich </t>
  </si>
  <si>
    <t>high gypsum</t>
  </si>
  <si>
    <t xml:space="preserve"> high gypsum</t>
  </si>
  <si>
    <t xml:space="preserve">halite rich, some gypsum  </t>
  </si>
  <si>
    <t xml:space="preserve">halite rich, some gypsum   </t>
  </si>
  <si>
    <t xml:space="preserve">some gypsum </t>
  </si>
  <si>
    <t xml:space="preserve">some to less gypsum </t>
  </si>
  <si>
    <t xml:space="preserve">halite rich, sole to less gypsum </t>
  </si>
  <si>
    <t xml:space="preserve">halite rich, some gypsum </t>
  </si>
  <si>
    <t>high dritial input, halite poor, high gypsum, high clay/detrital (fe,al,mg)</t>
  </si>
  <si>
    <t>halite poor, high gypsum, high clay/detrital (fe,al,mg)</t>
  </si>
  <si>
    <t>high detritial input, halite poor,  high gypsum, high clay/detrital (fe,al,mg)</t>
  </si>
  <si>
    <t>very high detrital input, very halite poor, high gypsum, high clay/detrital (fe,al,mg)</t>
  </si>
  <si>
    <t>high detrital input, very halite poor, high gypsum, high clay/detrital (fe,al,mg)</t>
  </si>
  <si>
    <t>Interpretation from elemental concentrations (analytical results)</t>
  </si>
  <si>
    <t>high detrital input, halite poor, high gypsum, high clay/detrital (fe,al,mg)</t>
  </si>
  <si>
    <t>New classification (drawing upon field notes and images, core logs, thin sections and surface sample blocks, XRF data, ActLabsData, etc)</t>
  </si>
  <si>
    <t>halite rich, some gypsum, trace clays</t>
  </si>
  <si>
    <t>high gypsum and halite, detrital input (medium)</t>
  </si>
  <si>
    <t xml:space="preserve"> high gypsum, high halite, trace clay</t>
  </si>
  <si>
    <t xml:space="preserve">halite rich, trace clay </t>
  </si>
  <si>
    <t xml:space="preserve"> high gypsum, medium halite, some clay</t>
  </si>
  <si>
    <t xml:space="preserve">halite rich, some clay  </t>
  </si>
  <si>
    <t>&gt;90% halite</t>
  </si>
  <si>
    <t xml:space="preserve">&gt;80% gypsum, &gt;5% detrital </t>
  </si>
  <si>
    <t xml:space="preserve">&gt;5% detrital </t>
  </si>
  <si>
    <t>&gt;80% gypsum, &lt;5% detrital</t>
  </si>
  <si>
    <t>40-60% halite or gypsum (relative to halite/gypsum)</t>
  </si>
  <si>
    <t>mostly gypsum</t>
  </si>
  <si>
    <t>mostly halite</t>
  </si>
  <si>
    <t>classification from this data (semi-quantitative)</t>
  </si>
  <si>
    <t>surface halite, pure</t>
  </si>
  <si>
    <t>surface halite mixed gypsum/detrital</t>
  </si>
  <si>
    <t>surface halite, some gypsum/dertrital</t>
  </si>
  <si>
    <t>subsurface gypsum 1</t>
  </si>
  <si>
    <t>subsurface halite 1 - mixed with gypsum</t>
  </si>
  <si>
    <t xml:space="preserve">surface halite, pure </t>
  </si>
  <si>
    <t>surface halite part 2, mixed with gypsum</t>
  </si>
  <si>
    <t>subsurface gypsum 1 - high detrital/clay input</t>
  </si>
  <si>
    <t>subsurface gypsum 1 part 2, coarser crystals</t>
  </si>
  <si>
    <t>subsurface halite 1 - mixed with gypsum, dissolution pipes</t>
  </si>
  <si>
    <t>subsurface halite 1 - pure, dissolution pipes</t>
  </si>
  <si>
    <t>subsurface halite 1 - with some gypsum</t>
  </si>
  <si>
    <t>subsurface gypsum 1 (?) - ok with this because upper gypsum within halite…</t>
  </si>
  <si>
    <t>surface halite, pure; part 2 (actlab result), other results (non-direct) indicate gypsum layer with halite</t>
  </si>
  <si>
    <t>1H</t>
  </si>
  <si>
    <t>2G</t>
  </si>
  <si>
    <t>2Hg</t>
  </si>
  <si>
    <t>1Hgd</t>
  </si>
  <si>
    <t>2G2</t>
  </si>
  <si>
    <t>Facies classification (strat level with number, descriptor with letter - H for halite, G for gypsum, d as a modifier for detrital, if H or G lowercase then they are secondary, if uppercase they represent a major portion, if second par of same interval a 2 may be added to indicate that) note- depth and water table effect not factored in here)</t>
  </si>
  <si>
    <t>3Hg</t>
  </si>
  <si>
    <t>1H2</t>
  </si>
  <si>
    <t>1H2g</t>
  </si>
  <si>
    <t xml:space="preserve">2H </t>
  </si>
  <si>
    <t>2Gh</t>
  </si>
  <si>
    <t>subsurface halite 1 - high gypsum</t>
  </si>
  <si>
    <t>2HG</t>
  </si>
  <si>
    <t>2Gd</t>
  </si>
  <si>
    <t xml:space="preserve">Facies </t>
  </si>
  <si>
    <t>EdgeR  Class</t>
  </si>
  <si>
    <t>Seq Details</t>
  </si>
  <si>
    <t>*ARCH fail seq</t>
  </si>
  <si>
    <t>*BAC fail seq</t>
  </si>
  <si>
    <t>*BAC/ARCH fail sequencing</t>
  </si>
  <si>
    <t>lower halite</t>
  </si>
  <si>
    <t>lower gypsum</t>
  </si>
  <si>
    <t>upper gypsum</t>
  </si>
  <si>
    <t>lower halite and gypsum</t>
  </si>
  <si>
    <t>mol percent</t>
  </si>
  <si>
    <t>A</t>
  </si>
  <si>
    <t>A new class</t>
  </si>
  <si>
    <t>mol %</t>
  </si>
  <si>
    <t>Na (extrapolated and repored values)</t>
  </si>
  <si>
    <t>extrapoloated halite (given Cl value and high R) - all over than 0.435 as they should be - if reported accurately</t>
  </si>
  <si>
    <t>k</t>
  </si>
  <si>
    <t>O</t>
  </si>
  <si>
    <t>Total</t>
  </si>
  <si>
    <t>*missing</t>
  </si>
  <si>
    <t xml:space="preserve">Na </t>
  </si>
  <si>
    <t>O (extrapolated) from Ca and S (gypsum)</t>
  </si>
  <si>
    <t>% extrap</t>
  </si>
  <si>
    <t>O extrap</t>
  </si>
  <si>
    <t xml:space="preserve">halite (mol % Na + Cl) </t>
  </si>
  <si>
    <t xml:space="preserve">gypsum (mol % Ca + S, and extrap O) </t>
  </si>
  <si>
    <t>sulfur O - Ca+S/2*4</t>
  </si>
  <si>
    <t>clay O - Al*3</t>
  </si>
  <si>
    <t>K (mol%)</t>
  </si>
  <si>
    <t>clay (Fe, Mg, Al + extrap O) mol5</t>
  </si>
  <si>
    <t>groups work</t>
  </si>
  <si>
    <t>hmmmm</t>
  </si>
  <si>
    <t>??</t>
  </si>
  <si>
    <t>???</t>
  </si>
  <si>
    <t>only upper and lower gyp</t>
  </si>
  <si>
    <t>many of these it is detected or not</t>
  </si>
  <si>
    <t>low values - less halite</t>
  </si>
  <si>
    <t>NO IDEA</t>
  </si>
  <si>
    <t>&lt;5</t>
  </si>
  <si>
    <t>only upper gyp</t>
  </si>
  <si>
    <t>high in halie</t>
  </si>
  <si>
    <t>surface halite and upper gyp</t>
  </si>
  <si>
    <t>all - weak</t>
  </si>
  <si>
    <t>surface halite and upper gyp???</t>
  </si>
  <si>
    <t>Sed Classification</t>
  </si>
  <si>
    <t xml:space="preserve">lower gypsum </t>
  </si>
  <si>
    <t xml:space="preserve">upper gypsum </t>
  </si>
  <si>
    <t>total element arverage/variation</t>
  </si>
  <si>
    <t>average</t>
  </si>
  <si>
    <t>std dev</t>
  </si>
  <si>
    <t>Average value</t>
  </si>
  <si>
    <t>standard deviation</t>
  </si>
  <si>
    <t>AVERAGE</t>
  </si>
  <si>
    <t xml:space="preserve">P </t>
  </si>
  <si>
    <t>H</t>
  </si>
  <si>
    <t>minerals - reported mass %</t>
  </si>
  <si>
    <t>P %</t>
  </si>
  <si>
    <t>K%</t>
  </si>
  <si>
    <t>SUM</t>
  </si>
  <si>
    <t>missing</t>
  </si>
  <si>
    <t>sample interval</t>
  </si>
  <si>
    <t>brine</t>
  </si>
  <si>
    <t>as far as trowel went</t>
  </si>
  <si>
    <t>depth from (mm)</t>
  </si>
  <si>
    <t>depth to (mm)</t>
  </si>
  <si>
    <t>high in halite</t>
  </si>
  <si>
    <t xml:space="preserve">gypsum </t>
  </si>
  <si>
    <t xml:space="preserve">(mol % Ca + S, and extrap O and H) </t>
  </si>
  <si>
    <t xml:space="preserve">clay </t>
  </si>
  <si>
    <t>(Fe, Mg, Al)</t>
  </si>
  <si>
    <t xml:space="preserve">halite </t>
  </si>
  <si>
    <t xml:space="preserve">(mol % Na + Cl) (no h2o for simplicity </t>
  </si>
  <si>
    <t>combined name</t>
  </si>
  <si>
    <t>derived</t>
  </si>
  <si>
    <t xml:space="preserve">29-1 </t>
  </si>
  <si>
    <t xml:space="preserve">12B-1 </t>
  </si>
  <si>
    <t xml:space="preserve">33-1 </t>
  </si>
  <si>
    <t xml:space="preserve">35-1 </t>
  </si>
  <si>
    <t xml:space="preserve">56-1 </t>
  </si>
  <si>
    <t xml:space="preserve">67B-1 </t>
  </si>
  <si>
    <t xml:space="preserve">46-1 </t>
  </si>
  <si>
    <t xml:space="preserve">41-1 </t>
  </si>
  <si>
    <t xml:space="preserve">29-2 </t>
  </si>
  <si>
    <t xml:space="preserve">12B-2 </t>
  </si>
  <si>
    <t xml:space="preserve">33-2 </t>
  </si>
  <si>
    <t xml:space="preserve">56-2 </t>
  </si>
  <si>
    <t xml:space="preserve">67B-2 </t>
  </si>
  <si>
    <t xml:space="preserve">46-2 </t>
  </si>
  <si>
    <t xml:space="preserve">41-2 </t>
  </si>
  <si>
    <t xml:space="preserve">29-3 </t>
  </si>
  <si>
    <t xml:space="preserve">35-2 </t>
  </si>
  <si>
    <t xml:space="preserve">35-3 </t>
  </si>
  <si>
    <t xml:space="preserve">56-3 </t>
  </si>
  <si>
    <t xml:space="preserve">12B-3 </t>
  </si>
  <si>
    <t xml:space="preserve">56-4 </t>
  </si>
  <si>
    <t xml:space="preserve">12B-4 </t>
  </si>
  <si>
    <t xml:space="preserve">33-3 </t>
  </si>
  <si>
    <t xml:space="preserve">67B-3 </t>
  </si>
  <si>
    <t>Sample ID</t>
  </si>
  <si>
    <t>Group Number</t>
  </si>
  <si>
    <t>Group 1, surface halite</t>
  </si>
  <si>
    <t xml:space="preserve">Goup 2, upper gypsum </t>
  </si>
  <si>
    <t>Group 5, lower halite and gypsum</t>
  </si>
  <si>
    <t xml:space="preserve">Group 2, upper gypsum </t>
  </si>
  <si>
    <t>Group 3, lower halite</t>
  </si>
  <si>
    <t xml:space="preserve">Group 4, lower gypsum </t>
  </si>
  <si>
    <t>Sample Color - primary</t>
  </si>
  <si>
    <t>Sample Color -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</si>
</sst>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6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Calibri"/>
      <family val="2"/>
    </font>
    <font>
      <sz val="12"/>
      <color rgb="FFFFFFFF"/>
      <name val="Calibri"/>
      <family val="2"/>
    </font>
    <font>
      <sz val="12"/>
      <color rgb="FF9C0006"/>
      <name val="Calibri"/>
      <family val="2"/>
    </font>
    <font>
      <sz val="10"/>
      <name val="Arial"/>
      <family val="2"/>
    </font>
    <font>
      <sz val="12"/>
      <color rgb="FF006100"/>
      <name val="Calibri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9"/>
      <color rgb="FF9C0006"/>
      <name val="Calibri"/>
      <family val="2"/>
    </font>
    <font>
      <sz val="9"/>
      <color rgb="FF9C0006"/>
      <name val="Calibri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</font>
    <font>
      <sz val="11"/>
      <color rgb="FF000000"/>
      <name val="Calibri"/>
    </font>
    <font>
      <sz val="9"/>
      <color rgb="FF000000"/>
      <name val="Arial"/>
    </font>
  </fonts>
  <fills count="27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FC7CE"/>
        <bgColor rgb="FFFFC7CE"/>
      </patternFill>
    </fill>
    <fill>
      <patternFill patternType="solid">
        <fgColor rgb="FFD0CECE"/>
        <bgColor rgb="FFD0CECE"/>
      </patternFill>
    </fill>
    <fill>
      <patternFill patternType="solid">
        <fgColor rgb="FFC6EFCE"/>
        <bgColor rgb="FFC6EFCE"/>
      </patternFill>
    </fill>
    <fill>
      <patternFill patternType="solid">
        <fgColor rgb="FFCC9900"/>
        <bgColor rgb="FFCC9900"/>
      </patternFill>
    </fill>
    <fill>
      <patternFill patternType="solid">
        <fgColor rgb="FF000000"/>
        <bgColor rgb="FF000000"/>
      </patternFill>
    </fill>
    <fill>
      <patternFill patternType="solid">
        <fgColor rgb="FF548135"/>
        <bgColor rgb="FF548135"/>
      </patternFill>
    </fill>
    <fill>
      <patternFill patternType="solid">
        <fgColor rgb="FFFFD965"/>
        <bgColor rgb="FFFFD9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0" borderId="14"/>
    <xf numFmtId="0" fontId="20" fillId="21" borderId="0" applyNumberFormat="0" applyBorder="0" applyAlignment="0" applyProtection="0"/>
    <xf numFmtId="0" fontId="24" fillId="0" borderId="14"/>
    <xf numFmtId="0" fontId="23" fillId="0" borderId="14"/>
    <xf numFmtId="0" fontId="9" fillId="10" borderId="14" applyNumberFormat="0" applyBorder="0" applyAlignment="0" applyProtection="0"/>
    <xf numFmtId="0" fontId="10" fillId="11" borderId="14" applyNumberFormat="0" applyBorder="0" applyAlignment="0" applyProtection="0"/>
    <xf numFmtId="0" fontId="20" fillId="21" borderId="14" applyNumberFormat="0" applyBorder="0" applyAlignment="0" applyProtection="0"/>
  </cellStyleXfs>
  <cellXfs count="179">
    <xf numFmtId="0" fontId="0" fillId="0" borderId="0" xfId="0" applyFont="1" applyAlignment="1"/>
    <xf numFmtId="0" fontId="1" fillId="0" borderId="0" xfId="0" applyFont="1" applyAlignment="1"/>
    <xf numFmtId="164" fontId="1" fillId="0" borderId="1" xfId="0" applyNumberFormat="1" applyFont="1" applyBorder="1" applyAlignment="1">
      <alignment horizontal="right"/>
    </xf>
    <xf numFmtId="0" fontId="1" fillId="0" borderId="2" xfId="0" applyFont="1" applyBorder="1" applyAlignment="1"/>
    <xf numFmtId="0" fontId="2" fillId="0" borderId="2" xfId="0" applyFont="1" applyBorder="1" applyAlignment="1">
      <alignment horizontal="right"/>
    </xf>
    <xf numFmtId="0" fontId="3" fillId="0" borderId="2" xfId="0" applyFont="1" applyBorder="1" applyAlignment="1"/>
    <xf numFmtId="0" fontId="1" fillId="0" borderId="3" xfId="0" applyFont="1" applyBorder="1" applyAlignment="1"/>
    <xf numFmtId="0" fontId="1" fillId="0" borderId="3" xfId="0" applyFont="1" applyBorder="1" applyAlignment="1"/>
    <xf numFmtId="0" fontId="4" fillId="2" borderId="4" xfId="0" applyFont="1" applyFill="1" applyBorder="1" applyAlignment="1"/>
    <xf numFmtId="0" fontId="1" fillId="0" borderId="4" xfId="0" applyFont="1" applyBorder="1" applyAlignment="1"/>
    <xf numFmtId="0" fontId="5" fillId="3" borderId="4" xfId="0" applyFont="1" applyFill="1" applyBorder="1" applyAlignment="1"/>
    <xf numFmtId="0" fontId="6" fillId="0" borderId="5" xfId="0" applyFont="1" applyBorder="1"/>
    <xf numFmtId="164" fontId="1" fillId="0" borderId="6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/>
    <xf numFmtId="0" fontId="1" fillId="4" borderId="8" xfId="0" applyFont="1" applyFill="1" applyBorder="1" applyAlignment="1"/>
    <xf numFmtId="0" fontId="7" fillId="5" borderId="8" xfId="0" applyFont="1" applyFill="1" applyBorder="1" applyAlignment="1"/>
    <xf numFmtId="0" fontId="4" fillId="6" borderId="8" xfId="0" applyFont="1" applyFill="1" applyBorder="1" applyAlignment="1"/>
    <xf numFmtId="0" fontId="5" fillId="3" borderId="8" xfId="0" applyFont="1" applyFill="1" applyBorder="1" applyAlignment="1"/>
    <xf numFmtId="0" fontId="6" fillId="0" borderId="9" xfId="0" applyFont="1" applyBorder="1"/>
    <xf numFmtId="0" fontId="4" fillId="7" borderId="8" xfId="0" applyFont="1" applyFill="1" applyBorder="1" applyAlignment="1"/>
    <xf numFmtId="0" fontId="3" fillId="0" borderId="7" xfId="0" applyFont="1" applyBorder="1" applyAlignment="1"/>
    <xf numFmtId="164" fontId="1" fillId="0" borderId="10" xfId="0" applyNumberFormat="1" applyFont="1" applyBorder="1" applyAlignment="1">
      <alignment horizontal="right"/>
    </xf>
    <xf numFmtId="0" fontId="1" fillId="0" borderId="11" xfId="0" applyFont="1" applyBorder="1" applyAlignment="1"/>
    <xf numFmtId="0" fontId="2" fillId="0" borderId="11" xfId="0" applyFont="1" applyBorder="1" applyAlignment="1">
      <alignment horizontal="right"/>
    </xf>
    <xf numFmtId="0" fontId="3" fillId="0" borderId="11" xfId="0" applyFont="1" applyBorder="1" applyAlignment="1"/>
    <xf numFmtId="0" fontId="1" fillId="0" borderId="12" xfId="0" applyFont="1" applyBorder="1" applyAlignment="1"/>
    <xf numFmtId="0" fontId="1" fillId="0" borderId="12" xfId="0" applyFont="1" applyBorder="1" applyAlignment="1"/>
    <xf numFmtId="0" fontId="4" fillId="8" borderId="12" xfId="0" applyFont="1" applyFill="1" applyBorder="1" applyAlignment="1"/>
    <xf numFmtId="0" fontId="3" fillId="0" borderId="12" xfId="0" applyFont="1" applyBorder="1" applyAlignment="1"/>
    <xf numFmtId="0" fontId="5" fillId="3" borderId="12" xfId="0" applyFont="1" applyFill="1" applyBorder="1" applyAlignment="1"/>
    <xf numFmtId="0" fontId="6" fillId="0" borderId="13" xfId="0" applyFont="1" applyBorder="1"/>
    <xf numFmtId="164" fontId="1" fillId="0" borderId="0" xfId="0" applyNumberFormat="1" applyFont="1" applyAlignment="1">
      <alignment horizontal="right"/>
    </xf>
    <xf numFmtId="0" fontId="4" fillId="2" borderId="8" xfId="0" applyFont="1" applyFill="1" applyBorder="1" applyAlignment="1"/>
    <xf numFmtId="0" fontId="1" fillId="0" borderId="14" xfId="0" applyFont="1" applyBorder="1" applyAlignment="1"/>
    <xf numFmtId="0" fontId="1" fillId="9" borderId="7" xfId="0" applyFont="1" applyFill="1" applyBorder="1" applyAlignment="1"/>
    <xf numFmtId="0" fontId="5" fillId="3" borderId="7" xfId="0" applyFont="1" applyFill="1" applyBorder="1" applyAlignment="1"/>
    <xf numFmtId="0" fontId="7" fillId="5" borderId="12" xfId="0" applyFont="1" applyFill="1" applyBorder="1" applyAlignment="1"/>
    <xf numFmtId="0" fontId="1" fillId="0" borderId="8" xfId="0" applyFont="1" applyBorder="1" applyAlignment="1"/>
    <xf numFmtId="0" fontId="1" fillId="9" borderId="8" xfId="0" applyFont="1" applyFill="1" applyBorder="1" applyAlignment="1"/>
    <xf numFmtId="0" fontId="4" fillId="7" borderId="7" xfId="0" applyFont="1" applyFill="1" applyBorder="1" applyAlignment="1"/>
    <xf numFmtId="0" fontId="7" fillId="5" borderId="7" xfId="0" applyFont="1" applyFill="1" applyBorder="1" applyAlignment="1"/>
    <xf numFmtId="0" fontId="4" fillId="2" borderId="2" xfId="0" applyFont="1" applyFill="1" applyBorder="1" applyAlignment="1"/>
    <xf numFmtId="0" fontId="5" fillId="3" borderId="2" xfId="0" applyFont="1" applyFill="1" applyBorder="1" applyAlignment="1"/>
    <xf numFmtId="0" fontId="1" fillId="0" borderId="11" xfId="0" applyFont="1" applyBorder="1" applyAlignment="1"/>
    <xf numFmtId="0" fontId="1" fillId="4" borderId="11" xfId="0" applyFont="1" applyFill="1" applyBorder="1" applyAlignment="1"/>
    <xf numFmtId="0" fontId="7" fillId="5" borderId="11" xfId="0" applyFont="1" applyFill="1" applyBorder="1" applyAlignment="1"/>
    <xf numFmtId="0" fontId="5" fillId="3" borderId="11" xfId="0" applyFont="1" applyFill="1" applyBorder="1" applyAlignment="1"/>
    <xf numFmtId="0" fontId="1" fillId="4" borderId="7" xfId="0" applyFont="1" applyFill="1" applyBorder="1" applyAlignment="1"/>
    <xf numFmtId="0" fontId="1" fillId="4" borderId="12" xfId="0" applyFont="1" applyFill="1" applyBorder="1" applyAlignment="1"/>
    <xf numFmtId="0" fontId="4" fillId="7" borderId="12" xfId="0" applyFont="1" applyFill="1" applyBorder="1" applyAlignment="1"/>
    <xf numFmtId="0" fontId="11" fillId="0" borderId="14" xfId="3"/>
    <xf numFmtId="0" fontId="11" fillId="0" borderId="14" xfId="3" applyAlignment="1">
      <alignment horizontal="right"/>
    </xf>
    <xf numFmtId="0" fontId="11" fillId="0" borderId="14" xfId="3" applyAlignment="1">
      <alignment horizontal="left"/>
    </xf>
    <xf numFmtId="0" fontId="12" fillId="0" borderId="14" xfId="3" applyFont="1" applyAlignment="1">
      <alignment horizontal="right"/>
    </xf>
    <xf numFmtId="0" fontId="12" fillId="0" borderId="14" xfId="3" applyFont="1" applyAlignment="1">
      <alignment horizontal="left"/>
    </xf>
    <xf numFmtId="0" fontId="12" fillId="0" borderId="15" xfId="3" applyFont="1" applyBorder="1" applyAlignment="1">
      <alignment horizontal="right"/>
    </xf>
    <xf numFmtId="0" fontId="12" fillId="0" borderId="15" xfId="3" applyFont="1" applyBorder="1" applyAlignment="1">
      <alignment horizontal="left"/>
    </xf>
    <xf numFmtId="0" fontId="3" fillId="0" borderId="4" xfId="0" applyFont="1" applyBorder="1" applyAlignment="1"/>
    <xf numFmtId="164" fontId="1" fillId="0" borderId="16" xfId="0" applyNumberFormat="1" applyFont="1" applyBorder="1" applyAlignment="1">
      <alignment horizontal="right"/>
    </xf>
    <xf numFmtId="0" fontId="1" fillId="0" borderId="16" xfId="0" applyFont="1" applyBorder="1" applyAlignment="1"/>
    <xf numFmtId="0" fontId="2" fillId="0" borderId="16" xfId="0" applyFont="1" applyBorder="1" applyAlignment="1">
      <alignment horizontal="right"/>
    </xf>
    <xf numFmtId="0" fontId="3" fillId="0" borderId="16" xfId="0" applyFont="1" applyBorder="1" applyAlignment="1"/>
    <xf numFmtId="0" fontId="12" fillId="0" borderId="16" xfId="3" applyFont="1" applyBorder="1" applyAlignment="1">
      <alignment horizontal="left"/>
    </xf>
    <xf numFmtId="0" fontId="12" fillId="0" borderId="16" xfId="3" applyFont="1" applyBorder="1" applyAlignment="1">
      <alignment horizontal="right"/>
    </xf>
    <xf numFmtId="0" fontId="11" fillId="0" borderId="16" xfId="3" applyBorder="1"/>
    <xf numFmtId="0" fontId="9" fillId="10" borderId="14" xfId="1" applyBorder="1" applyAlignment="1">
      <alignment horizontal="right"/>
    </xf>
    <xf numFmtId="0" fontId="10" fillId="11" borderId="14" xfId="2" applyBorder="1" applyAlignment="1">
      <alignment horizontal="right"/>
    </xf>
    <xf numFmtId="0" fontId="0" fillId="0" borderId="14" xfId="0" applyBorder="1"/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2" fillId="0" borderId="14" xfId="3" applyFont="1" applyFill="1" applyAlignment="1">
      <alignment horizontal="left"/>
    </xf>
    <xf numFmtId="0" fontId="11" fillId="0" borderId="16" xfId="3" applyBorder="1" applyAlignment="1">
      <alignment horizontal="left"/>
    </xf>
    <xf numFmtId="0" fontId="13" fillId="0" borderId="14" xfId="3" applyFont="1" applyFill="1" applyBorder="1" applyAlignment="1">
      <alignment horizontal="left"/>
    </xf>
    <xf numFmtId="0" fontId="11" fillId="0" borderId="14" xfId="3" applyAlignment="1">
      <alignment wrapText="1"/>
    </xf>
    <xf numFmtId="0" fontId="11" fillId="0" borderId="14" xfId="3" applyAlignment="1">
      <alignment horizontal="right" wrapText="1"/>
    </xf>
    <xf numFmtId="0" fontId="0" fillId="0" borderId="14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0" fillId="0" borderId="17" xfId="0" applyFont="1" applyBorder="1" applyAlignment="1">
      <alignment horizontal="left" wrapText="1"/>
    </xf>
    <xf numFmtId="0" fontId="0" fillId="0" borderId="18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3" fillId="0" borderId="19" xfId="3" applyFont="1" applyFill="1" applyBorder="1" applyAlignment="1">
      <alignment horizontal="left" wrapText="1"/>
    </xf>
    <xf numFmtId="0" fontId="12" fillId="0" borderId="19" xfId="3" applyFont="1" applyFill="1" applyBorder="1" applyAlignment="1">
      <alignment horizontal="left" wrapText="1"/>
    </xf>
    <xf numFmtId="0" fontId="14" fillId="0" borderId="19" xfId="0" applyFont="1" applyBorder="1" applyAlignment="1">
      <alignment wrapText="1"/>
    </xf>
    <xf numFmtId="0" fontId="14" fillId="0" borderId="19" xfId="0" applyFont="1" applyBorder="1" applyAlignment="1"/>
    <xf numFmtId="0" fontId="14" fillId="0" borderId="19" xfId="3" applyFont="1" applyBorder="1" applyAlignment="1">
      <alignment wrapText="1"/>
    </xf>
    <xf numFmtId="0" fontId="15" fillId="2" borderId="19" xfId="0" applyFont="1" applyFill="1" applyBorder="1" applyAlignment="1">
      <alignment wrapText="1"/>
    </xf>
    <xf numFmtId="0" fontId="16" fillId="3" borderId="19" xfId="0" applyFont="1" applyFill="1" applyBorder="1" applyAlignment="1"/>
    <xf numFmtId="0" fontId="16" fillId="3" borderId="19" xfId="0" applyFont="1" applyFill="1" applyBorder="1" applyAlignment="1">
      <alignment wrapText="1"/>
    </xf>
    <xf numFmtId="0" fontId="12" fillId="0" borderId="19" xfId="0" applyFont="1" applyBorder="1" applyAlignment="1">
      <alignment horizontal="left" wrapText="1"/>
    </xf>
    <xf numFmtId="0" fontId="14" fillId="4" borderId="19" xfId="0" applyFont="1" applyFill="1" applyBorder="1" applyAlignment="1">
      <alignment wrapText="1"/>
    </xf>
    <xf numFmtId="0" fontId="14" fillId="4" borderId="19" xfId="0" applyFont="1" applyFill="1" applyBorder="1" applyAlignment="1"/>
    <xf numFmtId="0" fontId="14" fillId="9" borderId="19" xfId="0" applyFont="1" applyFill="1" applyBorder="1" applyAlignment="1">
      <alignment wrapText="1"/>
    </xf>
    <xf numFmtId="0" fontId="18" fillId="5" borderId="19" xfId="0" applyFont="1" applyFill="1" applyBorder="1" applyAlignment="1"/>
    <xf numFmtId="0" fontId="15" fillId="6" borderId="19" xfId="0" applyFont="1" applyFill="1" applyBorder="1" applyAlignment="1"/>
    <xf numFmtId="0" fontId="15" fillId="7" borderId="19" xfId="0" applyFont="1" applyFill="1" applyBorder="1" applyAlignment="1"/>
    <xf numFmtId="0" fontId="19" fillId="0" borderId="19" xfId="0" applyFont="1" applyBorder="1" applyAlignment="1"/>
    <xf numFmtId="0" fontId="15" fillId="8" borderId="19" xfId="0" applyFont="1" applyFill="1" applyBorder="1" applyAlignment="1">
      <alignment wrapText="1"/>
    </xf>
    <xf numFmtId="0" fontId="18" fillId="5" borderId="19" xfId="0" applyFont="1" applyFill="1" applyBorder="1" applyAlignment="1">
      <alignment wrapText="1"/>
    </xf>
    <xf numFmtId="0" fontId="14" fillId="0" borderId="19" xfId="3" applyFont="1" applyBorder="1" applyAlignment="1">
      <alignment horizontal="left" wrapText="1"/>
    </xf>
    <xf numFmtId="0" fontId="12" fillId="12" borderId="19" xfId="0" applyFont="1" applyFill="1" applyBorder="1" applyAlignment="1">
      <alignment horizontal="left" wrapText="1"/>
    </xf>
    <xf numFmtId="0" fontId="12" fillId="12" borderId="19" xfId="0" applyFont="1" applyFill="1" applyBorder="1" applyAlignment="1">
      <alignment horizontal="left"/>
    </xf>
    <xf numFmtId="0" fontId="12" fillId="15" borderId="19" xfId="3" applyFont="1" applyFill="1" applyBorder="1" applyAlignment="1">
      <alignment horizontal="left" wrapText="1"/>
    </xf>
    <xf numFmtId="0" fontId="12" fillId="15" borderId="19" xfId="3" applyFont="1" applyFill="1" applyBorder="1" applyAlignment="1">
      <alignment horizontal="left"/>
    </xf>
    <xf numFmtId="0" fontId="12" fillId="18" borderId="19" xfId="0" applyFont="1" applyFill="1" applyBorder="1" applyAlignment="1">
      <alignment horizontal="left" wrapText="1"/>
    </xf>
    <xf numFmtId="0" fontId="12" fillId="18" borderId="19" xfId="0" applyFont="1" applyFill="1" applyBorder="1" applyAlignment="1">
      <alignment horizontal="left"/>
    </xf>
    <xf numFmtId="0" fontId="12" fillId="14" borderId="19" xfId="0" applyFont="1" applyFill="1" applyBorder="1" applyAlignment="1">
      <alignment horizontal="left" wrapText="1"/>
    </xf>
    <xf numFmtId="0" fontId="12" fillId="14" borderId="19" xfId="0" applyFont="1" applyFill="1" applyBorder="1" applyAlignment="1">
      <alignment horizontal="left"/>
    </xf>
    <xf numFmtId="0" fontId="12" fillId="17" borderId="19" xfId="0" applyFont="1" applyFill="1" applyBorder="1" applyAlignment="1">
      <alignment horizontal="left" wrapText="1"/>
    </xf>
    <xf numFmtId="0" fontId="12" fillId="17" borderId="19" xfId="0" applyFont="1" applyFill="1" applyBorder="1" applyAlignment="1">
      <alignment horizontal="left"/>
    </xf>
    <xf numFmtId="0" fontId="12" fillId="19" borderId="19" xfId="0" applyFont="1" applyFill="1" applyBorder="1" applyAlignment="1">
      <alignment horizontal="left" wrapText="1"/>
    </xf>
    <xf numFmtId="0" fontId="12" fillId="19" borderId="19" xfId="0" applyFont="1" applyFill="1" applyBorder="1" applyAlignment="1">
      <alignment horizontal="left"/>
    </xf>
    <xf numFmtId="0" fontId="12" fillId="20" borderId="19" xfId="0" applyFont="1" applyFill="1" applyBorder="1" applyAlignment="1">
      <alignment horizontal="left" wrapText="1"/>
    </xf>
    <xf numFmtId="0" fontId="12" fillId="20" borderId="19" xfId="0" applyFont="1" applyFill="1" applyBorder="1" applyAlignment="1">
      <alignment horizontal="left"/>
    </xf>
    <xf numFmtId="0" fontId="0" fillId="19" borderId="14" xfId="0" applyFill="1" applyBorder="1"/>
    <xf numFmtId="0" fontId="12" fillId="16" borderId="19" xfId="0" applyFont="1" applyFill="1" applyBorder="1" applyAlignment="1">
      <alignment horizontal="left" wrapText="1"/>
    </xf>
    <xf numFmtId="0" fontId="12" fillId="16" borderId="19" xfId="0" applyFont="1" applyFill="1" applyBorder="1" applyAlignment="1">
      <alignment horizontal="left"/>
    </xf>
    <xf numFmtId="0" fontId="12" fillId="13" borderId="19" xfId="0" applyFont="1" applyFill="1" applyBorder="1" applyAlignment="1">
      <alignment wrapText="1"/>
    </xf>
    <xf numFmtId="0" fontId="17" fillId="13" borderId="19" xfId="2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12" borderId="0" xfId="0" applyFill="1" applyAlignment="1">
      <alignment wrapText="1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6" fillId="13" borderId="0" xfId="0" applyFont="1" applyFill="1" applyAlignment="1">
      <alignment wrapText="1"/>
    </xf>
    <xf numFmtId="0" fontId="14" fillId="14" borderId="19" xfId="3" applyFont="1" applyFill="1" applyBorder="1" applyAlignment="1">
      <alignment horizontal="left" wrapText="1"/>
    </xf>
    <xf numFmtId="0" fontId="14" fillId="14" borderId="19" xfId="3" applyFont="1" applyFill="1" applyBorder="1" applyAlignment="1">
      <alignment horizontal="left"/>
    </xf>
    <xf numFmtId="0" fontId="0" fillId="14" borderId="0" xfId="0" applyFont="1" applyFill="1" applyAlignment="1">
      <alignment wrapText="1"/>
    </xf>
    <xf numFmtId="0" fontId="10" fillId="11" borderId="0" xfId="2" applyAlignment="1"/>
    <xf numFmtId="0" fontId="20" fillId="21" borderId="0" xfId="4" applyAlignment="1"/>
    <xf numFmtId="0" fontId="9" fillId="10" borderId="0" xfId="1" applyAlignment="1"/>
    <xf numFmtId="0" fontId="0" fillId="0" borderId="14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20" fillId="21" borderId="23" xfId="4" applyBorder="1" applyAlignment="1"/>
    <xf numFmtId="0" fontId="20" fillId="21" borderId="21" xfId="4" applyBorder="1" applyAlignment="1"/>
    <xf numFmtId="0" fontId="0" fillId="0" borderId="24" xfId="0" applyFont="1" applyBorder="1" applyAlignment="1"/>
    <xf numFmtId="0" fontId="20" fillId="21" borderId="14" xfId="4" applyBorder="1" applyAlignment="1"/>
    <xf numFmtId="0" fontId="10" fillId="11" borderId="14" xfId="2" applyBorder="1" applyAlignment="1"/>
    <xf numFmtId="0" fontId="0" fillId="0" borderId="14" xfId="0" applyFont="1" applyFill="1" applyBorder="1" applyAlignment="1"/>
    <xf numFmtId="0" fontId="10" fillId="11" borderId="21" xfId="2" applyBorder="1" applyAlignment="1"/>
    <xf numFmtId="0" fontId="10" fillId="11" borderId="23" xfId="2" applyBorder="1" applyAlignment="1"/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22" borderId="26" xfId="0" applyFont="1" applyFill="1" applyBorder="1" applyAlignment="1">
      <alignment wrapText="1"/>
    </xf>
    <xf numFmtId="0" fontId="0" fillId="12" borderId="26" xfId="0" applyFont="1" applyFill="1" applyBorder="1" applyAlignment="1">
      <alignment wrapText="1"/>
    </xf>
    <xf numFmtId="0" fontId="0" fillId="23" borderId="26" xfId="0" applyFont="1" applyFill="1" applyBorder="1" applyAlignment="1">
      <alignment wrapText="1"/>
    </xf>
    <xf numFmtId="0" fontId="0" fillId="24" borderId="26" xfId="0" applyFont="1" applyFill="1" applyBorder="1" applyAlignment="1">
      <alignment wrapText="1"/>
    </xf>
    <xf numFmtId="0" fontId="10" fillId="25" borderId="26" xfId="2" applyFill="1" applyBorder="1" applyAlignment="1">
      <alignment wrapText="1"/>
    </xf>
    <xf numFmtId="0" fontId="11" fillId="0" borderId="16" xfId="3" applyBorder="1" applyAlignment="1">
      <alignment horizontal="right"/>
    </xf>
    <xf numFmtId="0" fontId="0" fillId="0" borderId="16" xfId="0" applyFont="1" applyBorder="1" applyAlignment="1"/>
    <xf numFmtId="0" fontId="11" fillId="0" borderId="16" xfId="3" applyBorder="1" applyAlignment="1">
      <alignment horizontal="right" wrapText="1"/>
    </xf>
    <xf numFmtId="0" fontId="0" fillId="0" borderId="27" xfId="0" applyFont="1" applyBorder="1" applyAlignment="1">
      <alignment horizontal="left" wrapText="1"/>
    </xf>
    <xf numFmtId="0" fontId="0" fillId="0" borderId="16" xfId="0" applyFont="1" applyBorder="1" applyAlignment="1">
      <alignment wrapText="1"/>
    </xf>
    <xf numFmtId="0" fontId="0" fillId="0" borderId="16" xfId="0" applyFont="1" applyBorder="1" applyAlignment="1">
      <alignment horizontal="left"/>
    </xf>
    <xf numFmtId="0" fontId="0" fillId="0" borderId="24" xfId="0" applyFont="1" applyFill="1" applyBorder="1" applyAlignment="1"/>
    <xf numFmtId="0" fontId="0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10" fillId="11" borderId="21" xfId="2" applyBorder="1" applyAlignment="1">
      <alignment wrapText="1"/>
    </xf>
    <xf numFmtId="0" fontId="0" fillId="0" borderId="28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30" xfId="0" applyFont="1" applyBorder="1" applyAlignment="1">
      <alignment wrapText="1"/>
    </xf>
    <xf numFmtId="0" fontId="0" fillId="0" borderId="24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10" fillId="11" borderId="14" xfId="2" applyBorder="1" applyAlignment="1">
      <alignment wrapText="1"/>
    </xf>
    <xf numFmtId="0" fontId="0" fillId="0" borderId="29" xfId="0" applyFont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8" fillId="26" borderId="22" xfId="0" applyFont="1" applyFill="1" applyBorder="1" applyAlignment="1"/>
    <xf numFmtId="0" fontId="0" fillId="26" borderId="24" xfId="0" applyFont="1" applyFill="1" applyBorder="1" applyAlignment="1"/>
    <xf numFmtId="0" fontId="0" fillId="0" borderId="0" xfId="0" applyFont="1" applyBorder="1" applyAlignment="1"/>
    <xf numFmtId="0" fontId="25" fillId="0" borderId="14" xfId="5" applyFont="1" applyAlignment="1">
      <alignment horizontal="right"/>
    </xf>
    <xf numFmtId="0" fontId="25" fillId="0" borderId="14" xfId="5" applyFont="1" applyAlignment="1">
      <alignment horizontal="right"/>
    </xf>
  </cellXfs>
  <cellStyles count="10">
    <cellStyle name="Bad" xfId="2" builtinId="27"/>
    <cellStyle name="Bad 2" xfId="8" xr:uid="{932D5626-A7B2-4F89-A3C9-8EB768B93E6D}"/>
    <cellStyle name="Good" xfId="1" builtinId="26"/>
    <cellStyle name="Good 2" xfId="7" xr:uid="{A727DEAD-3D49-479E-B949-BA43FF854673}"/>
    <cellStyle name="Neutral" xfId="4" builtinId="28"/>
    <cellStyle name="Neutral 2" xfId="9" xr:uid="{84314A35-F01D-4651-B76B-C68F6760E578}"/>
    <cellStyle name="Normal" xfId="0" builtinId="0"/>
    <cellStyle name="Normal 2" xfId="3" xr:uid="{00000000-0005-0000-0000-000003000000}"/>
    <cellStyle name="Normal 3" xfId="5" xr:uid="{1EF13420-3337-4AF7-BE4D-6FCD30DA9CED}"/>
    <cellStyle name="Normal 4" xfId="6" xr:uid="{F1636E6E-A2AE-40CE-B888-931C00731762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vs</a:t>
            </a:r>
            <a:r>
              <a:rPr lang="en-US" baseline="0"/>
              <a:t> Cl - there may be excess Cl </a:t>
            </a:r>
            <a:endParaRPr lang="en-US"/>
          </a:p>
        </c:rich>
      </c:tx>
      <c:layout>
        <c:manualLayout>
          <c:xMode val="edge"/>
          <c:yMode val="edge"/>
          <c:x val="0.31310086239220097"/>
          <c:y val="2.6321195790577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34575697722824E-2"/>
                  <c:y val="7.5377324445266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MineralAnalysis!$AN$7:$AN$30</c:f>
              <c:numCache>
                <c:formatCode>General</c:formatCode>
                <c:ptCount val="24"/>
                <c:pt idx="8">
                  <c:v>0.13223140495867769</c:v>
                </c:pt>
                <c:pt idx="9">
                  <c:v>0.13875598086124402</c:v>
                </c:pt>
                <c:pt idx="10">
                  <c:v>0.20748151370160939</c:v>
                </c:pt>
                <c:pt idx="12">
                  <c:v>0.31143975641583299</c:v>
                </c:pt>
                <c:pt idx="13">
                  <c:v>9.960852544584603E-2</c:v>
                </c:pt>
                <c:pt idx="14">
                  <c:v>9.6128751631143983E-2</c:v>
                </c:pt>
                <c:pt idx="19">
                  <c:v>9.5693779904306234E-2</c:v>
                </c:pt>
              </c:numCache>
            </c:numRef>
          </c:xVal>
          <c:yVal>
            <c:numRef>
              <c:f>MineralAnalysis!$AR$7:$AR$30</c:f>
              <c:numCache>
                <c:formatCode>General</c:formatCode>
                <c:ptCount val="24"/>
                <c:pt idx="0">
                  <c:v>1.5231433165035397</c:v>
                </c:pt>
                <c:pt idx="1">
                  <c:v>1.1733844808619862</c:v>
                </c:pt>
                <c:pt idx="2">
                  <c:v>1.7290497278086481</c:v>
                </c:pt>
                <c:pt idx="3">
                  <c:v>1.6867401912391053</c:v>
                </c:pt>
                <c:pt idx="4">
                  <c:v>1.6218655684991397</c:v>
                </c:pt>
                <c:pt idx="5">
                  <c:v>1.2269765605167404</c:v>
                </c:pt>
                <c:pt idx="6">
                  <c:v>1.6528925619834709</c:v>
                </c:pt>
                <c:pt idx="7">
                  <c:v>1.5964798465574139</c:v>
                </c:pt>
                <c:pt idx="8">
                  <c:v>0.16134036611852312</c:v>
                </c:pt>
                <c:pt idx="9">
                  <c:v>0.18531577017459736</c:v>
                </c:pt>
                <c:pt idx="10">
                  <c:v>0.26965277973655261</c:v>
                </c:pt>
                <c:pt idx="11">
                  <c:v>1.4892956872479057</c:v>
                </c:pt>
                <c:pt idx="12">
                  <c:v>0.40899218683891347</c:v>
                </c:pt>
                <c:pt idx="13">
                  <c:v>0.11282543085211405</c:v>
                </c:pt>
                <c:pt idx="14">
                  <c:v>0.13087749978845231</c:v>
                </c:pt>
                <c:pt idx="15">
                  <c:v>1.4949369587905112</c:v>
                </c:pt>
                <c:pt idx="16">
                  <c:v>1.5654528530730825</c:v>
                </c:pt>
                <c:pt idx="17">
                  <c:v>1.480833779933997</c:v>
                </c:pt>
                <c:pt idx="18">
                  <c:v>1.6698163766112881</c:v>
                </c:pt>
                <c:pt idx="19">
                  <c:v>0.11987702028037119</c:v>
                </c:pt>
                <c:pt idx="20">
                  <c:v>1.0182495134403293</c:v>
                </c:pt>
                <c:pt idx="21">
                  <c:v>1.159281302005472</c:v>
                </c:pt>
                <c:pt idx="22">
                  <c:v>1.0097876061264208</c:v>
                </c:pt>
                <c:pt idx="23">
                  <c:v>1.1338955800637462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6-4847-B683-059E8914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790816"/>
        <c:axId val="1355789176"/>
      </c:scatterChart>
      <c:valAx>
        <c:axId val="13557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89176"/>
        <c:crosses val="autoZero"/>
        <c:crossBetween val="midCat"/>
      </c:valAx>
      <c:valAx>
        <c:axId val="13557891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(mol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Quantitative</a:t>
            </a:r>
            <a:r>
              <a:rPr lang="en-US" baseline="0"/>
              <a:t> Mineralogical Extrapolation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MineralAnalysis!$CC$6</c:f>
              <c:strCache>
                <c:ptCount val="1"/>
                <c:pt idx="0">
                  <c:v>gypsum (mol % Ca + S, and extrap O)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MineralAnalysis!$CC$7:$CC$30</c:f>
              <c:numCache>
                <c:formatCode>General</c:formatCode>
                <c:ptCount val="24"/>
                <c:pt idx="0">
                  <c:v>0.10422839561900013</c:v>
                </c:pt>
                <c:pt idx="1">
                  <c:v>0.31137513620410506</c:v>
                </c:pt>
                <c:pt idx="2">
                  <c:v>2.1581722788320525E-2</c:v>
                </c:pt>
                <c:pt idx="3">
                  <c:v>2.3203490174139217E-2</c:v>
                </c:pt>
                <c:pt idx="4">
                  <c:v>2.8442992473539565E-2</c:v>
                </c:pt>
                <c:pt idx="5">
                  <c:v>0.17533580677163096</c:v>
                </c:pt>
                <c:pt idx="6">
                  <c:v>5.7634805418276119E-2</c:v>
                </c:pt>
                <c:pt idx="7">
                  <c:v>5.9505946190433548E-2</c:v>
                </c:pt>
                <c:pt idx="8">
                  <c:v>0.4231507183831919</c:v>
                </c:pt>
                <c:pt idx="9">
                  <c:v>0.45053275346530264</c:v>
                </c:pt>
                <c:pt idx="10">
                  <c:v>0.31437900970731381</c:v>
                </c:pt>
                <c:pt idx="11">
                  <c:v>0.11477002368925782</c:v>
                </c:pt>
                <c:pt idx="12">
                  <c:v>0.45358855788500513</c:v>
                </c:pt>
                <c:pt idx="13">
                  <c:v>0.26180429487350831</c:v>
                </c:pt>
                <c:pt idx="14">
                  <c:v>0.39395918556332771</c:v>
                </c:pt>
                <c:pt idx="15">
                  <c:v>0.16286069458263117</c:v>
                </c:pt>
                <c:pt idx="16">
                  <c:v>9.6993205916709152E-2</c:v>
                </c:pt>
                <c:pt idx="17">
                  <c:v>0.15918075638490098</c:v>
                </c:pt>
                <c:pt idx="18">
                  <c:v>4.7030693938997579E-2</c:v>
                </c:pt>
                <c:pt idx="19">
                  <c:v>0.43899391197456228</c:v>
                </c:pt>
                <c:pt idx="20">
                  <c:v>0.37668069437614798</c:v>
                </c:pt>
                <c:pt idx="21">
                  <c:v>0.32409948171700742</c:v>
                </c:pt>
                <c:pt idx="22">
                  <c:v>0.3872223224464057</c:v>
                </c:pt>
                <c:pt idx="23">
                  <c:v>0.33682340704260133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A-4AD2-A5D7-03EE86A939CB}"/>
            </c:ext>
          </c:extLst>
        </c:ser>
        <c:ser>
          <c:idx val="1"/>
          <c:order val="1"/>
          <c:tx>
            <c:strRef>
              <c:f>MineralAnalysis!$CD$6</c:f>
              <c:strCache>
                <c:ptCount val="1"/>
                <c:pt idx="0">
                  <c:v>halite (mol % Na + Cl)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MineralAnalysis!$CD$7:$CD$30</c:f>
              <c:numCache>
                <c:formatCode>General</c:formatCode>
                <c:ptCount val="24"/>
                <c:pt idx="0">
                  <c:v>2.6586832567060616</c:v>
                </c:pt>
                <c:pt idx="1">
                  <c:v>2.0498930273883733</c:v>
                </c:pt>
                <c:pt idx="2">
                  <c:v>3.017083956223733</c:v>
                </c:pt>
                <c:pt idx="3">
                  <c:v>2.9434399768707866</c:v>
                </c:pt>
                <c:pt idx="4">
                  <c:v>2.8305192085296027</c:v>
                </c:pt>
                <c:pt idx="5">
                  <c:v>2.1431754012354385</c:v>
                </c:pt>
                <c:pt idx="6">
                  <c:v>2.8845247933884295</c:v>
                </c:pt>
                <c:pt idx="7">
                  <c:v>2.7863328209178349</c:v>
                </c:pt>
                <c:pt idx="8">
                  <c:v>0.29357177107720078</c:v>
                </c:pt>
                <c:pt idx="9">
                  <c:v>0.3240717510358414</c:v>
                </c:pt>
                <c:pt idx="10">
                  <c:v>0.47713429343816199</c:v>
                </c:pt>
                <c:pt idx="11">
                  <c:v>2.5997680732237045</c:v>
                </c:pt>
                <c:pt idx="12">
                  <c:v>0.72043194325474647</c:v>
                </c:pt>
                <c:pt idx="13">
                  <c:v>0.21243395629796008</c:v>
                </c:pt>
                <c:pt idx="14">
                  <c:v>0.22700625141959629</c:v>
                </c:pt>
                <c:pt idx="15">
                  <c:v>2.6095872704707639</c:v>
                </c:pt>
                <c:pt idx="16">
                  <c:v>2.7323272360590076</c:v>
                </c:pt>
                <c:pt idx="17">
                  <c:v>2.5850392773531152</c:v>
                </c:pt>
                <c:pt idx="18">
                  <c:v>2.9139823851296081</c:v>
                </c:pt>
                <c:pt idx="19">
                  <c:v>0.21557080018467742</c:v>
                </c:pt>
                <c:pt idx="20">
                  <c:v>1.7798651030942372</c:v>
                </c:pt>
                <c:pt idx="21">
                  <c:v>2.0253450342707247</c:v>
                </c:pt>
                <c:pt idx="22">
                  <c:v>1.7651363072236481</c:v>
                </c:pt>
                <c:pt idx="23">
                  <c:v>1.9811586466589568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A-4AD2-A5D7-03EE86A939CB}"/>
            </c:ext>
          </c:extLst>
        </c:ser>
        <c:ser>
          <c:idx val="2"/>
          <c:order val="2"/>
          <c:tx>
            <c:strRef>
              <c:f>MineralAnalysis!$CE$6</c:f>
              <c:strCache>
                <c:ptCount val="1"/>
                <c:pt idx="0">
                  <c:v>clay (Fe, Mg, Al + extrap O) mol5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MineralAnalysis!$CE$7:$CE$30</c:f>
              <c:numCache>
                <c:formatCode>General</c:formatCode>
                <c:ptCount val="24"/>
                <c:pt idx="0">
                  <c:v>6.1873545882688875E-3</c:v>
                </c:pt>
                <c:pt idx="1">
                  <c:v>1.8593633669589656E-2</c:v>
                </c:pt>
                <c:pt idx="2">
                  <c:v>2.6476949149651565E-3</c:v>
                </c:pt>
                <c:pt idx="3">
                  <c:v>5.7601316601522323E-3</c:v>
                </c:pt>
                <c:pt idx="4">
                  <c:v>5.116322769316113E-3</c:v>
                </c:pt>
                <c:pt idx="5">
                  <c:v>9.6737104070758577E-3</c:v>
                </c:pt>
                <c:pt idx="6">
                  <c:v>8.2761143716776758E-3</c:v>
                </c:pt>
                <c:pt idx="7">
                  <c:v>4.4725138784799945E-3</c:v>
                </c:pt>
                <c:pt idx="8">
                  <c:v>3.2102514474646182E-2</c:v>
                </c:pt>
                <c:pt idx="9">
                  <c:v>2.9618101667903733E-2</c:v>
                </c:pt>
                <c:pt idx="10">
                  <c:v>5.6720220624282024E-2</c:v>
                </c:pt>
                <c:pt idx="11">
                  <c:v>1.2817717057045926E-2</c:v>
                </c:pt>
                <c:pt idx="12">
                  <c:v>1.8446136513758447E-2</c:v>
                </c:pt>
                <c:pt idx="13">
                  <c:v>9.9419980169125621E-2</c:v>
                </c:pt>
                <c:pt idx="14">
                  <c:v>2.9850472583014688E-2</c:v>
                </c:pt>
                <c:pt idx="15">
                  <c:v>4.9688256134849049E-3</c:v>
                </c:pt>
                <c:pt idx="16">
                  <c:v>8.0279585041752206E-3</c:v>
                </c:pt>
                <c:pt idx="17">
                  <c:v>8.2761143716776758E-3</c:v>
                </c:pt>
                <c:pt idx="18">
                  <c:v>2.2362569392399972E-3</c:v>
                </c:pt>
                <c:pt idx="19">
                  <c:v>3.6069397076066573E-2</c:v>
                </c:pt>
                <c:pt idx="20">
                  <c:v>1.7375104694805674E-2</c:v>
                </c:pt>
                <c:pt idx="21">
                  <c:v>1.0760527178420128E-2</c:v>
                </c:pt>
                <c:pt idx="22">
                  <c:v>1.7180252681799974E-2</c:v>
                </c:pt>
                <c:pt idx="23">
                  <c:v>7.8646763959525183E-3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2A-4AD2-A5D7-03EE86A939CB}"/>
            </c:ext>
          </c:extLst>
        </c:ser>
        <c:ser>
          <c:idx val="3"/>
          <c:order val="3"/>
          <c:tx>
            <c:strRef>
              <c:f>MineralAnalysis!$CF$6</c:f>
              <c:strCache>
                <c:ptCount val="1"/>
                <c:pt idx="0">
                  <c:v>K (mol%)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MineralAnalysis!$CF$7:$CF$30</c:f>
              <c:numCache>
                <c:formatCode>General</c:formatCode>
                <c:ptCount val="24"/>
                <c:pt idx="0">
                  <c:v>4.3480484935290815E-3</c:v>
                </c:pt>
                <c:pt idx="1">
                  <c:v>6.6499565195150649E-3</c:v>
                </c:pt>
                <c:pt idx="2">
                  <c:v>3.0692107013146454E-3</c:v>
                </c:pt>
                <c:pt idx="3">
                  <c:v>7.4172591948437261E-3</c:v>
                </c:pt>
                <c:pt idx="4">
                  <c:v>6.3941889610721779E-3</c:v>
                </c:pt>
                <c:pt idx="5">
                  <c:v>5.3711187273006288E-3</c:v>
                </c:pt>
                <c:pt idx="6">
                  <c:v>2.8134431428717584E-3</c:v>
                </c:pt>
                <c:pt idx="7">
                  <c:v>4.0922809350861936E-3</c:v>
                </c:pt>
                <c:pt idx="8">
                  <c:v>4.8595836104148547E-3</c:v>
                </c:pt>
                <c:pt idx="9">
                  <c:v>4.6038160519719677E-3</c:v>
                </c:pt>
                <c:pt idx="10">
                  <c:v>7.4172591948437261E-3</c:v>
                </c:pt>
                <c:pt idx="11">
                  <c:v>4.8595836104148547E-3</c:v>
                </c:pt>
                <c:pt idx="12">
                  <c:v>3.3249782597575325E-3</c:v>
                </c:pt>
                <c:pt idx="13">
                  <c:v>7.1614916364008399E-3</c:v>
                </c:pt>
                <c:pt idx="14">
                  <c:v>4.6038160519719677E-3</c:v>
                </c:pt>
                <c:pt idx="15">
                  <c:v>1.2788377922144357E-3</c:v>
                </c:pt>
                <c:pt idx="16">
                  <c:v>3.5807458182004199E-3</c:v>
                </c:pt>
                <c:pt idx="17">
                  <c:v>2.3019080259859838E-3</c:v>
                </c:pt>
                <c:pt idx="18">
                  <c:v>2.3019080259859838E-3</c:v>
                </c:pt>
                <c:pt idx="19">
                  <c:v>4.6038160519719677E-3</c:v>
                </c:pt>
                <c:pt idx="20">
                  <c:v>4.0922809350861936E-3</c:v>
                </c:pt>
                <c:pt idx="21">
                  <c:v>2.0461404675430968E-3</c:v>
                </c:pt>
                <c:pt idx="22">
                  <c:v>5.6268862857435167E-3</c:v>
                </c:pt>
                <c:pt idx="23">
                  <c:v>1.79037290910021E-3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A-4AD2-A5D7-03EE86A93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36188104"/>
        <c:axId val="836190400"/>
      </c:barChart>
      <c:catAx>
        <c:axId val="8361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0400"/>
        <c:crosses val="autoZero"/>
        <c:auto val="1"/>
        <c:lblAlgn val="ctr"/>
        <c:lblOffset val="100"/>
        <c:noMultiLvlLbl val="0"/>
      </c:catAx>
      <c:valAx>
        <c:axId val="8361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Quantitative</a:t>
            </a:r>
            <a:r>
              <a:rPr lang="en-US" baseline="0"/>
              <a:t> Mineralogical Extrapolation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MineralAnalysis!$CC$6</c:f>
              <c:strCache>
                <c:ptCount val="1"/>
                <c:pt idx="0">
                  <c:v>gypsum (mol % Ca + S, and extrap O)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MineralAnalysis!$CC$7:$CC$30</c:f>
              <c:numCache>
                <c:formatCode>General</c:formatCode>
                <c:ptCount val="24"/>
                <c:pt idx="0">
                  <c:v>0.10422839561900013</c:v>
                </c:pt>
                <c:pt idx="1">
                  <c:v>0.31137513620410506</c:v>
                </c:pt>
                <c:pt idx="2">
                  <c:v>2.1581722788320525E-2</c:v>
                </c:pt>
                <c:pt idx="3">
                  <c:v>2.3203490174139217E-2</c:v>
                </c:pt>
                <c:pt idx="4">
                  <c:v>2.8442992473539565E-2</c:v>
                </c:pt>
                <c:pt idx="5">
                  <c:v>0.17533580677163096</c:v>
                </c:pt>
                <c:pt idx="6">
                  <c:v>5.7634805418276119E-2</c:v>
                </c:pt>
                <c:pt idx="7">
                  <c:v>5.9505946190433548E-2</c:v>
                </c:pt>
                <c:pt idx="8">
                  <c:v>0.4231507183831919</c:v>
                </c:pt>
                <c:pt idx="9">
                  <c:v>0.45053275346530264</c:v>
                </c:pt>
                <c:pt idx="10">
                  <c:v>0.31437900970731381</c:v>
                </c:pt>
                <c:pt idx="11">
                  <c:v>0.11477002368925782</c:v>
                </c:pt>
                <c:pt idx="12">
                  <c:v>0.45358855788500513</c:v>
                </c:pt>
                <c:pt idx="13">
                  <c:v>0.26180429487350831</c:v>
                </c:pt>
                <c:pt idx="14">
                  <c:v>0.39395918556332771</c:v>
                </c:pt>
                <c:pt idx="15">
                  <c:v>0.16286069458263117</c:v>
                </c:pt>
                <c:pt idx="16">
                  <c:v>9.6993205916709152E-2</c:v>
                </c:pt>
                <c:pt idx="17">
                  <c:v>0.15918075638490098</c:v>
                </c:pt>
                <c:pt idx="18">
                  <c:v>4.7030693938997579E-2</c:v>
                </c:pt>
                <c:pt idx="19">
                  <c:v>0.43899391197456228</c:v>
                </c:pt>
                <c:pt idx="20">
                  <c:v>0.37668069437614798</c:v>
                </c:pt>
                <c:pt idx="21">
                  <c:v>0.32409948171700742</c:v>
                </c:pt>
                <c:pt idx="22">
                  <c:v>0.3872223224464057</c:v>
                </c:pt>
                <c:pt idx="23">
                  <c:v>0.33682340704260133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2-444E-A092-87BF69DFCB58}"/>
            </c:ext>
          </c:extLst>
        </c:ser>
        <c:ser>
          <c:idx val="2"/>
          <c:order val="1"/>
          <c:tx>
            <c:strRef>
              <c:f>MineralAnalysis!$CE$6</c:f>
              <c:strCache>
                <c:ptCount val="1"/>
                <c:pt idx="0">
                  <c:v>clay (Fe, Mg, Al + extrap O) mol5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MineralAnalysis!$CE$7:$CE$30</c:f>
              <c:numCache>
                <c:formatCode>General</c:formatCode>
                <c:ptCount val="24"/>
                <c:pt idx="0">
                  <c:v>6.1873545882688875E-3</c:v>
                </c:pt>
                <c:pt idx="1">
                  <c:v>1.8593633669589656E-2</c:v>
                </c:pt>
                <c:pt idx="2">
                  <c:v>2.6476949149651565E-3</c:v>
                </c:pt>
                <c:pt idx="3">
                  <c:v>5.7601316601522323E-3</c:v>
                </c:pt>
                <c:pt idx="4">
                  <c:v>5.116322769316113E-3</c:v>
                </c:pt>
                <c:pt idx="5">
                  <c:v>9.6737104070758577E-3</c:v>
                </c:pt>
                <c:pt idx="6">
                  <c:v>8.2761143716776758E-3</c:v>
                </c:pt>
                <c:pt idx="7">
                  <c:v>4.4725138784799945E-3</c:v>
                </c:pt>
                <c:pt idx="8">
                  <c:v>3.2102514474646182E-2</c:v>
                </c:pt>
                <c:pt idx="9">
                  <c:v>2.9618101667903733E-2</c:v>
                </c:pt>
                <c:pt idx="10">
                  <c:v>5.6720220624282024E-2</c:v>
                </c:pt>
                <c:pt idx="11">
                  <c:v>1.2817717057045926E-2</c:v>
                </c:pt>
                <c:pt idx="12">
                  <c:v>1.8446136513758447E-2</c:v>
                </c:pt>
                <c:pt idx="13">
                  <c:v>9.9419980169125621E-2</c:v>
                </c:pt>
                <c:pt idx="14">
                  <c:v>2.9850472583014688E-2</c:v>
                </c:pt>
                <c:pt idx="15">
                  <c:v>4.9688256134849049E-3</c:v>
                </c:pt>
                <c:pt idx="16">
                  <c:v>8.0279585041752206E-3</c:v>
                </c:pt>
                <c:pt idx="17">
                  <c:v>8.2761143716776758E-3</c:v>
                </c:pt>
                <c:pt idx="18">
                  <c:v>2.2362569392399972E-3</c:v>
                </c:pt>
                <c:pt idx="19">
                  <c:v>3.6069397076066573E-2</c:v>
                </c:pt>
                <c:pt idx="20">
                  <c:v>1.7375104694805674E-2</c:v>
                </c:pt>
                <c:pt idx="21">
                  <c:v>1.0760527178420128E-2</c:v>
                </c:pt>
                <c:pt idx="22">
                  <c:v>1.7180252681799974E-2</c:v>
                </c:pt>
                <c:pt idx="23">
                  <c:v>7.8646763959525183E-3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2-444E-A092-87BF69DFCB58}"/>
            </c:ext>
          </c:extLst>
        </c:ser>
        <c:ser>
          <c:idx val="3"/>
          <c:order val="2"/>
          <c:tx>
            <c:strRef>
              <c:f>MineralAnalysis!$CF$6</c:f>
              <c:strCache>
                <c:ptCount val="1"/>
                <c:pt idx="0">
                  <c:v>K (mol%)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MineralAnalysis!$CF$7:$CF$30</c:f>
              <c:numCache>
                <c:formatCode>General</c:formatCode>
                <c:ptCount val="24"/>
                <c:pt idx="0">
                  <c:v>4.3480484935290815E-3</c:v>
                </c:pt>
                <c:pt idx="1">
                  <c:v>6.6499565195150649E-3</c:v>
                </c:pt>
                <c:pt idx="2">
                  <c:v>3.0692107013146454E-3</c:v>
                </c:pt>
                <c:pt idx="3">
                  <c:v>7.4172591948437261E-3</c:v>
                </c:pt>
                <c:pt idx="4">
                  <c:v>6.3941889610721779E-3</c:v>
                </c:pt>
                <c:pt idx="5">
                  <c:v>5.3711187273006288E-3</c:v>
                </c:pt>
                <c:pt idx="6">
                  <c:v>2.8134431428717584E-3</c:v>
                </c:pt>
                <c:pt idx="7">
                  <c:v>4.0922809350861936E-3</c:v>
                </c:pt>
                <c:pt idx="8">
                  <c:v>4.8595836104148547E-3</c:v>
                </c:pt>
                <c:pt idx="9">
                  <c:v>4.6038160519719677E-3</c:v>
                </c:pt>
                <c:pt idx="10">
                  <c:v>7.4172591948437261E-3</c:v>
                </c:pt>
                <c:pt idx="11">
                  <c:v>4.8595836104148547E-3</c:v>
                </c:pt>
                <c:pt idx="12">
                  <c:v>3.3249782597575325E-3</c:v>
                </c:pt>
                <c:pt idx="13">
                  <c:v>7.1614916364008399E-3</c:v>
                </c:pt>
                <c:pt idx="14">
                  <c:v>4.6038160519719677E-3</c:v>
                </c:pt>
                <c:pt idx="15">
                  <c:v>1.2788377922144357E-3</c:v>
                </c:pt>
                <c:pt idx="16">
                  <c:v>3.5807458182004199E-3</c:v>
                </c:pt>
                <c:pt idx="17">
                  <c:v>2.3019080259859838E-3</c:v>
                </c:pt>
                <c:pt idx="18">
                  <c:v>2.3019080259859838E-3</c:v>
                </c:pt>
                <c:pt idx="19">
                  <c:v>4.6038160519719677E-3</c:v>
                </c:pt>
                <c:pt idx="20">
                  <c:v>4.0922809350861936E-3</c:v>
                </c:pt>
                <c:pt idx="21">
                  <c:v>2.0461404675430968E-3</c:v>
                </c:pt>
                <c:pt idx="22">
                  <c:v>5.6268862857435167E-3</c:v>
                </c:pt>
                <c:pt idx="23">
                  <c:v>1.79037290910021E-3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12-444E-A092-87BF69DF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36188104"/>
        <c:axId val="836190400"/>
      </c:barChart>
      <c:catAx>
        <c:axId val="8361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0400"/>
        <c:crosses val="autoZero"/>
        <c:auto val="1"/>
        <c:lblAlgn val="ctr"/>
        <c:lblOffset val="100"/>
        <c:noMultiLvlLbl val="0"/>
      </c:catAx>
      <c:valAx>
        <c:axId val="836190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ions</a:t>
            </a:r>
            <a:r>
              <a:rPr lang="en-US" baseline="0"/>
              <a:t> ... water chemistry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MineralAnalysis!$BJ$6</c:f>
              <c:strCache>
                <c:ptCount val="1"/>
                <c:pt idx="0">
                  <c:v>NO3 (as 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MineralAnalysis!$BJ$7:$BJ$30</c:f>
              <c:numCache>
                <c:formatCode>General</c:formatCode>
                <c:ptCount val="24"/>
                <c:pt idx="0">
                  <c:v>126</c:v>
                </c:pt>
                <c:pt idx="1">
                  <c:v>69.2</c:v>
                </c:pt>
                <c:pt idx="2">
                  <c:v>127</c:v>
                </c:pt>
                <c:pt idx="3">
                  <c:v>0</c:v>
                </c:pt>
                <c:pt idx="4">
                  <c:v>322</c:v>
                </c:pt>
                <c:pt idx="5">
                  <c:v>52.5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78.5</c:v>
                </c:pt>
                <c:pt idx="12">
                  <c:v>11.7</c:v>
                </c:pt>
                <c:pt idx="13">
                  <c:v>0</c:v>
                </c:pt>
                <c:pt idx="14">
                  <c:v>9.35</c:v>
                </c:pt>
                <c:pt idx="15">
                  <c:v>0</c:v>
                </c:pt>
                <c:pt idx="16">
                  <c:v>64</c:v>
                </c:pt>
                <c:pt idx="17">
                  <c:v>220</c:v>
                </c:pt>
                <c:pt idx="18">
                  <c:v>0</c:v>
                </c:pt>
                <c:pt idx="19">
                  <c:v>9.74</c:v>
                </c:pt>
                <c:pt idx="20">
                  <c:v>0</c:v>
                </c:pt>
                <c:pt idx="21">
                  <c:v>46.4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8-4B17-B8F0-A5FDCC4E275C}"/>
            </c:ext>
          </c:extLst>
        </c:ser>
        <c:ser>
          <c:idx val="1"/>
          <c:order val="1"/>
          <c:tx>
            <c:strRef>
              <c:f>MineralAnalysis!$BK$6</c:f>
              <c:strCache>
                <c:ptCount val="1"/>
                <c:pt idx="0">
                  <c:v>SO4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MineralAnalysis!$BK$7:$BK$30</c:f>
              <c:numCache>
                <c:formatCode>General</c:formatCode>
                <c:ptCount val="24"/>
                <c:pt idx="0">
                  <c:v>49.2</c:v>
                </c:pt>
                <c:pt idx="1">
                  <c:v>47.3</c:v>
                </c:pt>
                <c:pt idx="2">
                  <c:v>11.2</c:v>
                </c:pt>
                <c:pt idx="3">
                  <c:v>12.5</c:v>
                </c:pt>
                <c:pt idx="4">
                  <c:v>14.9</c:v>
                </c:pt>
                <c:pt idx="5">
                  <c:v>42.2</c:v>
                </c:pt>
                <c:pt idx="6">
                  <c:v>27.5</c:v>
                </c:pt>
                <c:pt idx="7">
                  <c:v>27.8</c:v>
                </c:pt>
                <c:pt idx="8">
                  <c:v>24.1</c:v>
                </c:pt>
                <c:pt idx="9">
                  <c:v>26.2</c:v>
                </c:pt>
                <c:pt idx="10">
                  <c:v>30.8</c:v>
                </c:pt>
                <c:pt idx="11">
                  <c:v>49.1</c:v>
                </c:pt>
                <c:pt idx="12">
                  <c:v>32.299999999999997</c:v>
                </c:pt>
                <c:pt idx="13">
                  <c:v>22.6</c:v>
                </c:pt>
                <c:pt idx="14">
                  <c:v>23.6</c:v>
                </c:pt>
                <c:pt idx="15">
                  <c:v>49.3</c:v>
                </c:pt>
                <c:pt idx="16">
                  <c:v>50.6</c:v>
                </c:pt>
                <c:pt idx="17">
                  <c:v>51.5</c:v>
                </c:pt>
                <c:pt idx="18">
                  <c:v>23.5</c:v>
                </c:pt>
                <c:pt idx="19">
                  <c:v>23.6</c:v>
                </c:pt>
                <c:pt idx="20">
                  <c:v>45.8</c:v>
                </c:pt>
                <c:pt idx="21">
                  <c:v>42.8</c:v>
                </c:pt>
                <c:pt idx="22">
                  <c:v>46.2</c:v>
                </c:pt>
                <c:pt idx="23">
                  <c:v>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8-4B17-B8F0-A5FDCC4E275C}"/>
            </c:ext>
          </c:extLst>
        </c:ser>
        <c:ser>
          <c:idx val="3"/>
          <c:order val="2"/>
          <c:tx>
            <c:strRef>
              <c:f>MineralAnalysis!$BM$6</c:f>
              <c:strCache>
                <c:ptCount val="1"/>
                <c:pt idx="0">
                  <c:v>CO3(2-)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MineralAnalysis!$BM$7:$BM$30</c:f>
              <c:numCache>
                <c:formatCode>General</c:formatCode>
                <c:ptCount val="24"/>
                <c:pt idx="0">
                  <c:v>31</c:v>
                </c:pt>
                <c:pt idx="1">
                  <c:v>174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67</c:v>
                </c:pt>
                <c:pt idx="10">
                  <c:v>0</c:v>
                </c:pt>
                <c:pt idx="11">
                  <c:v>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32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13</c:v>
                </c:pt>
                <c:pt idx="22">
                  <c:v>30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8-4B17-B8F0-A5FDCC4E275C}"/>
            </c:ext>
          </c:extLst>
        </c:ser>
        <c:ser>
          <c:idx val="4"/>
          <c:order val="3"/>
          <c:tx>
            <c:strRef>
              <c:f>MineralAnalysis!$BN$6</c:f>
              <c:strCache>
                <c:ptCount val="1"/>
                <c:pt idx="0">
                  <c:v>HCO3(-)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MineralAnalysis!$BN$7:$BN$30</c:f>
              <c:numCache>
                <c:formatCode>General</c:formatCode>
                <c:ptCount val="24"/>
                <c:pt idx="0">
                  <c:v>173</c:v>
                </c:pt>
                <c:pt idx="1">
                  <c:v>132</c:v>
                </c:pt>
                <c:pt idx="2">
                  <c:v>118</c:v>
                </c:pt>
                <c:pt idx="3">
                  <c:v>131</c:v>
                </c:pt>
                <c:pt idx="4">
                  <c:v>118</c:v>
                </c:pt>
                <c:pt idx="5">
                  <c:v>180</c:v>
                </c:pt>
                <c:pt idx="6">
                  <c:v>154</c:v>
                </c:pt>
                <c:pt idx="7">
                  <c:v>203</c:v>
                </c:pt>
                <c:pt idx="8">
                  <c:v>125</c:v>
                </c:pt>
                <c:pt idx="9">
                  <c:v>92</c:v>
                </c:pt>
                <c:pt idx="10">
                  <c:v>157</c:v>
                </c:pt>
                <c:pt idx="11">
                  <c:v>157</c:v>
                </c:pt>
                <c:pt idx="12">
                  <c:v>130</c:v>
                </c:pt>
                <c:pt idx="13">
                  <c:v>151</c:v>
                </c:pt>
                <c:pt idx="14">
                  <c:v>119</c:v>
                </c:pt>
                <c:pt idx="15">
                  <c:v>120</c:v>
                </c:pt>
                <c:pt idx="16">
                  <c:v>125</c:v>
                </c:pt>
                <c:pt idx="17">
                  <c:v>111</c:v>
                </c:pt>
                <c:pt idx="18">
                  <c:v>120</c:v>
                </c:pt>
                <c:pt idx="19">
                  <c:v>136</c:v>
                </c:pt>
                <c:pt idx="20">
                  <c:v>114</c:v>
                </c:pt>
                <c:pt idx="21">
                  <c:v>139</c:v>
                </c:pt>
                <c:pt idx="22">
                  <c:v>113</c:v>
                </c:pt>
                <c:pt idx="2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8-4B17-B8F0-A5FDCC4E2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6713424"/>
        <c:axId val="1826711456"/>
      </c:barChart>
      <c:catAx>
        <c:axId val="18267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11456"/>
        <c:crosses val="autoZero"/>
        <c:auto val="1"/>
        <c:lblAlgn val="ctr"/>
        <c:lblOffset val="100"/>
        <c:noMultiLvlLbl val="0"/>
      </c:catAx>
      <c:valAx>
        <c:axId val="18267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Extrapoloate mass %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MineralAnalysis!$CG$6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MineralAnalysis!$CG$7:$CG$30</c:f>
              <c:numCache>
                <c:formatCode>General</c:formatCode>
                <c:ptCount val="24"/>
                <c:pt idx="0">
                  <c:v>1.67</c:v>
                </c:pt>
                <c:pt idx="1">
                  <c:v>5.04</c:v>
                </c:pt>
                <c:pt idx="2">
                  <c:v>0.34</c:v>
                </c:pt>
                <c:pt idx="3">
                  <c:v>0.36</c:v>
                </c:pt>
                <c:pt idx="4">
                  <c:v>0.44</c:v>
                </c:pt>
                <c:pt idx="5">
                  <c:v>2.79</c:v>
                </c:pt>
                <c:pt idx="6">
                  <c:v>0.8</c:v>
                </c:pt>
                <c:pt idx="7">
                  <c:v>0.86</c:v>
                </c:pt>
                <c:pt idx="8">
                  <c:v>6.88</c:v>
                </c:pt>
                <c:pt idx="9">
                  <c:v>7.47</c:v>
                </c:pt>
                <c:pt idx="10">
                  <c:v>5.16</c:v>
                </c:pt>
                <c:pt idx="11">
                  <c:v>1.76</c:v>
                </c:pt>
                <c:pt idx="12">
                  <c:v>7.68</c:v>
                </c:pt>
                <c:pt idx="13">
                  <c:v>4.28</c:v>
                </c:pt>
                <c:pt idx="14">
                  <c:v>6.44</c:v>
                </c:pt>
                <c:pt idx="15">
                  <c:v>2.63</c:v>
                </c:pt>
                <c:pt idx="16">
                  <c:v>1.47</c:v>
                </c:pt>
                <c:pt idx="17">
                  <c:v>2.52</c:v>
                </c:pt>
                <c:pt idx="18">
                  <c:v>0.74</c:v>
                </c:pt>
                <c:pt idx="19">
                  <c:v>7.14</c:v>
                </c:pt>
                <c:pt idx="20">
                  <c:v>6.35</c:v>
                </c:pt>
                <c:pt idx="21">
                  <c:v>5.28</c:v>
                </c:pt>
                <c:pt idx="22">
                  <c:v>6.44</c:v>
                </c:pt>
                <c:pt idx="23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C-48A5-8F67-E53689C0C933}"/>
            </c:ext>
          </c:extLst>
        </c:ser>
        <c:ser>
          <c:idx val="1"/>
          <c:order val="1"/>
          <c:tx>
            <c:strRef>
              <c:f>MineralAnalysis!$CH$6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MineralAnalysis!$CH$7:$CH$30</c:f>
              <c:numCache>
                <c:formatCode>General</c:formatCode>
                <c:ptCount val="24"/>
                <c:pt idx="0">
                  <c:v>2.09</c:v>
                </c:pt>
                <c:pt idx="1">
                  <c:v>6.18</c:v>
                </c:pt>
                <c:pt idx="2">
                  <c:v>0.44</c:v>
                </c:pt>
                <c:pt idx="3">
                  <c:v>0.48</c:v>
                </c:pt>
                <c:pt idx="4">
                  <c:v>0.59</c:v>
                </c:pt>
                <c:pt idx="5">
                  <c:v>3.54</c:v>
                </c:pt>
                <c:pt idx="6">
                  <c:v>1.31</c:v>
                </c:pt>
                <c:pt idx="7">
                  <c:v>1.31</c:v>
                </c:pt>
                <c:pt idx="8">
                  <c:v>8.36</c:v>
                </c:pt>
                <c:pt idx="9">
                  <c:v>8.7200000000000006</c:v>
                </c:pt>
                <c:pt idx="10">
                  <c:v>7.6148200000000008</c:v>
                </c:pt>
                <c:pt idx="11">
                  <c:v>2.4</c:v>
                </c:pt>
                <c:pt idx="12">
                  <c:v>8.58</c:v>
                </c:pt>
                <c:pt idx="13">
                  <c:v>14.428080000000001</c:v>
                </c:pt>
                <c:pt idx="14">
                  <c:v>7.74</c:v>
                </c:pt>
                <c:pt idx="15">
                  <c:v>3.24</c:v>
                </c:pt>
                <c:pt idx="16">
                  <c:v>2.0499999999999998</c:v>
                </c:pt>
                <c:pt idx="17">
                  <c:v>3.23</c:v>
                </c:pt>
                <c:pt idx="18">
                  <c:v>0.96</c:v>
                </c:pt>
                <c:pt idx="19">
                  <c:v>8.67</c:v>
                </c:pt>
                <c:pt idx="20">
                  <c:v>7.16</c:v>
                </c:pt>
                <c:pt idx="21">
                  <c:v>6.39</c:v>
                </c:pt>
                <c:pt idx="22">
                  <c:v>7.47</c:v>
                </c:pt>
                <c:pt idx="23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C-48A5-8F67-E53689C0C933}"/>
            </c:ext>
          </c:extLst>
        </c:ser>
        <c:ser>
          <c:idx val="2"/>
          <c:order val="2"/>
          <c:tx>
            <c:strRef>
              <c:f>MineralAnalysis!$CI$6</c:f>
              <c:strCache>
                <c:ptCount val="1"/>
                <c:pt idx="0">
                  <c:v>O extrap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MineralAnalysis!$CI$7:$CI$30</c:f>
              <c:numCache>
                <c:formatCode>General</c:formatCode>
                <c:ptCount val="24"/>
                <c:pt idx="0">
                  <c:v>5.0204388302089393</c:v>
                </c:pt>
                <c:pt idx="1">
                  <c:v>15.034015040807377</c:v>
                </c:pt>
                <c:pt idx="2">
                  <c:v>1.0358579486710204</c:v>
                </c:pt>
                <c:pt idx="3">
                  <c:v>1.1136979178881599</c:v>
                </c:pt>
                <c:pt idx="4">
                  <c:v>1.3651783097524786</c:v>
                </c:pt>
                <c:pt idx="5">
                  <c:v>8.4511697689855509</c:v>
                </c:pt>
                <c:pt idx="6">
                  <c:v>2.8196633327123664</c:v>
                </c:pt>
                <c:pt idx="7">
                  <c:v>2.8561068993022394</c:v>
                </c:pt>
                <c:pt idx="8">
                  <c:v>20.523427338443533</c:v>
                </c:pt>
                <c:pt idx="9">
                  <c:v>21.819894350595813</c:v>
                </c:pt>
                <c:pt idx="10">
                  <c:v>15.427231316913936</c:v>
                </c:pt>
                <c:pt idx="11">
                  <c:v>5.5797709297484648</c:v>
                </c:pt>
                <c:pt idx="12">
                  <c:v>21.895409692593116</c:v>
                </c:pt>
                <c:pt idx="13">
                  <c:v>13.206207665660189</c:v>
                </c:pt>
                <c:pt idx="14">
                  <c:v>19.10453281200472</c:v>
                </c:pt>
                <c:pt idx="15">
                  <c:v>7.852401809250126</c:v>
                </c:pt>
                <c:pt idx="16">
                  <c:v>4.6909599557518682</c:v>
                </c:pt>
                <c:pt idx="17">
                  <c:v>7.6935643412574599</c:v>
                </c:pt>
                <c:pt idx="18">
                  <c:v>2.2573322169900667</c:v>
                </c:pt>
                <c:pt idx="19">
                  <c:v>21.319430152616114</c:v>
                </c:pt>
                <c:pt idx="20">
                  <c:v>18.186274442074708</c:v>
                </c:pt>
                <c:pt idx="21">
                  <c:v>15.626956926706361</c:v>
                </c:pt>
                <c:pt idx="22">
                  <c:v>18.674452438879079</c:v>
                </c:pt>
                <c:pt idx="23">
                  <c:v>16.219878644875106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C-48A5-8F67-E53689C0C933}"/>
            </c:ext>
          </c:extLst>
        </c:ser>
        <c:ser>
          <c:idx val="3"/>
          <c:order val="3"/>
          <c:tx>
            <c:strRef>
              <c:f>MineralAnalysis!$CJ$6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MineralAnalysis!$CJ$7:$CJ$30</c:f>
              <c:numCache>
                <c:formatCode>General</c:formatCode>
                <c:ptCount val="24"/>
                <c:pt idx="0">
                  <c:v>0.20991598877666623</c:v>
                </c:pt>
                <c:pt idx="1">
                  <c:v>0.6271095243150675</c:v>
                </c:pt>
                <c:pt idx="2">
                  <c:v>4.3465589695677535E-2</c:v>
                </c:pt>
                <c:pt idx="3">
                  <c:v>4.6731829210716377E-2</c:v>
                </c:pt>
                <c:pt idx="4">
                  <c:v>5.7284186841708676E-2</c:v>
                </c:pt>
                <c:pt idx="5">
                  <c:v>0.35312631483806473</c:v>
                </c:pt>
                <c:pt idx="6">
                  <c:v>0.1160764981124081</c:v>
                </c:pt>
                <c:pt idx="7">
                  <c:v>0.11984497562753316</c:v>
                </c:pt>
                <c:pt idx="8">
                  <c:v>0.8522255468237484</c:v>
                </c:pt>
                <c:pt idx="9">
                  <c:v>0.90737296547911939</c:v>
                </c:pt>
                <c:pt idx="10">
                  <c:v>0.63315932555052989</c:v>
                </c:pt>
                <c:pt idx="11">
                  <c:v>0.23114682771016523</c:v>
                </c:pt>
                <c:pt idx="12">
                  <c:v>0.91352735558040021</c:v>
                </c:pt>
                <c:pt idx="13">
                  <c:v>0.52727384987524573</c:v>
                </c:pt>
                <c:pt idx="14">
                  <c:v>0.79343379972454187</c:v>
                </c:pt>
                <c:pt idx="15">
                  <c:v>0.32800143888941913</c:v>
                </c:pt>
                <c:pt idx="16">
                  <c:v>0.19534431671625221</c:v>
                </c:pt>
                <c:pt idx="17">
                  <c:v>0.32059004335919056</c:v>
                </c:pt>
                <c:pt idx="18">
                  <c:v>9.4719817593141117E-2</c:v>
                </c:pt>
                <c:pt idx="19">
                  <c:v>0.88413373871676837</c:v>
                </c:pt>
                <c:pt idx="20">
                  <c:v>0.75863491847356201</c:v>
                </c:pt>
                <c:pt idx="21">
                  <c:v>0.65273635617805292</c:v>
                </c:pt>
                <c:pt idx="22">
                  <c:v>0.77986575740706099</c:v>
                </c:pt>
                <c:pt idx="23">
                  <c:v>0.67836234178379906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C-48A5-8F67-E53689C0C933}"/>
            </c:ext>
          </c:extLst>
        </c:ser>
        <c:ser>
          <c:idx val="4"/>
          <c:order val="4"/>
          <c:tx>
            <c:strRef>
              <c:f>MineralAnalysis!$CK$6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MineralAnalysis!$CK$7:$CK$30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0.12</c:v>
                </c:pt>
                <c:pt idx="9">
                  <c:v>0.11</c:v>
                </c:pt>
                <c:pt idx="10">
                  <c:v>0.19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0.36</c:v>
                </c:pt>
                <c:pt idx="14">
                  <c:v>0.11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</c:v>
                </c:pt>
                <c:pt idx="19">
                  <c:v>0.14000000000000001</c:v>
                </c:pt>
                <c:pt idx="20">
                  <c:v>0.06</c:v>
                </c:pt>
                <c:pt idx="21">
                  <c:v>0.04</c:v>
                </c:pt>
                <c:pt idx="22">
                  <c:v>0.05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C-48A5-8F67-E53689C0C933}"/>
            </c:ext>
          </c:extLst>
        </c:ser>
        <c:ser>
          <c:idx val="5"/>
          <c:order val="5"/>
          <c:tx>
            <c:strRef>
              <c:f>MineralAnalysis!$CL$6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MineralAnalysis!$CL$7:$CL$30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0.11</c:v>
                </c:pt>
                <c:pt idx="9">
                  <c:v>0.1</c:v>
                </c:pt>
                <c:pt idx="10">
                  <c:v>0.17</c:v>
                </c:pt>
                <c:pt idx="11">
                  <c:v>0.04</c:v>
                </c:pt>
                <c:pt idx="12">
                  <c:v>0.06</c:v>
                </c:pt>
                <c:pt idx="13">
                  <c:v>0.32</c:v>
                </c:pt>
                <c:pt idx="14">
                  <c:v>0.09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0.01</c:v>
                </c:pt>
                <c:pt idx="19">
                  <c:v>0.12</c:v>
                </c:pt>
                <c:pt idx="20">
                  <c:v>0.06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C-48A5-8F67-E53689C0C933}"/>
            </c:ext>
          </c:extLst>
        </c:ser>
        <c:ser>
          <c:idx val="6"/>
          <c:order val="6"/>
          <c:tx>
            <c:strRef>
              <c:f>MineralAnalysis!$CM$6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MineralAnalysis!$CM$7:$CM$30</c:f>
              <c:numCache>
                <c:formatCode>General</c:formatCode>
                <c:ptCount val="24"/>
                <c:pt idx="0">
                  <c:v>0.17</c:v>
                </c:pt>
                <c:pt idx="1">
                  <c:v>0.26</c:v>
                </c:pt>
                <c:pt idx="2">
                  <c:v>0.12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0.21</c:v>
                </c:pt>
                <c:pt idx="6">
                  <c:v>0.11</c:v>
                </c:pt>
                <c:pt idx="7">
                  <c:v>0.16</c:v>
                </c:pt>
                <c:pt idx="8">
                  <c:v>0.19</c:v>
                </c:pt>
                <c:pt idx="9">
                  <c:v>0.18</c:v>
                </c:pt>
                <c:pt idx="10">
                  <c:v>0.28999999999999998</c:v>
                </c:pt>
                <c:pt idx="11">
                  <c:v>0.19</c:v>
                </c:pt>
                <c:pt idx="12">
                  <c:v>0.13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0.05</c:v>
                </c:pt>
                <c:pt idx="16">
                  <c:v>0.14000000000000001</c:v>
                </c:pt>
                <c:pt idx="17">
                  <c:v>0.09</c:v>
                </c:pt>
                <c:pt idx="18">
                  <c:v>0.09</c:v>
                </c:pt>
                <c:pt idx="19">
                  <c:v>0.18</c:v>
                </c:pt>
                <c:pt idx="20">
                  <c:v>0.16</c:v>
                </c:pt>
                <c:pt idx="21">
                  <c:v>0.08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C-48A5-8F67-E53689C0C933}"/>
            </c:ext>
          </c:extLst>
        </c:ser>
        <c:ser>
          <c:idx val="7"/>
          <c:order val="7"/>
          <c:tx>
            <c:strRef>
              <c:f>MineralAnalysis!$CN$6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MineralAnalysis!$CN$7:$CN$30</c:f>
              <c:numCache>
                <c:formatCode>General</c:formatCode>
                <c:ptCount val="24"/>
                <c:pt idx="0">
                  <c:v>0.11</c:v>
                </c:pt>
                <c:pt idx="1">
                  <c:v>0.25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0.15</c:v>
                </c:pt>
                <c:pt idx="6">
                  <c:v>0.08</c:v>
                </c:pt>
                <c:pt idx="7">
                  <c:v>0.1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0.62</c:v>
                </c:pt>
                <c:pt idx="11">
                  <c:v>0.15</c:v>
                </c:pt>
                <c:pt idx="12">
                  <c:v>0.17</c:v>
                </c:pt>
                <c:pt idx="13">
                  <c:v>0.98</c:v>
                </c:pt>
                <c:pt idx="14">
                  <c:v>0.28999999999999998</c:v>
                </c:pt>
                <c:pt idx="15">
                  <c:v>0.04</c:v>
                </c:pt>
                <c:pt idx="16">
                  <c:v>0.11</c:v>
                </c:pt>
                <c:pt idx="17">
                  <c:v>0.08</c:v>
                </c:pt>
                <c:pt idx="18">
                  <c:v>0.05</c:v>
                </c:pt>
                <c:pt idx="19">
                  <c:v>0.32</c:v>
                </c:pt>
                <c:pt idx="20">
                  <c:v>0.18</c:v>
                </c:pt>
                <c:pt idx="21">
                  <c:v>0.1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C-48A5-8F67-E53689C0C933}"/>
            </c:ext>
          </c:extLst>
        </c:ser>
        <c:ser>
          <c:idx val="8"/>
          <c:order val="8"/>
          <c:tx>
            <c:strRef>
              <c:f>MineralAnalysis!$CO$6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MineralAnalysis!$CO$7:$CO$30</c:f>
              <c:numCache>
                <c:formatCode>General</c:formatCode>
                <c:ptCount val="24"/>
                <c:pt idx="0">
                  <c:v>26.106063225255973</c:v>
                </c:pt>
                <c:pt idx="1">
                  <c:v>20.150931484641635</c:v>
                </c:pt>
                <c:pt idx="2">
                  <c:v>29.6119069112628</c:v>
                </c:pt>
                <c:pt idx="3">
                  <c:v>28.891528071672354</c:v>
                </c:pt>
                <c:pt idx="4">
                  <c:v>27.786947184300345</c:v>
                </c:pt>
                <c:pt idx="5">
                  <c:v>21.063411348122866</c:v>
                </c:pt>
                <c:pt idx="6">
                  <c:v>28.315224999999995</c:v>
                </c:pt>
                <c:pt idx="7">
                  <c:v>27.354719880546075</c:v>
                </c:pt>
                <c:pt idx="8">
                  <c:v>3.04</c:v>
                </c:pt>
                <c:pt idx="9">
                  <c:v>3.19</c:v>
                </c:pt>
                <c:pt idx="10">
                  <c:v>4.7699999999999996</c:v>
                </c:pt>
                <c:pt idx="11">
                  <c:v>25.529760153583616</c:v>
                </c:pt>
                <c:pt idx="12">
                  <c:v>7.16</c:v>
                </c:pt>
                <c:pt idx="13">
                  <c:v>2.29</c:v>
                </c:pt>
                <c:pt idx="14">
                  <c:v>2.21</c:v>
                </c:pt>
                <c:pt idx="15">
                  <c:v>25.625810665529006</c:v>
                </c:pt>
                <c:pt idx="16">
                  <c:v>26.826442064846411</c:v>
                </c:pt>
                <c:pt idx="17">
                  <c:v>25.385684385665527</c:v>
                </c:pt>
                <c:pt idx="18">
                  <c:v>28.60337653583618</c:v>
                </c:pt>
                <c:pt idx="19">
                  <c:v>2.2000000000000002</c:v>
                </c:pt>
                <c:pt idx="20">
                  <c:v>17.509542406143339</c:v>
                </c:pt>
                <c:pt idx="21">
                  <c:v>19.910805204778157</c:v>
                </c:pt>
                <c:pt idx="22">
                  <c:v>17.365466638225254</c:v>
                </c:pt>
                <c:pt idx="23">
                  <c:v>19.478577901023886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C-48A5-8F67-E53689C0C933}"/>
            </c:ext>
          </c:extLst>
        </c:ser>
        <c:ser>
          <c:idx val="9"/>
          <c:order val="9"/>
          <c:tx>
            <c:strRef>
              <c:f>MineralAnalysis!$CP$6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MineralAnalysis!$CP$7:$CP$30</c:f>
              <c:numCache>
                <c:formatCode>General</c:formatCode>
                <c:ptCount val="24"/>
                <c:pt idx="0">
                  <c:v>54</c:v>
                </c:pt>
                <c:pt idx="1">
                  <c:v>41.6</c:v>
                </c:pt>
                <c:pt idx="2">
                  <c:v>61.300000000000004</c:v>
                </c:pt>
                <c:pt idx="3">
                  <c:v>59.800000000000004</c:v>
                </c:pt>
                <c:pt idx="4">
                  <c:v>57.5</c:v>
                </c:pt>
                <c:pt idx="5">
                  <c:v>43.5</c:v>
                </c:pt>
                <c:pt idx="6">
                  <c:v>58.6</c:v>
                </c:pt>
                <c:pt idx="7">
                  <c:v>56.6</c:v>
                </c:pt>
                <c:pt idx="8">
                  <c:v>5.7200000000000006</c:v>
                </c:pt>
                <c:pt idx="9">
                  <c:v>6.57</c:v>
                </c:pt>
                <c:pt idx="10">
                  <c:v>9.56</c:v>
                </c:pt>
                <c:pt idx="11">
                  <c:v>52.800000000000004</c:v>
                </c:pt>
                <c:pt idx="12">
                  <c:v>14.5</c:v>
                </c:pt>
                <c:pt idx="13">
                  <c:v>4</c:v>
                </c:pt>
                <c:pt idx="14">
                  <c:v>4.6400000000000006</c:v>
                </c:pt>
                <c:pt idx="15">
                  <c:v>53</c:v>
                </c:pt>
                <c:pt idx="16">
                  <c:v>55.5</c:v>
                </c:pt>
                <c:pt idx="17">
                  <c:v>52.5</c:v>
                </c:pt>
                <c:pt idx="18">
                  <c:v>59.2</c:v>
                </c:pt>
                <c:pt idx="19">
                  <c:v>4.25</c:v>
                </c:pt>
                <c:pt idx="20">
                  <c:v>36.1</c:v>
                </c:pt>
                <c:pt idx="21">
                  <c:v>41.1</c:v>
                </c:pt>
                <c:pt idx="22">
                  <c:v>35.800000000000004</c:v>
                </c:pt>
                <c:pt idx="23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C-48A5-8F67-E53689C0C933}"/>
            </c:ext>
          </c:extLst>
        </c:ser>
        <c:ser>
          <c:idx val="10"/>
          <c:order val="10"/>
          <c:tx>
            <c:strRef>
              <c:f>MineralAnalysis!$CQ$6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MineralAnalysis!$CQ$7:$CQ$30</c:f>
              <c:numCache>
                <c:formatCode>General</c:formatCode>
                <c:ptCount val="24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1.6E-2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C-48A5-8F67-E53689C0C933}"/>
            </c:ext>
          </c:extLst>
        </c:ser>
        <c:ser>
          <c:idx val="11"/>
          <c:order val="11"/>
          <c:tx>
            <c:strRef>
              <c:f>MineralAnalysis!$CR$6</c:f>
              <c:strCache>
                <c:ptCount val="1"/>
                <c:pt idx="0">
                  <c:v>*missing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MineralAnalysis!$CR$7:$CR$30</c:f>
              <c:numCache>
                <c:formatCode>General</c:formatCode>
                <c:ptCount val="24"/>
                <c:pt idx="0">
                  <c:v>10.603581955758415</c:v>
                </c:pt>
                <c:pt idx="1">
                  <c:v>10.754943950235926</c:v>
                </c:pt>
                <c:pt idx="2">
                  <c:v>7.038769550370489</c:v>
                </c:pt>
                <c:pt idx="3">
                  <c:v>8.8780421812287642</c:v>
                </c:pt>
                <c:pt idx="4">
                  <c:v>11.880590319105465</c:v>
                </c:pt>
                <c:pt idx="5">
                  <c:v>19.891292568053515</c:v>
                </c:pt>
                <c:pt idx="6">
                  <c:v>7.7890351691752358</c:v>
                </c:pt>
                <c:pt idx="7">
                  <c:v>10.619328244524155</c:v>
                </c:pt>
                <c:pt idx="8">
                  <c:v>53.898347114732729</c:v>
                </c:pt>
                <c:pt idx="9">
                  <c:v>50.646732683925066</c:v>
                </c:pt>
                <c:pt idx="10">
                  <c:v>55.554789357535533</c:v>
                </c:pt>
                <c:pt idx="11">
                  <c:v>11.277322088957746</c:v>
                </c:pt>
                <c:pt idx="12">
                  <c:v>38.838062951826487</c:v>
                </c:pt>
                <c:pt idx="13">
                  <c:v>59.312438484464572</c:v>
                </c:pt>
                <c:pt idx="14">
                  <c:v>58.397033388270735</c:v>
                </c:pt>
                <c:pt idx="15">
                  <c:v>7.1937860863314427</c:v>
                </c:pt>
                <c:pt idx="16">
                  <c:v>8.9662536626854603</c:v>
                </c:pt>
                <c:pt idx="17">
                  <c:v>8.1191612297178182</c:v>
                </c:pt>
                <c:pt idx="18">
                  <c:v>7.994571429580617</c:v>
                </c:pt>
                <c:pt idx="19">
                  <c:v>54.769436108667122</c:v>
                </c:pt>
                <c:pt idx="20">
                  <c:v>13.472548233308387</c:v>
                </c:pt>
                <c:pt idx="21">
                  <c:v>10.777501512337423</c:v>
                </c:pt>
                <c:pt idx="22">
                  <c:v>12.938215165488614</c:v>
                </c:pt>
                <c:pt idx="23">
                  <c:v>11.131181112317208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C-48A5-8F67-E53689C0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429440"/>
        <c:axId val="874429768"/>
      </c:barChart>
      <c:catAx>
        <c:axId val="8744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29768"/>
        <c:crosses val="autoZero"/>
        <c:auto val="1"/>
        <c:lblAlgn val="ctr"/>
        <c:lblOffset val="100"/>
        <c:noMultiLvlLbl val="0"/>
      </c:catAx>
      <c:valAx>
        <c:axId val="87442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composition (20181113)</a:t>
            </a:r>
          </a:p>
        </c:rich>
      </c:tx>
      <c:layout>
        <c:manualLayout>
          <c:xMode val="edge"/>
          <c:yMode val="edge"/>
          <c:x val="0.34566048167908103"/>
          <c:y val="1.5627547551735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MineralAnalysis!$CW$6</c:f>
              <c:strCache>
                <c:ptCount val="1"/>
                <c:pt idx="0">
                  <c:v>gypsum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MineralAnalysis!$CU$7:$CU$30</c:f>
              <c:strCache>
                <c:ptCount val="24"/>
                <c:pt idx="0">
                  <c:v>surface halite 29-1 </c:v>
                </c:pt>
                <c:pt idx="1">
                  <c:v>surface halite 12B-1 </c:v>
                </c:pt>
                <c:pt idx="2">
                  <c:v>surface halite 33-1 </c:v>
                </c:pt>
                <c:pt idx="3">
                  <c:v>surface halite 35-1 </c:v>
                </c:pt>
                <c:pt idx="4">
                  <c:v>surface halite 56-1 </c:v>
                </c:pt>
                <c:pt idx="5">
                  <c:v>surface halite 67B-1 </c:v>
                </c:pt>
                <c:pt idx="6">
                  <c:v>surface halite 46-1 </c:v>
                </c:pt>
                <c:pt idx="7">
                  <c:v>surface halite 41-1 </c:v>
                </c:pt>
                <c:pt idx="8">
                  <c:v>upper gypsum 29-2 </c:v>
                </c:pt>
                <c:pt idx="9">
                  <c:v>upper gypsum 12B-2 </c:v>
                </c:pt>
                <c:pt idx="10">
                  <c:v>upper gypsum 33-2 </c:v>
                </c:pt>
                <c:pt idx="11">
                  <c:v>upper gypsum 56-2 </c:v>
                </c:pt>
                <c:pt idx="12">
                  <c:v>upper gypsum 67B-2 </c:v>
                </c:pt>
                <c:pt idx="13">
                  <c:v>upper gypsum 46-2 </c:v>
                </c:pt>
                <c:pt idx="14">
                  <c:v>upper gypsum 41-2 </c:v>
                </c:pt>
                <c:pt idx="15">
                  <c:v>lower halite 29-3 </c:v>
                </c:pt>
                <c:pt idx="16">
                  <c:v>lower halite 35-2 </c:v>
                </c:pt>
                <c:pt idx="17">
                  <c:v>lower halite 35-3 </c:v>
                </c:pt>
                <c:pt idx="18">
                  <c:v>lower halite 56-3 </c:v>
                </c:pt>
                <c:pt idx="19">
                  <c:v>lower gypsum 12B-3 </c:v>
                </c:pt>
                <c:pt idx="20">
                  <c:v>lower gypsum 56-4 </c:v>
                </c:pt>
                <c:pt idx="21">
                  <c:v>lower halite and gypsum 12B-4 </c:v>
                </c:pt>
                <c:pt idx="22">
                  <c:v>lower halite and gypsum 33-3 </c:v>
                </c:pt>
                <c:pt idx="23">
                  <c:v>lower halite and gypsum 67B-3 </c:v>
                </c:pt>
              </c:strCache>
            </c:strRef>
          </c:cat>
          <c:val>
            <c:numRef>
              <c:f>MineralAnalysis!$CW$7:$CW$30</c:f>
              <c:numCache>
                <c:formatCode>General</c:formatCode>
                <c:ptCount val="24"/>
                <c:pt idx="0">
                  <c:v>8.9903548189856064</c:v>
                </c:pt>
                <c:pt idx="1">
                  <c:v>26.881124565122441</c:v>
                </c:pt>
                <c:pt idx="2">
                  <c:v>1.8593235383666979</c:v>
                </c:pt>
                <c:pt idx="3">
                  <c:v>2.0004297470988761</c:v>
                </c:pt>
                <c:pt idx="4">
                  <c:v>2.4524624965941872</c:v>
                </c:pt>
                <c:pt idx="5">
                  <c:v>15.134296083823616</c:v>
                </c:pt>
                <c:pt idx="6">
                  <c:v>5.0457398308247745</c:v>
                </c:pt>
                <c:pt idx="7">
                  <c:v>5.1459518749297724</c:v>
                </c:pt>
                <c:pt idx="8">
                  <c:v>36.615652885267281</c:v>
                </c:pt>
                <c:pt idx="9">
                  <c:v>38.917267316074934</c:v>
                </c:pt>
                <c:pt idx="10">
                  <c:v>28.835210642464467</c:v>
                </c:pt>
                <c:pt idx="11">
                  <c:v>9.970917757458631</c:v>
                </c:pt>
                <c:pt idx="12">
                  <c:v>39.06893704817351</c:v>
                </c:pt>
                <c:pt idx="13">
                  <c:v>32.441561515535433</c:v>
                </c:pt>
                <c:pt idx="14">
                  <c:v>34.077966611729259</c:v>
                </c:pt>
                <c:pt idx="15">
                  <c:v>14.050403248139546</c:v>
                </c:pt>
                <c:pt idx="16">
                  <c:v>8.4063042724681196</c:v>
                </c:pt>
                <c:pt idx="17">
                  <c:v>13.764154384616651</c:v>
                </c:pt>
                <c:pt idx="18">
                  <c:v>4.0520520345832081</c:v>
                </c:pt>
                <c:pt idx="19">
                  <c:v>38.013563891332879</c:v>
                </c:pt>
                <c:pt idx="20">
                  <c:v>32.454909360548271</c:v>
                </c:pt>
                <c:pt idx="21">
                  <c:v>27.949693282884414</c:v>
                </c:pt>
                <c:pt idx="22">
                  <c:v>33.364318196286142</c:v>
                </c:pt>
                <c:pt idx="23">
                  <c:v>28.988240986658905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F-410A-B086-FD13978DA1C9}"/>
            </c:ext>
          </c:extLst>
        </c:ser>
        <c:ser>
          <c:idx val="1"/>
          <c:order val="1"/>
          <c:tx>
            <c:strRef>
              <c:f>MineralAnalysis!$CX$6</c:f>
              <c:strCache>
                <c:ptCount val="1"/>
                <c:pt idx="0">
                  <c:v>clay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MineralAnalysis!$CU$7:$CU$30</c:f>
              <c:strCache>
                <c:ptCount val="24"/>
                <c:pt idx="0">
                  <c:v>surface halite 29-1 </c:v>
                </c:pt>
                <c:pt idx="1">
                  <c:v>surface halite 12B-1 </c:v>
                </c:pt>
                <c:pt idx="2">
                  <c:v>surface halite 33-1 </c:v>
                </c:pt>
                <c:pt idx="3">
                  <c:v>surface halite 35-1 </c:v>
                </c:pt>
                <c:pt idx="4">
                  <c:v>surface halite 56-1 </c:v>
                </c:pt>
                <c:pt idx="5">
                  <c:v>surface halite 67B-1 </c:v>
                </c:pt>
                <c:pt idx="6">
                  <c:v>surface halite 46-1 </c:v>
                </c:pt>
                <c:pt idx="7">
                  <c:v>surface halite 41-1 </c:v>
                </c:pt>
                <c:pt idx="8">
                  <c:v>upper gypsum 29-2 </c:v>
                </c:pt>
                <c:pt idx="9">
                  <c:v>upper gypsum 12B-2 </c:v>
                </c:pt>
                <c:pt idx="10">
                  <c:v>upper gypsum 33-2 </c:v>
                </c:pt>
                <c:pt idx="11">
                  <c:v>upper gypsum 56-2 </c:v>
                </c:pt>
                <c:pt idx="12">
                  <c:v>upper gypsum 67B-2 </c:v>
                </c:pt>
                <c:pt idx="13">
                  <c:v>upper gypsum 46-2 </c:v>
                </c:pt>
                <c:pt idx="14">
                  <c:v>upper gypsum 41-2 </c:v>
                </c:pt>
                <c:pt idx="15">
                  <c:v>lower halite 29-3 </c:v>
                </c:pt>
                <c:pt idx="16">
                  <c:v>lower halite 35-2 </c:v>
                </c:pt>
                <c:pt idx="17">
                  <c:v>lower halite 35-3 </c:v>
                </c:pt>
                <c:pt idx="18">
                  <c:v>lower halite 56-3 </c:v>
                </c:pt>
                <c:pt idx="19">
                  <c:v>lower gypsum 12B-3 </c:v>
                </c:pt>
                <c:pt idx="20">
                  <c:v>lower gypsum 56-4 </c:v>
                </c:pt>
                <c:pt idx="21">
                  <c:v>lower halite and gypsum 12B-4 </c:v>
                </c:pt>
                <c:pt idx="22">
                  <c:v>lower halite and gypsum 33-3 </c:v>
                </c:pt>
                <c:pt idx="23">
                  <c:v>lower halite and gypsum 67B-3 </c:v>
                </c:pt>
              </c:strCache>
            </c:strRef>
          </c:cat>
          <c:val>
            <c:numRef>
              <c:f>MineralAnalysis!$CX$7:$CX$30</c:f>
              <c:numCache>
                <c:formatCode>General</c:formatCode>
                <c:ptCount val="24"/>
                <c:pt idx="0">
                  <c:v>0.13</c:v>
                </c:pt>
                <c:pt idx="1">
                  <c:v>0.35</c:v>
                </c:pt>
                <c:pt idx="2">
                  <c:v>6.9999999999999993E-2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0.19999999999999998</c:v>
                </c:pt>
                <c:pt idx="6">
                  <c:v>0.14000000000000001</c:v>
                </c:pt>
                <c:pt idx="7">
                  <c:v>0.12000000000000001</c:v>
                </c:pt>
                <c:pt idx="8">
                  <c:v>0.53</c:v>
                </c:pt>
                <c:pt idx="9">
                  <c:v>0.49</c:v>
                </c:pt>
                <c:pt idx="10">
                  <c:v>0.98000000000000009</c:v>
                </c:pt>
                <c:pt idx="11">
                  <c:v>0.23</c:v>
                </c:pt>
                <c:pt idx="12">
                  <c:v>0.30000000000000004</c:v>
                </c:pt>
                <c:pt idx="13">
                  <c:v>1.66</c:v>
                </c:pt>
                <c:pt idx="14">
                  <c:v>0.49</c:v>
                </c:pt>
                <c:pt idx="15">
                  <c:v>0.08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6.0000000000000005E-2</c:v>
                </c:pt>
                <c:pt idx="19">
                  <c:v>0.58000000000000007</c:v>
                </c:pt>
                <c:pt idx="20">
                  <c:v>0.3</c:v>
                </c:pt>
                <c:pt idx="21">
                  <c:v>0.18000000000000002</c:v>
                </c:pt>
                <c:pt idx="22">
                  <c:v>0.31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F-410A-B086-FD13978DA1C9}"/>
            </c:ext>
          </c:extLst>
        </c:ser>
        <c:ser>
          <c:idx val="2"/>
          <c:order val="2"/>
          <c:tx>
            <c:strRef>
              <c:f>MineralAnalysis!$CY$6</c:f>
              <c:strCache>
                <c:ptCount val="1"/>
                <c:pt idx="0">
                  <c:v>halite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MineralAnalysis!$CU$7:$CU$30</c:f>
              <c:strCache>
                <c:ptCount val="24"/>
                <c:pt idx="0">
                  <c:v>surface halite 29-1 </c:v>
                </c:pt>
                <c:pt idx="1">
                  <c:v>surface halite 12B-1 </c:v>
                </c:pt>
                <c:pt idx="2">
                  <c:v>surface halite 33-1 </c:v>
                </c:pt>
                <c:pt idx="3">
                  <c:v>surface halite 35-1 </c:v>
                </c:pt>
                <c:pt idx="4">
                  <c:v>surface halite 56-1 </c:v>
                </c:pt>
                <c:pt idx="5">
                  <c:v>surface halite 67B-1 </c:v>
                </c:pt>
                <c:pt idx="6">
                  <c:v>surface halite 46-1 </c:v>
                </c:pt>
                <c:pt idx="7">
                  <c:v>surface halite 41-1 </c:v>
                </c:pt>
                <c:pt idx="8">
                  <c:v>upper gypsum 29-2 </c:v>
                </c:pt>
                <c:pt idx="9">
                  <c:v>upper gypsum 12B-2 </c:v>
                </c:pt>
                <c:pt idx="10">
                  <c:v>upper gypsum 33-2 </c:v>
                </c:pt>
                <c:pt idx="11">
                  <c:v>upper gypsum 56-2 </c:v>
                </c:pt>
                <c:pt idx="12">
                  <c:v>upper gypsum 67B-2 </c:v>
                </c:pt>
                <c:pt idx="13">
                  <c:v>upper gypsum 46-2 </c:v>
                </c:pt>
                <c:pt idx="14">
                  <c:v>upper gypsum 41-2 </c:v>
                </c:pt>
                <c:pt idx="15">
                  <c:v>lower halite 29-3 </c:v>
                </c:pt>
                <c:pt idx="16">
                  <c:v>lower halite 35-2 </c:v>
                </c:pt>
                <c:pt idx="17">
                  <c:v>lower halite 35-3 </c:v>
                </c:pt>
                <c:pt idx="18">
                  <c:v>lower halite 56-3 </c:v>
                </c:pt>
                <c:pt idx="19">
                  <c:v>lower gypsum 12B-3 </c:v>
                </c:pt>
                <c:pt idx="20">
                  <c:v>lower gypsum 56-4 </c:v>
                </c:pt>
                <c:pt idx="21">
                  <c:v>lower halite and gypsum 12B-4 </c:v>
                </c:pt>
                <c:pt idx="22">
                  <c:v>lower halite and gypsum 33-3 </c:v>
                </c:pt>
                <c:pt idx="23">
                  <c:v>lower halite and gypsum 67B-3 </c:v>
                </c:pt>
              </c:strCache>
            </c:strRef>
          </c:cat>
          <c:val>
            <c:numRef>
              <c:f>MineralAnalysis!$CY$7:$CY$30</c:f>
              <c:numCache>
                <c:formatCode>General</c:formatCode>
                <c:ptCount val="24"/>
                <c:pt idx="0">
                  <c:v>80.10606322525598</c:v>
                </c:pt>
                <c:pt idx="1">
                  <c:v>61.75093148464164</c:v>
                </c:pt>
                <c:pt idx="2">
                  <c:v>90.911906911262804</c:v>
                </c:pt>
                <c:pt idx="3">
                  <c:v>88.691528071672366</c:v>
                </c:pt>
                <c:pt idx="4">
                  <c:v>85.286947184300345</c:v>
                </c:pt>
                <c:pt idx="5">
                  <c:v>64.56341134812287</c:v>
                </c:pt>
                <c:pt idx="6">
                  <c:v>86.915224999999992</c:v>
                </c:pt>
                <c:pt idx="7">
                  <c:v>83.954719880546079</c:v>
                </c:pt>
                <c:pt idx="8">
                  <c:v>8.7600000000000016</c:v>
                </c:pt>
                <c:pt idx="9">
                  <c:v>9.76</c:v>
                </c:pt>
                <c:pt idx="10">
                  <c:v>14.33</c:v>
                </c:pt>
                <c:pt idx="11">
                  <c:v>78.329760153583621</c:v>
                </c:pt>
                <c:pt idx="12">
                  <c:v>21.66</c:v>
                </c:pt>
                <c:pt idx="13">
                  <c:v>6.29</c:v>
                </c:pt>
                <c:pt idx="14">
                  <c:v>6.8500000000000005</c:v>
                </c:pt>
                <c:pt idx="15">
                  <c:v>78.625810665529002</c:v>
                </c:pt>
                <c:pt idx="16">
                  <c:v>82.326442064846418</c:v>
                </c:pt>
                <c:pt idx="17">
                  <c:v>77.885684385665527</c:v>
                </c:pt>
                <c:pt idx="18">
                  <c:v>87.803376535836179</c:v>
                </c:pt>
                <c:pt idx="19">
                  <c:v>6.45</c:v>
                </c:pt>
                <c:pt idx="20">
                  <c:v>53.609542406143341</c:v>
                </c:pt>
                <c:pt idx="21">
                  <c:v>61.010805204778158</c:v>
                </c:pt>
                <c:pt idx="22">
                  <c:v>53.165466638225254</c:v>
                </c:pt>
                <c:pt idx="23">
                  <c:v>59.678577901023885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DF-410A-B086-FD13978DA1C9}"/>
            </c:ext>
          </c:extLst>
        </c:ser>
        <c:ser>
          <c:idx val="3"/>
          <c:order val="3"/>
          <c:tx>
            <c:strRef>
              <c:f>MineralAnalysis!$CZ$6</c:f>
              <c:strCache>
                <c:ptCount val="1"/>
                <c:pt idx="0">
                  <c:v>K%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MineralAnalysis!$CU$7:$CU$30</c:f>
              <c:strCache>
                <c:ptCount val="24"/>
                <c:pt idx="0">
                  <c:v>surface halite 29-1 </c:v>
                </c:pt>
                <c:pt idx="1">
                  <c:v>surface halite 12B-1 </c:v>
                </c:pt>
                <c:pt idx="2">
                  <c:v>surface halite 33-1 </c:v>
                </c:pt>
                <c:pt idx="3">
                  <c:v>surface halite 35-1 </c:v>
                </c:pt>
                <c:pt idx="4">
                  <c:v>surface halite 56-1 </c:v>
                </c:pt>
                <c:pt idx="5">
                  <c:v>surface halite 67B-1 </c:v>
                </c:pt>
                <c:pt idx="6">
                  <c:v>surface halite 46-1 </c:v>
                </c:pt>
                <c:pt idx="7">
                  <c:v>surface halite 41-1 </c:v>
                </c:pt>
                <c:pt idx="8">
                  <c:v>upper gypsum 29-2 </c:v>
                </c:pt>
                <c:pt idx="9">
                  <c:v>upper gypsum 12B-2 </c:v>
                </c:pt>
                <c:pt idx="10">
                  <c:v>upper gypsum 33-2 </c:v>
                </c:pt>
                <c:pt idx="11">
                  <c:v>upper gypsum 56-2 </c:v>
                </c:pt>
                <c:pt idx="12">
                  <c:v>upper gypsum 67B-2 </c:v>
                </c:pt>
                <c:pt idx="13">
                  <c:v>upper gypsum 46-2 </c:v>
                </c:pt>
                <c:pt idx="14">
                  <c:v>upper gypsum 41-2 </c:v>
                </c:pt>
                <c:pt idx="15">
                  <c:v>lower halite 29-3 </c:v>
                </c:pt>
                <c:pt idx="16">
                  <c:v>lower halite 35-2 </c:v>
                </c:pt>
                <c:pt idx="17">
                  <c:v>lower halite 35-3 </c:v>
                </c:pt>
                <c:pt idx="18">
                  <c:v>lower halite 56-3 </c:v>
                </c:pt>
                <c:pt idx="19">
                  <c:v>lower gypsum 12B-3 </c:v>
                </c:pt>
                <c:pt idx="20">
                  <c:v>lower gypsum 56-4 </c:v>
                </c:pt>
                <c:pt idx="21">
                  <c:v>lower halite and gypsum 12B-4 </c:v>
                </c:pt>
                <c:pt idx="22">
                  <c:v>lower halite and gypsum 33-3 </c:v>
                </c:pt>
                <c:pt idx="23">
                  <c:v>lower halite and gypsum 67B-3 </c:v>
                </c:pt>
              </c:strCache>
            </c:strRef>
          </c:cat>
          <c:val>
            <c:numRef>
              <c:f>MineralAnalysis!$CZ$7:$CZ$30</c:f>
              <c:numCache>
                <c:formatCode>General</c:formatCode>
                <c:ptCount val="24"/>
                <c:pt idx="0">
                  <c:v>0.17</c:v>
                </c:pt>
                <c:pt idx="1">
                  <c:v>0.26</c:v>
                </c:pt>
                <c:pt idx="2">
                  <c:v>0.12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0.21</c:v>
                </c:pt>
                <c:pt idx="6">
                  <c:v>0.11</c:v>
                </c:pt>
                <c:pt idx="7">
                  <c:v>0.16</c:v>
                </c:pt>
                <c:pt idx="8">
                  <c:v>0.19</c:v>
                </c:pt>
                <c:pt idx="9">
                  <c:v>0.18</c:v>
                </c:pt>
                <c:pt idx="10">
                  <c:v>0.28999999999999998</c:v>
                </c:pt>
                <c:pt idx="11">
                  <c:v>0.19</c:v>
                </c:pt>
                <c:pt idx="12">
                  <c:v>0.13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0.05</c:v>
                </c:pt>
                <c:pt idx="16">
                  <c:v>0.14000000000000001</c:v>
                </c:pt>
                <c:pt idx="17">
                  <c:v>0.09</c:v>
                </c:pt>
                <c:pt idx="18">
                  <c:v>0.09</c:v>
                </c:pt>
                <c:pt idx="19">
                  <c:v>0.18</c:v>
                </c:pt>
                <c:pt idx="20">
                  <c:v>0.16</c:v>
                </c:pt>
                <c:pt idx="21">
                  <c:v>0.08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F-410A-B086-FD13978DA1C9}"/>
            </c:ext>
          </c:extLst>
        </c:ser>
        <c:ser>
          <c:idx val="4"/>
          <c:order val="4"/>
          <c:tx>
            <c:strRef>
              <c:f>MineralAnalysis!$DA$6</c:f>
              <c:strCache>
                <c:ptCount val="1"/>
                <c:pt idx="0">
                  <c:v>P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MineralAnalysis!$CU$7:$CU$30</c:f>
              <c:strCache>
                <c:ptCount val="24"/>
                <c:pt idx="0">
                  <c:v>surface halite 29-1 </c:v>
                </c:pt>
                <c:pt idx="1">
                  <c:v>surface halite 12B-1 </c:v>
                </c:pt>
                <c:pt idx="2">
                  <c:v>surface halite 33-1 </c:v>
                </c:pt>
                <c:pt idx="3">
                  <c:v>surface halite 35-1 </c:v>
                </c:pt>
                <c:pt idx="4">
                  <c:v>surface halite 56-1 </c:v>
                </c:pt>
                <c:pt idx="5">
                  <c:v>surface halite 67B-1 </c:v>
                </c:pt>
                <c:pt idx="6">
                  <c:v>surface halite 46-1 </c:v>
                </c:pt>
                <c:pt idx="7">
                  <c:v>surface halite 41-1 </c:v>
                </c:pt>
                <c:pt idx="8">
                  <c:v>upper gypsum 29-2 </c:v>
                </c:pt>
                <c:pt idx="9">
                  <c:v>upper gypsum 12B-2 </c:v>
                </c:pt>
                <c:pt idx="10">
                  <c:v>upper gypsum 33-2 </c:v>
                </c:pt>
                <c:pt idx="11">
                  <c:v>upper gypsum 56-2 </c:v>
                </c:pt>
                <c:pt idx="12">
                  <c:v>upper gypsum 67B-2 </c:v>
                </c:pt>
                <c:pt idx="13">
                  <c:v>upper gypsum 46-2 </c:v>
                </c:pt>
                <c:pt idx="14">
                  <c:v>upper gypsum 41-2 </c:v>
                </c:pt>
                <c:pt idx="15">
                  <c:v>lower halite 29-3 </c:v>
                </c:pt>
                <c:pt idx="16">
                  <c:v>lower halite 35-2 </c:v>
                </c:pt>
                <c:pt idx="17">
                  <c:v>lower halite 35-3 </c:v>
                </c:pt>
                <c:pt idx="18">
                  <c:v>lower halite 56-3 </c:v>
                </c:pt>
                <c:pt idx="19">
                  <c:v>lower gypsum 12B-3 </c:v>
                </c:pt>
                <c:pt idx="20">
                  <c:v>lower gypsum 56-4 </c:v>
                </c:pt>
                <c:pt idx="21">
                  <c:v>lower halite and gypsum 12B-4 </c:v>
                </c:pt>
                <c:pt idx="22">
                  <c:v>lower halite and gypsum 33-3 </c:v>
                </c:pt>
                <c:pt idx="23">
                  <c:v>lower halite and gypsum 67B-3 </c:v>
                </c:pt>
              </c:strCache>
            </c:strRef>
          </c:cat>
          <c:val>
            <c:numRef>
              <c:f>MineralAnalysis!$DA$7:$DA$30</c:f>
              <c:numCache>
                <c:formatCode>General</c:formatCode>
                <c:ptCount val="24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1.6E-2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DF-410A-B086-FD13978D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958192"/>
        <c:axId val="650958520"/>
      </c:barChart>
      <c:catAx>
        <c:axId val="6509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58520"/>
        <c:crosses val="autoZero"/>
        <c:auto val="1"/>
        <c:lblAlgn val="ctr"/>
        <c:lblOffset val="100"/>
        <c:noMultiLvlLbl val="0"/>
      </c:catAx>
      <c:valAx>
        <c:axId val="6509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Sample Site Mineral Composition </a:t>
            </a:r>
          </a:p>
        </c:rich>
      </c:tx>
      <c:layout>
        <c:manualLayout>
          <c:xMode val="edge"/>
          <c:yMode val="edge"/>
          <c:x val="0.2510188109240365"/>
          <c:y val="3.2692674779288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8896491015989"/>
          <c:y val="0.10600722489750805"/>
          <c:w val="0.85902956272703879"/>
          <c:h val="0.874649829951065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MineralAnalysis!$CW$6</c:f>
              <c:strCache>
                <c:ptCount val="1"/>
                <c:pt idx="0">
                  <c:v>gypsum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MineralAnalysis!$CV$7:$CV$30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MineralAnalysis!$CW$7:$CW$30</c:f>
              <c:numCache>
                <c:formatCode>General</c:formatCode>
                <c:ptCount val="24"/>
                <c:pt idx="0">
                  <c:v>8.9903548189856064</c:v>
                </c:pt>
                <c:pt idx="1">
                  <c:v>26.881124565122441</c:v>
                </c:pt>
                <c:pt idx="2">
                  <c:v>1.8593235383666979</c:v>
                </c:pt>
                <c:pt idx="3">
                  <c:v>2.0004297470988761</c:v>
                </c:pt>
                <c:pt idx="4">
                  <c:v>2.4524624965941872</c:v>
                </c:pt>
                <c:pt idx="5">
                  <c:v>15.134296083823616</c:v>
                </c:pt>
                <c:pt idx="6">
                  <c:v>5.0457398308247745</c:v>
                </c:pt>
                <c:pt idx="7">
                  <c:v>5.1459518749297724</c:v>
                </c:pt>
                <c:pt idx="8">
                  <c:v>36.615652885267281</c:v>
                </c:pt>
                <c:pt idx="9">
                  <c:v>38.917267316074934</c:v>
                </c:pt>
                <c:pt idx="10">
                  <c:v>28.835210642464467</c:v>
                </c:pt>
                <c:pt idx="11">
                  <c:v>9.970917757458631</c:v>
                </c:pt>
                <c:pt idx="12">
                  <c:v>39.06893704817351</c:v>
                </c:pt>
                <c:pt idx="13">
                  <c:v>32.441561515535433</c:v>
                </c:pt>
                <c:pt idx="14">
                  <c:v>34.077966611729259</c:v>
                </c:pt>
                <c:pt idx="15">
                  <c:v>14.050403248139546</c:v>
                </c:pt>
                <c:pt idx="16">
                  <c:v>8.4063042724681196</c:v>
                </c:pt>
                <c:pt idx="17">
                  <c:v>13.764154384616651</c:v>
                </c:pt>
                <c:pt idx="18">
                  <c:v>4.0520520345832081</c:v>
                </c:pt>
                <c:pt idx="19">
                  <c:v>38.013563891332879</c:v>
                </c:pt>
                <c:pt idx="20">
                  <c:v>32.454909360548271</c:v>
                </c:pt>
                <c:pt idx="21">
                  <c:v>27.949693282884414</c:v>
                </c:pt>
                <c:pt idx="22">
                  <c:v>33.364318196286142</c:v>
                </c:pt>
                <c:pt idx="23">
                  <c:v>28.988240986658905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466B-9405-F86BD3C5DC83}"/>
            </c:ext>
          </c:extLst>
        </c:ser>
        <c:ser>
          <c:idx val="1"/>
          <c:order val="1"/>
          <c:tx>
            <c:strRef>
              <c:f>MineralAnalysis!$CX$6</c:f>
              <c:strCache>
                <c:ptCount val="1"/>
                <c:pt idx="0">
                  <c:v>clay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MineralAnalysis!$CV$7:$CV$30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MineralAnalysis!$CX$7:$CX$30</c:f>
              <c:numCache>
                <c:formatCode>General</c:formatCode>
                <c:ptCount val="24"/>
                <c:pt idx="0">
                  <c:v>0.13</c:v>
                </c:pt>
                <c:pt idx="1">
                  <c:v>0.35</c:v>
                </c:pt>
                <c:pt idx="2">
                  <c:v>6.9999999999999993E-2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0.19999999999999998</c:v>
                </c:pt>
                <c:pt idx="6">
                  <c:v>0.14000000000000001</c:v>
                </c:pt>
                <c:pt idx="7">
                  <c:v>0.12000000000000001</c:v>
                </c:pt>
                <c:pt idx="8">
                  <c:v>0.53</c:v>
                </c:pt>
                <c:pt idx="9">
                  <c:v>0.49</c:v>
                </c:pt>
                <c:pt idx="10">
                  <c:v>0.98000000000000009</c:v>
                </c:pt>
                <c:pt idx="11">
                  <c:v>0.23</c:v>
                </c:pt>
                <c:pt idx="12">
                  <c:v>0.30000000000000004</c:v>
                </c:pt>
                <c:pt idx="13">
                  <c:v>1.66</c:v>
                </c:pt>
                <c:pt idx="14">
                  <c:v>0.49</c:v>
                </c:pt>
                <c:pt idx="15">
                  <c:v>0.08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6.0000000000000005E-2</c:v>
                </c:pt>
                <c:pt idx="19">
                  <c:v>0.58000000000000007</c:v>
                </c:pt>
                <c:pt idx="20">
                  <c:v>0.3</c:v>
                </c:pt>
                <c:pt idx="21">
                  <c:v>0.18000000000000002</c:v>
                </c:pt>
                <c:pt idx="22">
                  <c:v>0.31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C-466B-9405-F86BD3C5DC83}"/>
            </c:ext>
          </c:extLst>
        </c:ser>
        <c:ser>
          <c:idx val="2"/>
          <c:order val="2"/>
          <c:tx>
            <c:strRef>
              <c:f>MineralAnalysis!$CY$6</c:f>
              <c:strCache>
                <c:ptCount val="1"/>
                <c:pt idx="0">
                  <c:v>halite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MineralAnalysis!$CV$7:$CV$30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MineralAnalysis!$CY$7:$CY$30</c:f>
              <c:numCache>
                <c:formatCode>General</c:formatCode>
                <c:ptCount val="24"/>
                <c:pt idx="0">
                  <c:v>80.10606322525598</c:v>
                </c:pt>
                <c:pt idx="1">
                  <c:v>61.75093148464164</c:v>
                </c:pt>
                <c:pt idx="2">
                  <c:v>90.911906911262804</c:v>
                </c:pt>
                <c:pt idx="3">
                  <c:v>88.691528071672366</c:v>
                </c:pt>
                <c:pt idx="4">
                  <c:v>85.286947184300345</c:v>
                </c:pt>
                <c:pt idx="5">
                  <c:v>64.56341134812287</c:v>
                </c:pt>
                <c:pt idx="6">
                  <c:v>86.915224999999992</c:v>
                </c:pt>
                <c:pt idx="7">
                  <c:v>83.954719880546079</c:v>
                </c:pt>
                <c:pt idx="8">
                  <c:v>8.7600000000000016</c:v>
                </c:pt>
                <c:pt idx="9">
                  <c:v>9.76</c:v>
                </c:pt>
                <c:pt idx="10">
                  <c:v>14.33</c:v>
                </c:pt>
                <c:pt idx="11">
                  <c:v>78.329760153583621</c:v>
                </c:pt>
                <c:pt idx="12">
                  <c:v>21.66</c:v>
                </c:pt>
                <c:pt idx="13">
                  <c:v>6.29</c:v>
                </c:pt>
                <c:pt idx="14">
                  <c:v>6.8500000000000005</c:v>
                </c:pt>
                <c:pt idx="15">
                  <c:v>78.625810665529002</c:v>
                </c:pt>
                <c:pt idx="16">
                  <c:v>82.326442064846418</c:v>
                </c:pt>
                <c:pt idx="17">
                  <c:v>77.885684385665527</c:v>
                </c:pt>
                <c:pt idx="18">
                  <c:v>87.803376535836179</c:v>
                </c:pt>
                <c:pt idx="19">
                  <c:v>6.45</c:v>
                </c:pt>
                <c:pt idx="20">
                  <c:v>53.609542406143341</c:v>
                </c:pt>
                <c:pt idx="21">
                  <c:v>61.010805204778158</c:v>
                </c:pt>
                <c:pt idx="22">
                  <c:v>53.165466638225254</c:v>
                </c:pt>
                <c:pt idx="23">
                  <c:v>59.678577901023885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C-466B-9405-F86BD3C5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650958192"/>
        <c:axId val="650958520"/>
      </c:barChart>
      <c:catAx>
        <c:axId val="650958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58520"/>
        <c:crosses val="autoZero"/>
        <c:auto val="1"/>
        <c:lblAlgn val="ctr"/>
        <c:lblOffset val="100"/>
        <c:noMultiLvlLbl val="0"/>
      </c:catAx>
      <c:valAx>
        <c:axId val="650958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weight percent</a:t>
                </a:r>
              </a:p>
            </c:rich>
          </c:tx>
          <c:layout>
            <c:manualLayout>
              <c:xMode val="edge"/>
              <c:yMode val="edge"/>
              <c:x val="0.47142779440043109"/>
              <c:y val="3.7342996898115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06425353252478"/>
          <c:y val="0.54353758052970647"/>
          <c:w val="0.12717856160728558"/>
          <c:h val="0.1064623001670245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</a:t>
            </a:r>
            <a:r>
              <a:rPr lang="en-US" baseline="0"/>
              <a:t> % and missing to make 100%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MineralAnalysis!$CS$6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MineralAnalysis!$CS$7:$CS$30</c:f>
              <c:numCache>
                <c:formatCode>General</c:formatCode>
                <c:ptCount val="24"/>
                <c:pt idx="0">
                  <c:v>89.396418044241585</c:v>
                </c:pt>
                <c:pt idx="1">
                  <c:v>89.245056049764074</c:v>
                </c:pt>
                <c:pt idx="2">
                  <c:v>92.961230449629511</c:v>
                </c:pt>
                <c:pt idx="3">
                  <c:v>91.121957818771236</c:v>
                </c:pt>
                <c:pt idx="4">
                  <c:v>88.119409680894535</c:v>
                </c:pt>
                <c:pt idx="5">
                  <c:v>80.108707431946485</c:v>
                </c:pt>
                <c:pt idx="6">
                  <c:v>92.210964830824764</c:v>
                </c:pt>
                <c:pt idx="7">
                  <c:v>89.380671755475845</c:v>
                </c:pt>
                <c:pt idx="8">
                  <c:v>46.101652885267271</c:v>
                </c:pt>
                <c:pt idx="9">
                  <c:v>49.353267316074934</c:v>
                </c:pt>
                <c:pt idx="10">
                  <c:v>44.445210642464467</c:v>
                </c:pt>
                <c:pt idx="11">
                  <c:v>88.722677911042254</c:v>
                </c:pt>
                <c:pt idx="12">
                  <c:v>61.161937048173513</c:v>
                </c:pt>
                <c:pt idx="13">
                  <c:v>40.687561515535428</c:v>
                </c:pt>
                <c:pt idx="14">
                  <c:v>41.602966611729265</c:v>
                </c:pt>
                <c:pt idx="15">
                  <c:v>92.806213913668557</c:v>
                </c:pt>
                <c:pt idx="16">
                  <c:v>91.03374633731454</c:v>
                </c:pt>
                <c:pt idx="17">
                  <c:v>91.880838770282182</c:v>
                </c:pt>
                <c:pt idx="18">
                  <c:v>92.005428570419383</c:v>
                </c:pt>
                <c:pt idx="19">
                  <c:v>45.230563891332878</c:v>
                </c:pt>
                <c:pt idx="20">
                  <c:v>86.527451766691613</c:v>
                </c:pt>
                <c:pt idx="21">
                  <c:v>89.222498487662577</c:v>
                </c:pt>
                <c:pt idx="22">
                  <c:v>87.061784834511386</c:v>
                </c:pt>
                <c:pt idx="23">
                  <c:v>88.868818887682792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MineralAnalysis!#REF!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F89-4F40-9274-B5A50D7EBC30}"/>
            </c:ext>
          </c:extLst>
        </c:ser>
        <c:ser>
          <c:idx val="1"/>
          <c:order val="1"/>
          <c:tx>
            <c:strRef>
              <c:f>MineralAnalysis!$CT$6</c:f>
              <c:strCache>
                <c:ptCount val="1"/>
                <c:pt idx="0">
                  <c:v>*missing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MineralAnalysis!$CT$7:$CT$30</c:f>
              <c:numCache>
                <c:formatCode>General</c:formatCode>
                <c:ptCount val="24"/>
                <c:pt idx="0">
                  <c:v>10.603581955758415</c:v>
                </c:pt>
                <c:pt idx="1">
                  <c:v>10.754943950235926</c:v>
                </c:pt>
                <c:pt idx="2">
                  <c:v>7.038769550370489</c:v>
                </c:pt>
                <c:pt idx="3">
                  <c:v>8.8780421812287642</c:v>
                </c:pt>
                <c:pt idx="4">
                  <c:v>11.880590319105465</c:v>
                </c:pt>
                <c:pt idx="5">
                  <c:v>19.891292568053515</c:v>
                </c:pt>
                <c:pt idx="6">
                  <c:v>7.7890351691752358</c:v>
                </c:pt>
                <c:pt idx="7">
                  <c:v>10.619328244524155</c:v>
                </c:pt>
                <c:pt idx="8">
                  <c:v>53.898347114732729</c:v>
                </c:pt>
                <c:pt idx="9">
                  <c:v>50.646732683925066</c:v>
                </c:pt>
                <c:pt idx="10">
                  <c:v>55.554789357535533</c:v>
                </c:pt>
                <c:pt idx="11">
                  <c:v>11.277322088957746</c:v>
                </c:pt>
                <c:pt idx="12">
                  <c:v>38.838062951826487</c:v>
                </c:pt>
                <c:pt idx="13">
                  <c:v>59.312438484464572</c:v>
                </c:pt>
                <c:pt idx="14">
                  <c:v>58.397033388270735</c:v>
                </c:pt>
                <c:pt idx="15">
                  <c:v>7.1937860863314427</c:v>
                </c:pt>
                <c:pt idx="16">
                  <c:v>8.9662536626854603</c:v>
                </c:pt>
                <c:pt idx="17">
                  <c:v>8.1191612297178182</c:v>
                </c:pt>
                <c:pt idx="18">
                  <c:v>7.994571429580617</c:v>
                </c:pt>
                <c:pt idx="19">
                  <c:v>54.769436108667122</c:v>
                </c:pt>
                <c:pt idx="20">
                  <c:v>13.472548233308387</c:v>
                </c:pt>
                <c:pt idx="21">
                  <c:v>10.777501512337423</c:v>
                </c:pt>
                <c:pt idx="22">
                  <c:v>12.938215165488614</c:v>
                </c:pt>
                <c:pt idx="23">
                  <c:v>11.131181112317208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MineralAnalysis!#REF!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F89-4F40-9274-B5A50D7E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00"/>
        <c:axId val="1483488616"/>
        <c:axId val="1483488288"/>
      </c:barChart>
      <c:catAx>
        <c:axId val="148348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88288"/>
        <c:crosses val="autoZero"/>
        <c:auto val="1"/>
        <c:lblAlgn val="ctr"/>
        <c:lblOffset val="100"/>
        <c:noMultiLvlLbl val="0"/>
      </c:catAx>
      <c:valAx>
        <c:axId val="14834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8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halite and upper gyp?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TraceElementAnalysis!$D$47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TraceElementAnalysis!$B$48:$B$71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TraceElementAnalysis!$D$48:$D$71</c:f>
              <c:numCache>
                <c:formatCode>General</c:formatCode>
                <c:ptCount val="24"/>
                <c:pt idx="0">
                  <c:v>0.17</c:v>
                </c:pt>
                <c:pt idx="1">
                  <c:v>0.26</c:v>
                </c:pt>
                <c:pt idx="2">
                  <c:v>0.12</c:v>
                </c:pt>
                <c:pt idx="3">
                  <c:v>0.28999999999999998</c:v>
                </c:pt>
                <c:pt idx="5">
                  <c:v>0.21</c:v>
                </c:pt>
                <c:pt idx="6">
                  <c:v>0.11</c:v>
                </c:pt>
                <c:pt idx="7">
                  <c:v>0.16</c:v>
                </c:pt>
                <c:pt idx="8">
                  <c:v>0.19</c:v>
                </c:pt>
                <c:pt idx="9">
                  <c:v>0.18</c:v>
                </c:pt>
                <c:pt idx="10">
                  <c:v>0.28999999999999998</c:v>
                </c:pt>
                <c:pt idx="11">
                  <c:v>0.19</c:v>
                </c:pt>
                <c:pt idx="12">
                  <c:v>0.13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0.05</c:v>
                </c:pt>
                <c:pt idx="16">
                  <c:v>0.14000000000000001</c:v>
                </c:pt>
                <c:pt idx="17">
                  <c:v>0.09</c:v>
                </c:pt>
                <c:pt idx="18">
                  <c:v>0.09</c:v>
                </c:pt>
                <c:pt idx="19">
                  <c:v>0.08</c:v>
                </c:pt>
                <c:pt idx="20">
                  <c:v>0.22</c:v>
                </c:pt>
                <c:pt idx="21">
                  <c:v>7.0000000000000007E-2</c:v>
                </c:pt>
                <c:pt idx="22">
                  <c:v>0.18</c:v>
                </c:pt>
                <c:pt idx="2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5-44DB-BFF4-8433C062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2"/>
        <c:axId val="700148544"/>
        <c:axId val="700144936"/>
      </c:barChart>
      <c:barChart>
        <c:barDir val="col"/>
        <c:grouping val="clustered"/>
        <c:varyColors val="0"/>
        <c:ser>
          <c:idx val="0"/>
          <c:order val="0"/>
          <c:tx>
            <c:strRef>
              <c:f>TraceElementAnalysis!$C$47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TraceElementAnalysis!$B$48:$B$71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TraceElementAnalysis!$C$48:$C$71</c:f>
              <c:numCache>
                <c:formatCode>General</c:formatCode>
                <c:ptCount val="24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5">
                  <c:v>18</c:v>
                </c:pt>
                <c:pt idx="6">
                  <c:v>17</c:v>
                </c:pt>
                <c:pt idx="7">
                  <c:v>0</c:v>
                </c:pt>
                <c:pt idx="8">
                  <c:v>30</c:v>
                </c:pt>
                <c:pt idx="9">
                  <c:v>44</c:v>
                </c:pt>
                <c:pt idx="10">
                  <c:v>50</c:v>
                </c:pt>
                <c:pt idx="11">
                  <c:v>27</c:v>
                </c:pt>
                <c:pt idx="12">
                  <c:v>16</c:v>
                </c:pt>
                <c:pt idx="13">
                  <c:v>79</c:v>
                </c:pt>
                <c:pt idx="14">
                  <c:v>20</c:v>
                </c:pt>
                <c:pt idx="15">
                  <c:v>0</c:v>
                </c:pt>
                <c:pt idx="16">
                  <c:v>13</c:v>
                </c:pt>
                <c:pt idx="17">
                  <c:v>6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7</c:v>
                </c:pt>
                <c:pt idx="22">
                  <c:v>26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5-44DB-BFF4-8433C062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321488"/>
        <c:axId val="1152325096"/>
      </c:barChart>
      <c:catAx>
        <c:axId val="7001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44936"/>
        <c:crosses val="autoZero"/>
        <c:auto val="1"/>
        <c:lblAlgn val="ctr"/>
        <c:lblOffset val="100"/>
        <c:noMultiLvlLbl val="1"/>
      </c:catAx>
      <c:valAx>
        <c:axId val="7001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48544"/>
        <c:crosses val="autoZero"/>
        <c:crossBetween val="between"/>
      </c:valAx>
      <c:valAx>
        <c:axId val="1152325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21488"/>
        <c:crosses val="max"/>
        <c:crossBetween val="between"/>
      </c:valAx>
      <c:catAx>
        <c:axId val="115232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2325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and lower gypsum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TraceElementAnalysis!$L$47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TraceElementAnalysis!$K$48:$K$71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TraceElementAnalysis!$L$48:$L$71</c:f>
              <c:numCache>
                <c:formatCode>General</c:formatCode>
                <c:ptCount val="24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1.6E-2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7.0000000000000001E-3</c:v>
                </c:pt>
                <c:pt idx="23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C-4BFC-9F8A-9992B6A318D0}"/>
            </c:ext>
          </c:extLst>
        </c:ser>
        <c:ser>
          <c:idx val="1"/>
          <c:order val="1"/>
          <c:tx>
            <c:strRef>
              <c:f>TraceElementAnalysis!$M$47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TraceElementAnalysis!$K$48:$K$71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TraceElementAnalysis!$M$48:$M$71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C-4BFC-9F8A-9992B6A318D0}"/>
            </c:ext>
          </c:extLst>
        </c:ser>
        <c:ser>
          <c:idx val="3"/>
          <c:order val="3"/>
          <c:tx>
            <c:strRef>
              <c:f>TraceElementAnalysis!$O$47</c:f>
              <c:strCache>
                <c:ptCount val="1"/>
                <c:pt idx="0">
                  <c:v>Zr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TraceElementAnalysis!$K$48:$K$71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TraceElementAnalysis!$O$48:$O$71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C-4BFC-9F8A-9992B6A318D0}"/>
            </c:ext>
          </c:extLst>
        </c:ser>
        <c:ser>
          <c:idx val="2"/>
          <c:order val="2"/>
          <c:tx>
            <c:strRef>
              <c:f>TraceElementAnalysis!$N$47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TraceElementAnalysis!$K$48:$K$71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TraceElementAnalysis!$N$48:$N$71</c:f>
              <c:numCache>
                <c:formatCode>General</c:formatCode>
                <c:ptCount val="24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</c:v>
                </c:pt>
                <c:pt idx="9">
                  <c:v>22</c:v>
                </c:pt>
                <c:pt idx="10">
                  <c:v>48</c:v>
                </c:pt>
                <c:pt idx="11">
                  <c:v>12</c:v>
                </c:pt>
                <c:pt idx="12">
                  <c:v>20</c:v>
                </c:pt>
                <c:pt idx="13">
                  <c:v>51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15</c:v>
                </c:pt>
                <c:pt idx="20">
                  <c:v>29</c:v>
                </c:pt>
                <c:pt idx="21">
                  <c:v>12</c:v>
                </c:pt>
                <c:pt idx="22">
                  <c:v>25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C-4BFC-9F8A-9992B6A3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188760"/>
        <c:axId val="836187776"/>
      </c:barChart>
      <c:catAx>
        <c:axId val="8361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7776"/>
        <c:crosses val="autoZero"/>
        <c:auto val="1"/>
        <c:lblAlgn val="ctr"/>
        <c:lblOffset val="100"/>
        <c:noMultiLvlLbl val="0"/>
      </c:catAx>
      <c:valAx>
        <c:axId val="8361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Maybe something?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7171296296296298"/>
          <c:w val="0.85417147856517939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TraceElementAnalysis!$T$47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TraceElementAnalysis!$R$48:$R$71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TraceElementAnalysis!$T$48:$T$71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F-4F51-B3F3-2A8FA176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055256"/>
        <c:axId val="2037056240"/>
      </c:barChart>
      <c:barChart>
        <c:barDir val="col"/>
        <c:grouping val="clustered"/>
        <c:varyColors val="0"/>
        <c:ser>
          <c:idx val="0"/>
          <c:order val="0"/>
          <c:tx>
            <c:strRef>
              <c:f>TraceElementAnalysis!$S$47</c:f>
              <c:strCache>
                <c:ptCount val="1"/>
                <c:pt idx="0">
                  <c:v>Sr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TraceElementAnalysis!$R$48:$R$71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TraceElementAnalysis!$S$48:$S$71</c:f>
              <c:numCache>
                <c:formatCode>General</c:formatCode>
                <c:ptCount val="24"/>
                <c:pt idx="0">
                  <c:v>105</c:v>
                </c:pt>
                <c:pt idx="1">
                  <c:v>260</c:v>
                </c:pt>
                <c:pt idx="2">
                  <c:v>39</c:v>
                </c:pt>
                <c:pt idx="3">
                  <c:v>55</c:v>
                </c:pt>
                <c:pt idx="5">
                  <c:v>167</c:v>
                </c:pt>
                <c:pt idx="6">
                  <c:v>83</c:v>
                </c:pt>
                <c:pt idx="7">
                  <c:v>85</c:v>
                </c:pt>
                <c:pt idx="8">
                  <c:v>398</c:v>
                </c:pt>
                <c:pt idx="9">
                  <c:v>344</c:v>
                </c:pt>
                <c:pt idx="10">
                  <c:v>747</c:v>
                </c:pt>
                <c:pt idx="11">
                  <c:v>143</c:v>
                </c:pt>
                <c:pt idx="12">
                  <c:v>526</c:v>
                </c:pt>
                <c:pt idx="13">
                  <c:v>928</c:v>
                </c:pt>
                <c:pt idx="14">
                  <c:v>451</c:v>
                </c:pt>
                <c:pt idx="15">
                  <c:v>147</c:v>
                </c:pt>
                <c:pt idx="16">
                  <c:v>101</c:v>
                </c:pt>
                <c:pt idx="17">
                  <c:v>152</c:v>
                </c:pt>
                <c:pt idx="18">
                  <c:v>71</c:v>
                </c:pt>
                <c:pt idx="19">
                  <c:v>230</c:v>
                </c:pt>
                <c:pt idx="20">
                  <c:v>714</c:v>
                </c:pt>
                <c:pt idx="21">
                  <c:v>260</c:v>
                </c:pt>
                <c:pt idx="22">
                  <c:v>337</c:v>
                </c:pt>
                <c:pt idx="23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F-4F51-B3F3-2A8FA1765FF8}"/>
            </c:ext>
          </c:extLst>
        </c:ser>
        <c:ser>
          <c:idx val="2"/>
          <c:order val="2"/>
          <c:tx>
            <c:strRef>
              <c:f>TraceElementAnalysis!$U$47</c:f>
              <c:strCache>
                <c:ptCount val="1"/>
                <c:pt idx="0">
                  <c:v>Zn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TraceElementAnalysis!$R$48:$R$71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TraceElementAnalysis!$U$48:$U$71</c:f>
              <c:numCache>
                <c:formatCode>General</c:formatCode>
                <c:ptCount val="24"/>
                <c:pt idx="0">
                  <c:v>0</c:v>
                </c:pt>
                <c:pt idx="1">
                  <c:v>13</c:v>
                </c:pt>
                <c:pt idx="2">
                  <c:v>7</c:v>
                </c:pt>
                <c:pt idx="3">
                  <c:v>9</c:v>
                </c:pt>
                <c:pt idx="5">
                  <c:v>0</c:v>
                </c:pt>
                <c:pt idx="6">
                  <c:v>351</c:v>
                </c:pt>
                <c:pt idx="7">
                  <c:v>0</c:v>
                </c:pt>
                <c:pt idx="8">
                  <c:v>3</c:v>
                </c:pt>
                <c:pt idx="9">
                  <c:v>537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11</c:v>
                </c:pt>
                <c:pt idx="14">
                  <c:v>3</c:v>
                </c:pt>
                <c:pt idx="15">
                  <c:v>87</c:v>
                </c:pt>
                <c:pt idx="16">
                  <c:v>0</c:v>
                </c:pt>
                <c:pt idx="17">
                  <c:v>114</c:v>
                </c:pt>
                <c:pt idx="18">
                  <c:v>0</c:v>
                </c:pt>
                <c:pt idx="19">
                  <c:v>35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F-4F51-B3F3-2A8FA176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9"/>
        <c:axId val="1826718344"/>
        <c:axId val="1826721296"/>
      </c:barChart>
      <c:catAx>
        <c:axId val="20370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56240"/>
        <c:crosses val="autoZero"/>
        <c:auto val="1"/>
        <c:lblAlgn val="ctr"/>
        <c:lblOffset val="100"/>
        <c:noMultiLvlLbl val="0"/>
      </c:catAx>
      <c:valAx>
        <c:axId val="2037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55256"/>
        <c:crosses val="autoZero"/>
        <c:crossBetween val="between"/>
      </c:valAx>
      <c:valAx>
        <c:axId val="1826721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18344"/>
        <c:crosses val="max"/>
        <c:crossBetween val="between"/>
      </c:valAx>
      <c:catAx>
        <c:axId val="1826718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6721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MineralAnalysis!$CG$6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MineralAnalysis!$CG$7:$CG$30</c:f>
              <c:numCache>
                <c:formatCode>General</c:formatCode>
                <c:ptCount val="24"/>
                <c:pt idx="0">
                  <c:v>1.67</c:v>
                </c:pt>
                <c:pt idx="1">
                  <c:v>5.04</c:v>
                </c:pt>
                <c:pt idx="2">
                  <c:v>0.34</c:v>
                </c:pt>
                <c:pt idx="3">
                  <c:v>0.36</c:v>
                </c:pt>
                <c:pt idx="4">
                  <c:v>0.44</c:v>
                </c:pt>
                <c:pt idx="5">
                  <c:v>2.79</c:v>
                </c:pt>
                <c:pt idx="6">
                  <c:v>0.8</c:v>
                </c:pt>
                <c:pt idx="7">
                  <c:v>0.86</c:v>
                </c:pt>
                <c:pt idx="8">
                  <c:v>6.88</c:v>
                </c:pt>
                <c:pt idx="9">
                  <c:v>7.47</c:v>
                </c:pt>
                <c:pt idx="10">
                  <c:v>5.16</c:v>
                </c:pt>
                <c:pt idx="11">
                  <c:v>1.76</c:v>
                </c:pt>
                <c:pt idx="12">
                  <c:v>7.68</c:v>
                </c:pt>
                <c:pt idx="13">
                  <c:v>4.28</c:v>
                </c:pt>
                <c:pt idx="14">
                  <c:v>6.44</c:v>
                </c:pt>
                <c:pt idx="15">
                  <c:v>2.63</c:v>
                </c:pt>
                <c:pt idx="16">
                  <c:v>1.47</c:v>
                </c:pt>
                <c:pt idx="17">
                  <c:v>2.52</c:v>
                </c:pt>
                <c:pt idx="18">
                  <c:v>0.74</c:v>
                </c:pt>
                <c:pt idx="19">
                  <c:v>7.14</c:v>
                </c:pt>
                <c:pt idx="20">
                  <c:v>6.35</c:v>
                </c:pt>
                <c:pt idx="21">
                  <c:v>5.28</c:v>
                </c:pt>
                <c:pt idx="22">
                  <c:v>6.44</c:v>
                </c:pt>
                <c:pt idx="23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E-47CD-A745-00F4809920F3}"/>
            </c:ext>
          </c:extLst>
        </c:ser>
        <c:ser>
          <c:idx val="1"/>
          <c:order val="1"/>
          <c:tx>
            <c:strRef>
              <c:f>MineralAnalysis!$CK$6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MineralAnalysis!$CK$7:$CK$30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0.12</c:v>
                </c:pt>
                <c:pt idx="9">
                  <c:v>0.11</c:v>
                </c:pt>
                <c:pt idx="10">
                  <c:v>0.19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0.36</c:v>
                </c:pt>
                <c:pt idx="14">
                  <c:v>0.11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</c:v>
                </c:pt>
                <c:pt idx="19">
                  <c:v>0.14000000000000001</c:v>
                </c:pt>
                <c:pt idx="20">
                  <c:v>0.06</c:v>
                </c:pt>
                <c:pt idx="21">
                  <c:v>0.04</c:v>
                </c:pt>
                <c:pt idx="22">
                  <c:v>0.05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E-47CD-A745-00F4809920F3}"/>
            </c:ext>
          </c:extLst>
        </c:ser>
        <c:ser>
          <c:idx val="2"/>
          <c:order val="2"/>
          <c:tx>
            <c:strRef>
              <c:f>MineralAnalysis!$CL$6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MineralAnalysis!$CL$7:$CL$30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0.11</c:v>
                </c:pt>
                <c:pt idx="9">
                  <c:v>0.1</c:v>
                </c:pt>
                <c:pt idx="10">
                  <c:v>0.17</c:v>
                </c:pt>
                <c:pt idx="11">
                  <c:v>0.04</c:v>
                </c:pt>
                <c:pt idx="12">
                  <c:v>0.06</c:v>
                </c:pt>
                <c:pt idx="13">
                  <c:v>0.32</c:v>
                </c:pt>
                <c:pt idx="14">
                  <c:v>0.09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0.01</c:v>
                </c:pt>
                <c:pt idx="19">
                  <c:v>0.12</c:v>
                </c:pt>
                <c:pt idx="20">
                  <c:v>0.06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E-47CD-A745-00F4809920F3}"/>
            </c:ext>
          </c:extLst>
        </c:ser>
        <c:ser>
          <c:idx val="3"/>
          <c:order val="3"/>
          <c:tx>
            <c:strRef>
              <c:f>MineralAnalysis!$CM$6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MineralAnalysis!$CM$7:$CM$30</c:f>
              <c:numCache>
                <c:formatCode>General</c:formatCode>
                <c:ptCount val="24"/>
                <c:pt idx="0">
                  <c:v>0.17</c:v>
                </c:pt>
                <c:pt idx="1">
                  <c:v>0.26</c:v>
                </c:pt>
                <c:pt idx="2">
                  <c:v>0.12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0.21</c:v>
                </c:pt>
                <c:pt idx="6">
                  <c:v>0.11</c:v>
                </c:pt>
                <c:pt idx="7">
                  <c:v>0.16</c:v>
                </c:pt>
                <c:pt idx="8">
                  <c:v>0.19</c:v>
                </c:pt>
                <c:pt idx="9">
                  <c:v>0.18</c:v>
                </c:pt>
                <c:pt idx="10">
                  <c:v>0.28999999999999998</c:v>
                </c:pt>
                <c:pt idx="11">
                  <c:v>0.19</c:v>
                </c:pt>
                <c:pt idx="12">
                  <c:v>0.13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0.05</c:v>
                </c:pt>
                <c:pt idx="16">
                  <c:v>0.14000000000000001</c:v>
                </c:pt>
                <c:pt idx="17">
                  <c:v>0.09</c:v>
                </c:pt>
                <c:pt idx="18">
                  <c:v>0.09</c:v>
                </c:pt>
                <c:pt idx="19">
                  <c:v>0.18</c:v>
                </c:pt>
                <c:pt idx="20">
                  <c:v>0.16</c:v>
                </c:pt>
                <c:pt idx="21">
                  <c:v>0.08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E-47CD-A745-00F4809920F3}"/>
            </c:ext>
          </c:extLst>
        </c:ser>
        <c:ser>
          <c:idx val="4"/>
          <c:order val="4"/>
          <c:tx>
            <c:strRef>
              <c:f>MineralAnalysis!$CN$6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MineralAnalysis!$CN$7:$CN$30</c:f>
              <c:numCache>
                <c:formatCode>General</c:formatCode>
                <c:ptCount val="24"/>
                <c:pt idx="0">
                  <c:v>0.11</c:v>
                </c:pt>
                <c:pt idx="1">
                  <c:v>0.25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0.15</c:v>
                </c:pt>
                <c:pt idx="6">
                  <c:v>0.08</c:v>
                </c:pt>
                <c:pt idx="7">
                  <c:v>0.1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0.62</c:v>
                </c:pt>
                <c:pt idx="11">
                  <c:v>0.15</c:v>
                </c:pt>
                <c:pt idx="12">
                  <c:v>0.17</c:v>
                </c:pt>
                <c:pt idx="13">
                  <c:v>0.98</c:v>
                </c:pt>
                <c:pt idx="14">
                  <c:v>0.28999999999999998</c:v>
                </c:pt>
                <c:pt idx="15">
                  <c:v>0.04</c:v>
                </c:pt>
                <c:pt idx="16">
                  <c:v>0.11</c:v>
                </c:pt>
                <c:pt idx="17">
                  <c:v>0.08</c:v>
                </c:pt>
                <c:pt idx="18">
                  <c:v>0.05</c:v>
                </c:pt>
                <c:pt idx="19">
                  <c:v>0.32</c:v>
                </c:pt>
                <c:pt idx="20">
                  <c:v>0.18</c:v>
                </c:pt>
                <c:pt idx="21">
                  <c:v>0.1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E-47CD-A745-00F4809920F3}"/>
            </c:ext>
          </c:extLst>
        </c:ser>
        <c:ser>
          <c:idx val="5"/>
          <c:order val="5"/>
          <c:tx>
            <c:strRef>
              <c:f>MineralAnalysis!$CO$6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MineralAnalysis!$CO$7:$CO$30</c:f>
              <c:numCache>
                <c:formatCode>General</c:formatCode>
                <c:ptCount val="24"/>
                <c:pt idx="0">
                  <c:v>26.106063225255973</c:v>
                </c:pt>
                <c:pt idx="1">
                  <c:v>20.150931484641635</c:v>
                </c:pt>
                <c:pt idx="2">
                  <c:v>29.6119069112628</c:v>
                </c:pt>
                <c:pt idx="3">
                  <c:v>28.891528071672354</c:v>
                </c:pt>
                <c:pt idx="4">
                  <c:v>27.786947184300345</c:v>
                </c:pt>
                <c:pt idx="5">
                  <c:v>21.063411348122866</c:v>
                </c:pt>
                <c:pt idx="6">
                  <c:v>28.315224999999995</c:v>
                </c:pt>
                <c:pt idx="7">
                  <c:v>27.354719880546075</c:v>
                </c:pt>
                <c:pt idx="8">
                  <c:v>3.04</c:v>
                </c:pt>
                <c:pt idx="9">
                  <c:v>3.19</c:v>
                </c:pt>
                <c:pt idx="10">
                  <c:v>4.7699999999999996</c:v>
                </c:pt>
                <c:pt idx="11">
                  <c:v>25.529760153583616</c:v>
                </c:pt>
                <c:pt idx="12">
                  <c:v>7.16</c:v>
                </c:pt>
                <c:pt idx="13">
                  <c:v>2.29</c:v>
                </c:pt>
                <c:pt idx="14">
                  <c:v>2.21</c:v>
                </c:pt>
                <c:pt idx="15">
                  <c:v>25.625810665529006</c:v>
                </c:pt>
                <c:pt idx="16">
                  <c:v>26.826442064846411</c:v>
                </c:pt>
                <c:pt idx="17">
                  <c:v>25.385684385665527</c:v>
                </c:pt>
                <c:pt idx="18">
                  <c:v>28.60337653583618</c:v>
                </c:pt>
                <c:pt idx="19">
                  <c:v>2.2000000000000002</c:v>
                </c:pt>
                <c:pt idx="20">
                  <c:v>17.509542406143339</c:v>
                </c:pt>
                <c:pt idx="21">
                  <c:v>19.910805204778157</c:v>
                </c:pt>
                <c:pt idx="22">
                  <c:v>17.365466638225254</c:v>
                </c:pt>
                <c:pt idx="23">
                  <c:v>19.478577901023886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2E-47CD-A745-00F4809920F3}"/>
            </c:ext>
          </c:extLst>
        </c:ser>
        <c:ser>
          <c:idx val="6"/>
          <c:order val="6"/>
          <c:tx>
            <c:strRef>
              <c:f>MineralAnalysis!$CP$6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MineralAnalysis!$CP$7:$CP$30</c:f>
              <c:numCache>
                <c:formatCode>General</c:formatCode>
                <c:ptCount val="24"/>
                <c:pt idx="0">
                  <c:v>54</c:v>
                </c:pt>
                <c:pt idx="1">
                  <c:v>41.6</c:v>
                </c:pt>
                <c:pt idx="2">
                  <c:v>61.300000000000004</c:v>
                </c:pt>
                <c:pt idx="3">
                  <c:v>59.800000000000004</c:v>
                </c:pt>
                <c:pt idx="4">
                  <c:v>57.5</c:v>
                </c:pt>
                <c:pt idx="5">
                  <c:v>43.5</c:v>
                </c:pt>
                <c:pt idx="6">
                  <c:v>58.6</c:v>
                </c:pt>
                <c:pt idx="7">
                  <c:v>56.6</c:v>
                </c:pt>
                <c:pt idx="8">
                  <c:v>5.7200000000000006</c:v>
                </c:pt>
                <c:pt idx="9">
                  <c:v>6.57</c:v>
                </c:pt>
                <c:pt idx="10">
                  <c:v>9.56</c:v>
                </c:pt>
                <c:pt idx="11">
                  <c:v>52.800000000000004</c:v>
                </c:pt>
                <c:pt idx="12">
                  <c:v>14.5</c:v>
                </c:pt>
                <c:pt idx="13">
                  <c:v>4</c:v>
                </c:pt>
                <c:pt idx="14">
                  <c:v>4.6400000000000006</c:v>
                </c:pt>
                <c:pt idx="15">
                  <c:v>53</c:v>
                </c:pt>
                <c:pt idx="16">
                  <c:v>55.5</c:v>
                </c:pt>
                <c:pt idx="17">
                  <c:v>52.5</c:v>
                </c:pt>
                <c:pt idx="18">
                  <c:v>59.2</c:v>
                </c:pt>
                <c:pt idx="19">
                  <c:v>4.25</c:v>
                </c:pt>
                <c:pt idx="20">
                  <c:v>36.1</c:v>
                </c:pt>
                <c:pt idx="21">
                  <c:v>41.1</c:v>
                </c:pt>
                <c:pt idx="22">
                  <c:v>35.800000000000004</c:v>
                </c:pt>
                <c:pt idx="23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E-47CD-A745-00F4809920F3}"/>
            </c:ext>
          </c:extLst>
        </c:ser>
        <c:ser>
          <c:idx val="7"/>
          <c:order val="7"/>
          <c:tx>
            <c:strRef>
              <c:f>MineralAnalysis!$CQ$6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MineralAnalysis!$CQ$7:$CQ$30</c:f>
              <c:numCache>
                <c:formatCode>General</c:formatCode>
                <c:ptCount val="24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1.6E-2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2E-47CD-A745-00F4809920F3}"/>
            </c:ext>
          </c:extLst>
        </c:ser>
        <c:ser>
          <c:idx val="8"/>
          <c:order val="8"/>
          <c:tx>
            <c:strRef>
              <c:f>MineralAnalysis!$CT$6</c:f>
              <c:strCache>
                <c:ptCount val="1"/>
                <c:pt idx="0">
                  <c:v>*missing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MineralAnalysis!$CT$7:$CT$30</c:f>
              <c:numCache>
                <c:formatCode>General</c:formatCode>
                <c:ptCount val="24"/>
                <c:pt idx="0">
                  <c:v>10.603581955758415</c:v>
                </c:pt>
                <c:pt idx="1">
                  <c:v>10.754943950235926</c:v>
                </c:pt>
                <c:pt idx="2">
                  <c:v>7.038769550370489</c:v>
                </c:pt>
                <c:pt idx="3">
                  <c:v>8.8780421812287642</c:v>
                </c:pt>
                <c:pt idx="4">
                  <c:v>11.880590319105465</c:v>
                </c:pt>
                <c:pt idx="5">
                  <c:v>19.891292568053515</c:v>
                </c:pt>
                <c:pt idx="6">
                  <c:v>7.7890351691752358</c:v>
                </c:pt>
                <c:pt idx="7">
                  <c:v>10.619328244524155</c:v>
                </c:pt>
                <c:pt idx="8">
                  <c:v>53.898347114732729</c:v>
                </c:pt>
                <c:pt idx="9">
                  <c:v>50.646732683925066</c:v>
                </c:pt>
                <c:pt idx="10">
                  <c:v>55.554789357535533</c:v>
                </c:pt>
                <c:pt idx="11">
                  <c:v>11.277322088957746</c:v>
                </c:pt>
                <c:pt idx="12">
                  <c:v>38.838062951826487</c:v>
                </c:pt>
                <c:pt idx="13">
                  <c:v>59.312438484464572</c:v>
                </c:pt>
                <c:pt idx="14">
                  <c:v>58.397033388270735</c:v>
                </c:pt>
                <c:pt idx="15">
                  <c:v>7.1937860863314427</c:v>
                </c:pt>
                <c:pt idx="16">
                  <c:v>8.9662536626854603</c:v>
                </c:pt>
                <c:pt idx="17">
                  <c:v>8.1191612297178182</c:v>
                </c:pt>
                <c:pt idx="18">
                  <c:v>7.994571429580617</c:v>
                </c:pt>
                <c:pt idx="19">
                  <c:v>54.769436108667122</c:v>
                </c:pt>
                <c:pt idx="20">
                  <c:v>13.472548233308387</c:v>
                </c:pt>
                <c:pt idx="21">
                  <c:v>10.777501512337423</c:v>
                </c:pt>
                <c:pt idx="22">
                  <c:v>12.938215165488614</c:v>
                </c:pt>
                <c:pt idx="23">
                  <c:v>11.131181112317208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2E-47CD-A745-00F48099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37074280"/>
        <c:axId val="2037077888"/>
      </c:barChart>
      <c:catAx>
        <c:axId val="203707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77888"/>
        <c:crosses val="autoZero"/>
        <c:auto val="1"/>
        <c:lblAlgn val="ctr"/>
        <c:lblOffset val="100"/>
        <c:noMultiLvlLbl val="0"/>
      </c:catAx>
      <c:valAx>
        <c:axId val="20370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7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82203406317152"/>
          <c:y val="0.93661867824822098"/>
          <c:w val="0.27612404498638915"/>
          <c:h val="4.7720381729208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upper</a:t>
            </a:r>
            <a:r>
              <a:rPr lang="en-US" baseline="0"/>
              <a:t> gypsum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07324484302116E-2"/>
          <c:y val="7.4180120582126641E-2"/>
          <c:w val="0.91776381212689573"/>
          <c:h val="0.70507059820198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TraceElementAnalysis!$F$47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TraceElementAnalysis!$E$48:$E$71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TraceElementAnalysis!$F$48:$F$71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C-4890-9066-253A0480C756}"/>
            </c:ext>
          </c:extLst>
        </c:ser>
        <c:ser>
          <c:idx val="1"/>
          <c:order val="1"/>
          <c:tx>
            <c:strRef>
              <c:f>TraceElementAnalysis!$G$47</c:f>
              <c:strCache>
                <c:ptCount val="1"/>
                <c:pt idx="0">
                  <c:v>Pb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TraceElementAnalysis!$E$48:$E$71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TraceElementAnalysis!$G$48:$G$71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C-4890-9066-253A0480C756}"/>
            </c:ext>
          </c:extLst>
        </c:ser>
        <c:ser>
          <c:idx val="2"/>
          <c:order val="2"/>
          <c:tx>
            <c:strRef>
              <c:f>TraceElementAnalysis!$H$47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TraceElementAnalysis!$E$48:$E$71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TraceElementAnalysis!$H$48:$H$71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C-4890-9066-253A0480C756}"/>
            </c:ext>
          </c:extLst>
        </c:ser>
        <c:ser>
          <c:idx val="3"/>
          <c:order val="3"/>
          <c:tx>
            <c:strRef>
              <c:f>TraceElementAnalysis!$I$47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TraceElementAnalysis!$E$48:$E$71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TraceElementAnalysis!$I$48:$I$71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C-4890-9066-253A0480C756}"/>
            </c:ext>
          </c:extLst>
        </c:ser>
        <c:ser>
          <c:idx val="4"/>
          <c:order val="4"/>
          <c:tx>
            <c:strRef>
              <c:f>TraceElementAnalysis!$J$47</c:f>
              <c:strCache>
                <c:ptCount val="1"/>
                <c:pt idx="0">
                  <c:v>Mo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invertIfNegative val="0"/>
          <c:cat>
            <c:strRef>
              <c:f>TraceElementAnalysis!$E$48:$E$71</c:f>
              <c:strCache>
                <c:ptCount val="24"/>
                <c:pt idx="0">
                  <c:v>16-D29-1 </c:v>
                </c:pt>
                <c:pt idx="1">
                  <c:v>16-D12B-1 </c:v>
                </c:pt>
                <c:pt idx="2">
                  <c:v>16-D33-1 </c:v>
                </c:pt>
                <c:pt idx="3">
                  <c:v>16-D35-1 </c:v>
                </c:pt>
                <c:pt idx="5">
                  <c:v>16-D67B-1 </c:v>
                </c:pt>
                <c:pt idx="6">
                  <c:v>16-D46-1 </c:v>
                </c:pt>
                <c:pt idx="7">
                  <c:v>16-D41-1 </c:v>
                </c:pt>
                <c:pt idx="8">
                  <c:v>16-D29-2 </c:v>
                </c:pt>
                <c:pt idx="9">
                  <c:v>16-D12B-2 </c:v>
                </c:pt>
                <c:pt idx="10">
                  <c:v>16-D33-2 </c:v>
                </c:pt>
                <c:pt idx="11">
                  <c:v>16-D56-2 </c:v>
                </c:pt>
                <c:pt idx="12">
                  <c:v>16-D67B-2 </c:v>
                </c:pt>
                <c:pt idx="13">
                  <c:v>16-D46-2 </c:v>
                </c:pt>
                <c:pt idx="14">
                  <c:v>16-D41-2 </c:v>
                </c:pt>
                <c:pt idx="15">
                  <c:v>16-D29-3 </c:v>
                </c:pt>
                <c:pt idx="16">
                  <c:v>16-D35-2 </c:v>
                </c:pt>
                <c:pt idx="17">
                  <c:v>16-D35-3 </c:v>
                </c:pt>
                <c:pt idx="18">
                  <c:v>16-D56-3 </c:v>
                </c:pt>
                <c:pt idx="19">
                  <c:v>16-D12B-4 </c:v>
                </c:pt>
                <c:pt idx="20">
                  <c:v>16-D33-3 </c:v>
                </c:pt>
                <c:pt idx="21">
                  <c:v>16-D67B-3 </c:v>
                </c:pt>
                <c:pt idx="22">
                  <c:v>16-D12B-3 </c:v>
                </c:pt>
                <c:pt idx="23">
                  <c:v>16-D56-4 </c:v>
                </c:pt>
              </c:strCache>
            </c:strRef>
          </c:cat>
          <c:val>
            <c:numRef>
              <c:f>TraceElementAnalysis!$J$48:$J$71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C-4890-9066-253A0480C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337232"/>
        <c:axId val="1152329360"/>
      </c:barChart>
      <c:catAx>
        <c:axId val="115233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29360"/>
        <c:crosses val="autoZero"/>
        <c:auto val="1"/>
        <c:lblAlgn val="ctr"/>
        <c:lblOffset val="100"/>
        <c:noMultiLvlLbl val="0"/>
      </c:catAx>
      <c:valAx>
        <c:axId val="11523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weight % w/o oxygen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0504653557629"/>
          <c:y val="0.11624283335566933"/>
          <c:w val="0.82126093081468032"/>
          <c:h val="0.8366392912939155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MineralAnalysis!$CG$6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MineralAnalysis!$CG$7:$CG$30</c:f>
              <c:numCache>
                <c:formatCode>General</c:formatCode>
                <c:ptCount val="24"/>
                <c:pt idx="0">
                  <c:v>1.67</c:v>
                </c:pt>
                <c:pt idx="1">
                  <c:v>5.04</c:v>
                </c:pt>
                <c:pt idx="2">
                  <c:v>0.34</c:v>
                </c:pt>
                <c:pt idx="3">
                  <c:v>0.36</c:v>
                </c:pt>
                <c:pt idx="4">
                  <c:v>0.44</c:v>
                </c:pt>
                <c:pt idx="5">
                  <c:v>2.79</c:v>
                </c:pt>
                <c:pt idx="6">
                  <c:v>0.8</c:v>
                </c:pt>
                <c:pt idx="7">
                  <c:v>0.86</c:v>
                </c:pt>
                <c:pt idx="8">
                  <c:v>6.88</c:v>
                </c:pt>
                <c:pt idx="9">
                  <c:v>7.47</c:v>
                </c:pt>
                <c:pt idx="10">
                  <c:v>5.16</c:v>
                </c:pt>
                <c:pt idx="11">
                  <c:v>1.76</c:v>
                </c:pt>
                <c:pt idx="12">
                  <c:v>7.68</c:v>
                </c:pt>
                <c:pt idx="13">
                  <c:v>4.28</c:v>
                </c:pt>
                <c:pt idx="14">
                  <c:v>6.44</c:v>
                </c:pt>
                <c:pt idx="15">
                  <c:v>2.63</c:v>
                </c:pt>
                <c:pt idx="16">
                  <c:v>1.47</c:v>
                </c:pt>
                <c:pt idx="17">
                  <c:v>2.52</c:v>
                </c:pt>
                <c:pt idx="18">
                  <c:v>0.74</c:v>
                </c:pt>
                <c:pt idx="19">
                  <c:v>7.14</c:v>
                </c:pt>
                <c:pt idx="20">
                  <c:v>6.35</c:v>
                </c:pt>
                <c:pt idx="21">
                  <c:v>5.28</c:v>
                </c:pt>
                <c:pt idx="22">
                  <c:v>6.44</c:v>
                </c:pt>
                <c:pt idx="23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1C3-9CAB-7677A6DF48A3}"/>
            </c:ext>
          </c:extLst>
        </c:ser>
        <c:ser>
          <c:idx val="1"/>
          <c:order val="1"/>
          <c:tx>
            <c:strRef>
              <c:f>MineralAnalysis!$CK$6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MineralAnalysis!$CK$7:$CK$30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0.12</c:v>
                </c:pt>
                <c:pt idx="9">
                  <c:v>0.11</c:v>
                </c:pt>
                <c:pt idx="10">
                  <c:v>0.19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0.36</c:v>
                </c:pt>
                <c:pt idx="14">
                  <c:v>0.11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</c:v>
                </c:pt>
                <c:pt idx="19">
                  <c:v>0.14000000000000001</c:v>
                </c:pt>
                <c:pt idx="20">
                  <c:v>0.06</c:v>
                </c:pt>
                <c:pt idx="21">
                  <c:v>0.04</c:v>
                </c:pt>
                <c:pt idx="22">
                  <c:v>0.05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1C3-9CAB-7677A6DF48A3}"/>
            </c:ext>
          </c:extLst>
        </c:ser>
        <c:ser>
          <c:idx val="2"/>
          <c:order val="2"/>
          <c:tx>
            <c:strRef>
              <c:f>MineralAnalysis!$CL$6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MineralAnalysis!$CL$7:$CL$30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0.11</c:v>
                </c:pt>
                <c:pt idx="9">
                  <c:v>0.1</c:v>
                </c:pt>
                <c:pt idx="10">
                  <c:v>0.17</c:v>
                </c:pt>
                <c:pt idx="11">
                  <c:v>0.04</c:v>
                </c:pt>
                <c:pt idx="12">
                  <c:v>0.06</c:v>
                </c:pt>
                <c:pt idx="13">
                  <c:v>0.32</c:v>
                </c:pt>
                <c:pt idx="14">
                  <c:v>0.09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0.01</c:v>
                </c:pt>
                <c:pt idx="19">
                  <c:v>0.12</c:v>
                </c:pt>
                <c:pt idx="20">
                  <c:v>0.06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1C3-9CAB-7677A6DF48A3}"/>
            </c:ext>
          </c:extLst>
        </c:ser>
        <c:ser>
          <c:idx val="3"/>
          <c:order val="3"/>
          <c:tx>
            <c:strRef>
              <c:f>MineralAnalysis!$CM$6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MineralAnalysis!$CM$7:$CM$30</c:f>
              <c:numCache>
                <c:formatCode>General</c:formatCode>
                <c:ptCount val="24"/>
                <c:pt idx="0">
                  <c:v>0.17</c:v>
                </c:pt>
                <c:pt idx="1">
                  <c:v>0.26</c:v>
                </c:pt>
                <c:pt idx="2">
                  <c:v>0.12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0.21</c:v>
                </c:pt>
                <c:pt idx="6">
                  <c:v>0.11</c:v>
                </c:pt>
                <c:pt idx="7">
                  <c:v>0.16</c:v>
                </c:pt>
                <c:pt idx="8">
                  <c:v>0.19</c:v>
                </c:pt>
                <c:pt idx="9">
                  <c:v>0.18</c:v>
                </c:pt>
                <c:pt idx="10">
                  <c:v>0.28999999999999998</c:v>
                </c:pt>
                <c:pt idx="11">
                  <c:v>0.19</c:v>
                </c:pt>
                <c:pt idx="12">
                  <c:v>0.13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0.05</c:v>
                </c:pt>
                <c:pt idx="16">
                  <c:v>0.14000000000000001</c:v>
                </c:pt>
                <c:pt idx="17">
                  <c:v>0.09</c:v>
                </c:pt>
                <c:pt idx="18">
                  <c:v>0.09</c:v>
                </c:pt>
                <c:pt idx="19">
                  <c:v>0.18</c:v>
                </c:pt>
                <c:pt idx="20">
                  <c:v>0.16</c:v>
                </c:pt>
                <c:pt idx="21">
                  <c:v>0.08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C-41C3-9CAB-7677A6DF48A3}"/>
            </c:ext>
          </c:extLst>
        </c:ser>
        <c:ser>
          <c:idx val="4"/>
          <c:order val="4"/>
          <c:tx>
            <c:strRef>
              <c:f>MineralAnalysis!$CN$6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MineralAnalysis!$CN$7:$CN$30</c:f>
              <c:numCache>
                <c:formatCode>General</c:formatCode>
                <c:ptCount val="24"/>
                <c:pt idx="0">
                  <c:v>0.11</c:v>
                </c:pt>
                <c:pt idx="1">
                  <c:v>0.25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0.15</c:v>
                </c:pt>
                <c:pt idx="6">
                  <c:v>0.08</c:v>
                </c:pt>
                <c:pt idx="7">
                  <c:v>0.1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0.62</c:v>
                </c:pt>
                <c:pt idx="11">
                  <c:v>0.15</c:v>
                </c:pt>
                <c:pt idx="12">
                  <c:v>0.17</c:v>
                </c:pt>
                <c:pt idx="13">
                  <c:v>0.98</c:v>
                </c:pt>
                <c:pt idx="14">
                  <c:v>0.28999999999999998</c:v>
                </c:pt>
                <c:pt idx="15">
                  <c:v>0.04</c:v>
                </c:pt>
                <c:pt idx="16">
                  <c:v>0.11</c:v>
                </c:pt>
                <c:pt idx="17">
                  <c:v>0.08</c:v>
                </c:pt>
                <c:pt idx="18">
                  <c:v>0.05</c:v>
                </c:pt>
                <c:pt idx="19">
                  <c:v>0.32</c:v>
                </c:pt>
                <c:pt idx="20">
                  <c:v>0.18</c:v>
                </c:pt>
                <c:pt idx="21">
                  <c:v>0.1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C-41C3-9CAB-7677A6DF48A3}"/>
            </c:ext>
          </c:extLst>
        </c:ser>
        <c:ser>
          <c:idx val="5"/>
          <c:order val="5"/>
          <c:tx>
            <c:strRef>
              <c:f>MineralAnalysis!$CO$6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MineralAnalysis!$CO$7:$CO$30</c:f>
              <c:numCache>
                <c:formatCode>General</c:formatCode>
                <c:ptCount val="24"/>
                <c:pt idx="0">
                  <c:v>26.106063225255973</c:v>
                </c:pt>
                <c:pt idx="1">
                  <c:v>20.150931484641635</c:v>
                </c:pt>
                <c:pt idx="2">
                  <c:v>29.6119069112628</c:v>
                </c:pt>
                <c:pt idx="3">
                  <c:v>28.891528071672354</c:v>
                </c:pt>
                <c:pt idx="4">
                  <c:v>27.786947184300345</c:v>
                </c:pt>
                <c:pt idx="5">
                  <c:v>21.063411348122866</c:v>
                </c:pt>
                <c:pt idx="6">
                  <c:v>28.315224999999995</c:v>
                </c:pt>
                <c:pt idx="7">
                  <c:v>27.354719880546075</c:v>
                </c:pt>
                <c:pt idx="8">
                  <c:v>3.04</c:v>
                </c:pt>
                <c:pt idx="9">
                  <c:v>3.19</c:v>
                </c:pt>
                <c:pt idx="10">
                  <c:v>4.7699999999999996</c:v>
                </c:pt>
                <c:pt idx="11">
                  <c:v>25.529760153583616</c:v>
                </c:pt>
                <c:pt idx="12">
                  <c:v>7.16</c:v>
                </c:pt>
                <c:pt idx="13">
                  <c:v>2.29</c:v>
                </c:pt>
                <c:pt idx="14">
                  <c:v>2.21</c:v>
                </c:pt>
                <c:pt idx="15">
                  <c:v>25.625810665529006</c:v>
                </c:pt>
                <c:pt idx="16">
                  <c:v>26.826442064846411</c:v>
                </c:pt>
                <c:pt idx="17">
                  <c:v>25.385684385665527</c:v>
                </c:pt>
                <c:pt idx="18">
                  <c:v>28.60337653583618</c:v>
                </c:pt>
                <c:pt idx="19">
                  <c:v>2.2000000000000002</c:v>
                </c:pt>
                <c:pt idx="20">
                  <c:v>17.509542406143339</c:v>
                </c:pt>
                <c:pt idx="21">
                  <c:v>19.910805204778157</c:v>
                </c:pt>
                <c:pt idx="22">
                  <c:v>17.365466638225254</c:v>
                </c:pt>
                <c:pt idx="23">
                  <c:v>19.478577901023886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C-41C3-9CAB-7677A6DF48A3}"/>
            </c:ext>
          </c:extLst>
        </c:ser>
        <c:ser>
          <c:idx val="6"/>
          <c:order val="6"/>
          <c:tx>
            <c:strRef>
              <c:f>MineralAnalysis!$CP$6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MineralAnalysis!$CP$7:$CP$30</c:f>
              <c:numCache>
                <c:formatCode>General</c:formatCode>
                <c:ptCount val="24"/>
                <c:pt idx="0">
                  <c:v>54</c:v>
                </c:pt>
                <c:pt idx="1">
                  <c:v>41.6</c:v>
                </c:pt>
                <c:pt idx="2">
                  <c:v>61.300000000000004</c:v>
                </c:pt>
                <c:pt idx="3">
                  <c:v>59.800000000000004</c:v>
                </c:pt>
                <c:pt idx="4">
                  <c:v>57.5</c:v>
                </c:pt>
                <c:pt idx="5">
                  <c:v>43.5</c:v>
                </c:pt>
                <c:pt idx="6">
                  <c:v>58.6</c:v>
                </c:pt>
                <c:pt idx="7">
                  <c:v>56.6</c:v>
                </c:pt>
                <c:pt idx="8">
                  <c:v>5.7200000000000006</c:v>
                </c:pt>
                <c:pt idx="9">
                  <c:v>6.57</c:v>
                </c:pt>
                <c:pt idx="10">
                  <c:v>9.56</c:v>
                </c:pt>
                <c:pt idx="11">
                  <c:v>52.800000000000004</c:v>
                </c:pt>
                <c:pt idx="12">
                  <c:v>14.5</c:v>
                </c:pt>
                <c:pt idx="13">
                  <c:v>4</c:v>
                </c:pt>
                <c:pt idx="14">
                  <c:v>4.6400000000000006</c:v>
                </c:pt>
                <c:pt idx="15">
                  <c:v>53</c:v>
                </c:pt>
                <c:pt idx="16">
                  <c:v>55.5</c:v>
                </c:pt>
                <c:pt idx="17">
                  <c:v>52.5</c:v>
                </c:pt>
                <c:pt idx="18">
                  <c:v>59.2</c:v>
                </c:pt>
                <c:pt idx="19">
                  <c:v>4.25</c:v>
                </c:pt>
                <c:pt idx="20">
                  <c:v>36.1</c:v>
                </c:pt>
                <c:pt idx="21">
                  <c:v>41.1</c:v>
                </c:pt>
                <c:pt idx="22">
                  <c:v>35.800000000000004</c:v>
                </c:pt>
                <c:pt idx="23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6C-41C3-9CAB-7677A6DF48A3}"/>
            </c:ext>
          </c:extLst>
        </c:ser>
        <c:ser>
          <c:idx val="7"/>
          <c:order val="7"/>
          <c:tx>
            <c:strRef>
              <c:f>MineralAnalysis!$CQ$6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MineralAnalysis!$CQ$7:$CQ$30</c:f>
              <c:numCache>
                <c:formatCode>General</c:formatCode>
                <c:ptCount val="24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1.6E-2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6C-41C3-9CAB-7677A6DF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037074280"/>
        <c:axId val="2037077888"/>
      </c:barChart>
      <c:catAx>
        <c:axId val="2037074280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77888"/>
        <c:crosses val="autoZero"/>
        <c:auto val="1"/>
        <c:lblAlgn val="ctr"/>
        <c:lblOffset val="100"/>
        <c:noMultiLvlLbl val="0"/>
      </c:catAx>
      <c:valAx>
        <c:axId val="2037077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7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</a:t>
            </a:r>
            <a:r>
              <a:rPr lang="en-US" baseline="0"/>
              <a:t> % and missing to make 100%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MineralAnalysis!$CS$6:$CT$6</c:f>
              <c:strCache>
                <c:ptCount val="1"/>
                <c:pt idx="0">
                  <c:v>Total *missing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MineralAnalysis!$CS$7:$CS$30</c:f>
              <c:numCache>
                <c:formatCode>General</c:formatCode>
                <c:ptCount val="24"/>
                <c:pt idx="0">
                  <c:v>89.396418044241585</c:v>
                </c:pt>
                <c:pt idx="1">
                  <c:v>89.245056049764074</c:v>
                </c:pt>
                <c:pt idx="2">
                  <c:v>92.961230449629511</c:v>
                </c:pt>
                <c:pt idx="3">
                  <c:v>91.121957818771236</c:v>
                </c:pt>
                <c:pt idx="4">
                  <c:v>88.119409680894535</c:v>
                </c:pt>
                <c:pt idx="5">
                  <c:v>80.108707431946485</c:v>
                </c:pt>
                <c:pt idx="6">
                  <c:v>92.210964830824764</c:v>
                </c:pt>
                <c:pt idx="7">
                  <c:v>89.380671755475845</c:v>
                </c:pt>
                <c:pt idx="8">
                  <c:v>46.101652885267271</c:v>
                </c:pt>
                <c:pt idx="9">
                  <c:v>49.353267316074934</c:v>
                </c:pt>
                <c:pt idx="10">
                  <c:v>44.445210642464467</c:v>
                </c:pt>
                <c:pt idx="11">
                  <c:v>88.722677911042254</c:v>
                </c:pt>
                <c:pt idx="12">
                  <c:v>61.161937048173513</c:v>
                </c:pt>
                <c:pt idx="13">
                  <c:v>40.687561515535428</c:v>
                </c:pt>
                <c:pt idx="14">
                  <c:v>41.602966611729265</c:v>
                </c:pt>
                <c:pt idx="15">
                  <c:v>92.806213913668557</c:v>
                </c:pt>
                <c:pt idx="16">
                  <c:v>91.03374633731454</c:v>
                </c:pt>
                <c:pt idx="17">
                  <c:v>91.880838770282182</c:v>
                </c:pt>
                <c:pt idx="18">
                  <c:v>92.005428570419383</c:v>
                </c:pt>
                <c:pt idx="19">
                  <c:v>45.230563891332878</c:v>
                </c:pt>
                <c:pt idx="20">
                  <c:v>86.527451766691613</c:v>
                </c:pt>
                <c:pt idx="21">
                  <c:v>89.222498487662577</c:v>
                </c:pt>
                <c:pt idx="22">
                  <c:v>87.061784834511386</c:v>
                </c:pt>
                <c:pt idx="23">
                  <c:v>88.868818887682792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4-4DA4-B6F9-2C80440A803C}"/>
            </c:ext>
          </c:extLst>
        </c:ser>
        <c:ser>
          <c:idx val="1"/>
          <c:order val="1"/>
          <c:tx>
            <c:strRef>
              <c:f>MineralAnalysis!$CT$6</c:f>
              <c:strCache>
                <c:ptCount val="1"/>
                <c:pt idx="0">
                  <c:v>*missing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MineralAnalysis!$CT$7:$CT$30</c:f>
              <c:numCache>
                <c:formatCode>General</c:formatCode>
                <c:ptCount val="24"/>
                <c:pt idx="0">
                  <c:v>10.603581955758415</c:v>
                </c:pt>
                <c:pt idx="1">
                  <c:v>10.754943950235926</c:v>
                </c:pt>
                <c:pt idx="2">
                  <c:v>7.038769550370489</c:v>
                </c:pt>
                <c:pt idx="3">
                  <c:v>8.8780421812287642</c:v>
                </c:pt>
                <c:pt idx="4">
                  <c:v>11.880590319105465</c:v>
                </c:pt>
                <c:pt idx="5">
                  <c:v>19.891292568053515</c:v>
                </c:pt>
                <c:pt idx="6">
                  <c:v>7.7890351691752358</c:v>
                </c:pt>
                <c:pt idx="7">
                  <c:v>10.619328244524155</c:v>
                </c:pt>
                <c:pt idx="8">
                  <c:v>53.898347114732729</c:v>
                </c:pt>
                <c:pt idx="9">
                  <c:v>50.646732683925066</c:v>
                </c:pt>
                <c:pt idx="10">
                  <c:v>55.554789357535533</c:v>
                </c:pt>
                <c:pt idx="11">
                  <c:v>11.277322088957746</c:v>
                </c:pt>
                <c:pt idx="12">
                  <c:v>38.838062951826487</c:v>
                </c:pt>
                <c:pt idx="13">
                  <c:v>59.312438484464572</c:v>
                </c:pt>
                <c:pt idx="14">
                  <c:v>58.397033388270735</c:v>
                </c:pt>
                <c:pt idx="15">
                  <c:v>7.1937860863314427</c:v>
                </c:pt>
                <c:pt idx="16">
                  <c:v>8.9662536626854603</c:v>
                </c:pt>
                <c:pt idx="17">
                  <c:v>8.1191612297178182</c:v>
                </c:pt>
                <c:pt idx="18">
                  <c:v>7.994571429580617</c:v>
                </c:pt>
                <c:pt idx="19">
                  <c:v>54.769436108667122</c:v>
                </c:pt>
                <c:pt idx="20">
                  <c:v>13.472548233308387</c:v>
                </c:pt>
                <c:pt idx="21">
                  <c:v>10.777501512337423</c:v>
                </c:pt>
                <c:pt idx="22">
                  <c:v>12.938215165488614</c:v>
                </c:pt>
                <c:pt idx="23">
                  <c:v>11.131181112317208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4-4DA4-B6F9-2C80440A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00"/>
        <c:axId val="1483488616"/>
        <c:axId val="1483488288"/>
      </c:barChart>
      <c:catAx>
        <c:axId val="148348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88288"/>
        <c:crosses val="autoZero"/>
        <c:auto val="1"/>
        <c:lblAlgn val="ctr"/>
        <c:lblOffset val="100"/>
        <c:noMultiLvlLbl val="0"/>
      </c:catAx>
      <c:valAx>
        <c:axId val="14834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8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MineralAnalysis!$BP$6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MineralAnalysis!$BP$7:$BP$30</c:f>
              <c:numCache>
                <c:formatCode>General</c:formatCode>
                <c:ptCount val="24"/>
                <c:pt idx="0">
                  <c:v>5.214831079395179E-2</c:v>
                </c:pt>
                <c:pt idx="1">
                  <c:v>0.15419931134288137</c:v>
                </c:pt>
                <c:pt idx="2">
                  <c:v>1.0978591746095114E-2</c:v>
                </c:pt>
                <c:pt idx="3">
                  <c:v>1.1976645541194668E-2</c:v>
                </c:pt>
                <c:pt idx="4">
                  <c:v>1.4721293477718448E-2</c:v>
                </c:pt>
                <c:pt idx="5">
                  <c:v>8.8327760866310695E-2</c:v>
                </c:pt>
                <c:pt idx="6">
                  <c:v>3.2686261789510451E-2</c:v>
                </c:pt>
                <c:pt idx="7">
                  <c:v>3.2686261789510451E-2</c:v>
                </c:pt>
                <c:pt idx="8">
                  <c:v>0.20859324317580716</c:v>
                </c:pt>
                <c:pt idx="9">
                  <c:v>0.21757572733170319</c:v>
                </c:pt>
                <c:pt idx="10">
                  <c:v>0.15346090330177525</c:v>
                </c:pt>
                <c:pt idx="11">
                  <c:v>5.9883227705973346E-2</c:v>
                </c:pt>
                <c:pt idx="12">
                  <c:v>0.21408253904885471</c:v>
                </c:pt>
                <c:pt idx="13">
                  <c:v>0.12832958645961201</c:v>
                </c:pt>
                <c:pt idx="14">
                  <c:v>0.19312340935176406</c:v>
                </c:pt>
                <c:pt idx="15">
                  <c:v>8.084235740306403E-2</c:v>
                </c:pt>
                <c:pt idx="16">
                  <c:v>5.1150256998852228E-2</c:v>
                </c:pt>
                <c:pt idx="17">
                  <c:v>8.0592843954289131E-2</c:v>
                </c:pt>
                <c:pt idx="18">
                  <c:v>2.3953291082389336E-2</c:v>
                </c:pt>
                <c:pt idx="19">
                  <c:v>0.21632816008782871</c:v>
                </c:pt>
                <c:pt idx="20">
                  <c:v>0.1786516293228205</c:v>
                </c:pt>
                <c:pt idx="21">
                  <c:v>0.15943909376715404</c:v>
                </c:pt>
                <c:pt idx="22">
                  <c:v>0.18638654623484205</c:v>
                </c:pt>
                <c:pt idx="23">
                  <c:v>0.16093617445980338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A-4CB0-96DF-F7552903E2D4}"/>
            </c:ext>
          </c:extLst>
        </c:ser>
        <c:ser>
          <c:idx val="1"/>
          <c:order val="1"/>
          <c:tx>
            <c:strRef>
              <c:f>MineralAnalysis!$BQ$6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MineralAnalysis!$BQ$7:$BQ$30</c:f>
              <c:numCache>
                <c:formatCode>General</c:formatCode>
                <c:ptCount val="24"/>
                <c:pt idx="0">
                  <c:v>5.2080084825048334E-2</c:v>
                </c:pt>
                <c:pt idx="1">
                  <c:v>0.15717582486122372</c:v>
                </c:pt>
                <c:pt idx="2">
                  <c:v>1.0603131042225411E-2</c:v>
                </c:pt>
                <c:pt idx="3">
                  <c:v>1.1226844632944551E-2</c:v>
                </c:pt>
                <c:pt idx="4">
                  <c:v>1.3721698995821117E-2</c:v>
                </c:pt>
                <c:pt idx="5">
                  <c:v>8.7008045905320269E-2</c:v>
                </c:pt>
                <c:pt idx="6">
                  <c:v>2.4948543628765672E-2</c:v>
                </c:pt>
                <c:pt idx="7">
                  <c:v>2.6819684400923093E-2</c:v>
                </c:pt>
                <c:pt idx="8">
                  <c:v>0.21455747520738475</c:v>
                </c:pt>
                <c:pt idx="9">
                  <c:v>0.23295702613359942</c:v>
                </c:pt>
                <c:pt idx="10">
                  <c:v>0.16091810640553858</c:v>
                </c:pt>
                <c:pt idx="11">
                  <c:v>5.488679598328447E-2</c:v>
                </c:pt>
                <c:pt idx="12">
                  <c:v>0.23950601883615041</c:v>
                </c:pt>
                <c:pt idx="13">
                  <c:v>0.13347470841389633</c:v>
                </c:pt>
                <c:pt idx="14">
                  <c:v>0.20083577621156365</c:v>
                </c:pt>
                <c:pt idx="15">
                  <c:v>8.2018337179567136E-2</c:v>
                </c:pt>
                <c:pt idx="16">
                  <c:v>4.5842948917856917E-2</c:v>
                </c:pt>
                <c:pt idx="17">
                  <c:v>7.8587912430611861E-2</c:v>
                </c:pt>
                <c:pt idx="18">
                  <c:v>2.3077402856608243E-2</c:v>
                </c:pt>
                <c:pt idx="19">
                  <c:v>0.2226657518867336</c:v>
                </c:pt>
                <c:pt idx="20">
                  <c:v>0.19802906505332749</c:v>
                </c:pt>
                <c:pt idx="21">
                  <c:v>0.16466038794985341</c:v>
                </c:pt>
                <c:pt idx="22">
                  <c:v>0.20083577621156365</c:v>
                </c:pt>
                <c:pt idx="23">
                  <c:v>0.17588723258279795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A-4CB0-96DF-F7552903E2D4}"/>
            </c:ext>
          </c:extLst>
        </c:ser>
        <c:ser>
          <c:idx val="2"/>
          <c:order val="2"/>
          <c:tx>
            <c:strRef>
              <c:f>MineralAnalysis!$BR$6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MineralAnalysis!$BR$7:$BR$30</c:f>
              <c:numCache>
                <c:formatCode>General</c:formatCode>
                <c:ptCount val="24"/>
                <c:pt idx="0">
                  <c:v>3.7061744866948335E-4</c:v>
                </c:pt>
                <c:pt idx="1">
                  <c:v>1.8530872433474169E-3</c:v>
                </c:pt>
                <c:pt idx="5">
                  <c:v>7.4123489733896671E-4</c:v>
                </c:pt>
                <c:pt idx="6">
                  <c:v>1.1118523460084502E-3</c:v>
                </c:pt>
                <c:pt idx="8">
                  <c:v>4.4474093840338007E-3</c:v>
                </c:pt>
                <c:pt idx="9">
                  <c:v>4.076791935364317E-3</c:v>
                </c:pt>
                <c:pt idx="10">
                  <c:v>7.0417315247201838E-3</c:v>
                </c:pt>
                <c:pt idx="11">
                  <c:v>1.4824697946779334E-3</c:v>
                </c:pt>
                <c:pt idx="12">
                  <c:v>2.594322140686384E-3</c:v>
                </c:pt>
                <c:pt idx="13">
                  <c:v>1.33422281521014E-2</c:v>
                </c:pt>
                <c:pt idx="14">
                  <c:v>4.076791935364317E-3</c:v>
                </c:pt>
                <c:pt idx="15">
                  <c:v>7.4123489733896671E-4</c:v>
                </c:pt>
                <c:pt idx="16">
                  <c:v>7.4123489733896671E-4</c:v>
                </c:pt>
                <c:pt idx="17">
                  <c:v>1.1118523460084502E-3</c:v>
                </c:pt>
                <c:pt idx="19">
                  <c:v>5.188644281372768E-3</c:v>
                </c:pt>
                <c:pt idx="20">
                  <c:v>2.2237046920169003E-3</c:v>
                </c:pt>
                <c:pt idx="21">
                  <c:v>1.4824697946779334E-3</c:v>
                </c:pt>
                <c:pt idx="22">
                  <c:v>1.8530872433474169E-3</c:v>
                </c:pt>
                <c:pt idx="23">
                  <c:v>1.1118523460084502E-3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A-4CB0-96DF-F7552903E2D4}"/>
            </c:ext>
          </c:extLst>
        </c:ser>
        <c:ser>
          <c:idx val="3"/>
          <c:order val="3"/>
          <c:tx>
            <c:strRef>
              <c:f>MineralAnalysis!$BS$6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MineralAnalysis!$BS$7:$BS$30</c:f>
              <c:numCache>
                <c:formatCode>General</c:formatCode>
                <c:ptCount val="24"/>
                <c:pt idx="0">
                  <c:v>1.7906706061420003E-4</c:v>
                </c:pt>
                <c:pt idx="1">
                  <c:v>8.9533530307100019E-4</c:v>
                </c:pt>
                <c:pt idx="2">
                  <c:v>1.7906706061420003E-4</c:v>
                </c:pt>
                <c:pt idx="4">
                  <c:v>1.7906706061420003E-4</c:v>
                </c:pt>
                <c:pt idx="5">
                  <c:v>5.3720118184260007E-4</c:v>
                </c:pt>
                <c:pt idx="6">
                  <c:v>5.3720118184260007E-4</c:v>
                </c:pt>
                <c:pt idx="7">
                  <c:v>3.5813412122840006E-4</c:v>
                </c:pt>
                <c:pt idx="8">
                  <c:v>1.9697376667562002E-3</c:v>
                </c:pt>
                <c:pt idx="9">
                  <c:v>1.7906706061420004E-3</c:v>
                </c:pt>
                <c:pt idx="10">
                  <c:v>3.0441400304414006E-3</c:v>
                </c:pt>
                <c:pt idx="11">
                  <c:v>7.1626824245680013E-4</c:v>
                </c:pt>
                <c:pt idx="12">
                  <c:v>1.0744023636852001E-3</c:v>
                </c:pt>
                <c:pt idx="13">
                  <c:v>5.730145939654401E-3</c:v>
                </c:pt>
                <c:pt idx="14">
                  <c:v>1.6116035455278001E-3</c:v>
                </c:pt>
                <c:pt idx="15">
                  <c:v>3.5813412122840006E-4</c:v>
                </c:pt>
                <c:pt idx="16">
                  <c:v>5.3720118184260007E-4</c:v>
                </c:pt>
                <c:pt idx="17">
                  <c:v>5.3720118184260007E-4</c:v>
                </c:pt>
                <c:pt idx="18">
                  <c:v>1.7906706061420003E-4</c:v>
                </c:pt>
                <c:pt idx="19">
                  <c:v>2.1488047273704003E-3</c:v>
                </c:pt>
                <c:pt idx="20">
                  <c:v>1.0744023636852001E-3</c:v>
                </c:pt>
                <c:pt idx="21">
                  <c:v>7.1626824245680013E-4</c:v>
                </c:pt>
                <c:pt idx="22">
                  <c:v>7.1626824245680013E-4</c:v>
                </c:pt>
                <c:pt idx="23">
                  <c:v>5.3720118184260007E-4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A-4CB0-96DF-F7552903E2D4}"/>
            </c:ext>
          </c:extLst>
        </c:ser>
        <c:ser>
          <c:idx val="4"/>
          <c:order val="4"/>
          <c:tx>
            <c:strRef>
              <c:f>MineralAnalysis!$BT$6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MineralAnalysis!$BT$7:$BT$30</c:f>
              <c:numCache>
                <c:formatCode>General</c:formatCode>
                <c:ptCount val="24"/>
                <c:pt idx="0">
                  <c:v>4.3480484935290815E-3</c:v>
                </c:pt>
                <c:pt idx="1">
                  <c:v>6.6499565195150649E-3</c:v>
                </c:pt>
                <c:pt idx="2">
                  <c:v>3.0692107013146454E-3</c:v>
                </c:pt>
                <c:pt idx="3">
                  <c:v>7.4172591948437261E-3</c:v>
                </c:pt>
                <c:pt idx="4">
                  <c:v>6.3941889610721779E-3</c:v>
                </c:pt>
                <c:pt idx="5">
                  <c:v>5.3711187273006288E-3</c:v>
                </c:pt>
                <c:pt idx="6">
                  <c:v>2.8134431428717584E-3</c:v>
                </c:pt>
                <c:pt idx="7">
                  <c:v>4.0922809350861936E-3</c:v>
                </c:pt>
                <c:pt idx="8">
                  <c:v>4.8595836104148547E-3</c:v>
                </c:pt>
                <c:pt idx="9">
                  <c:v>4.6038160519719677E-3</c:v>
                </c:pt>
                <c:pt idx="10">
                  <c:v>7.4172591948437261E-3</c:v>
                </c:pt>
                <c:pt idx="11">
                  <c:v>4.8595836104148547E-3</c:v>
                </c:pt>
                <c:pt idx="12">
                  <c:v>3.3249782597575325E-3</c:v>
                </c:pt>
                <c:pt idx="13">
                  <c:v>7.1614916364008399E-3</c:v>
                </c:pt>
                <c:pt idx="14">
                  <c:v>4.6038160519719677E-3</c:v>
                </c:pt>
                <c:pt idx="15">
                  <c:v>1.2788377922144357E-3</c:v>
                </c:pt>
                <c:pt idx="16">
                  <c:v>3.5807458182004199E-3</c:v>
                </c:pt>
                <c:pt idx="17">
                  <c:v>2.3019080259859838E-3</c:v>
                </c:pt>
                <c:pt idx="18">
                  <c:v>2.3019080259859838E-3</c:v>
                </c:pt>
                <c:pt idx="19">
                  <c:v>4.6038160519719677E-3</c:v>
                </c:pt>
                <c:pt idx="20">
                  <c:v>4.0922809350861936E-3</c:v>
                </c:pt>
                <c:pt idx="21">
                  <c:v>2.0461404675430968E-3</c:v>
                </c:pt>
                <c:pt idx="22">
                  <c:v>5.6268862857435167E-3</c:v>
                </c:pt>
                <c:pt idx="23">
                  <c:v>1.79037290910021E-3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A-4CB0-96DF-F7552903E2D4}"/>
            </c:ext>
          </c:extLst>
        </c:ser>
        <c:ser>
          <c:idx val="5"/>
          <c:order val="5"/>
          <c:tx>
            <c:strRef>
              <c:f>MineralAnalysis!$BU$6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MineralAnalysis!$BU$7:$BU$30</c:f>
              <c:numCache>
                <c:formatCode>General</c:formatCode>
                <c:ptCount val="24"/>
                <c:pt idx="0">
                  <c:v>4.5258177329767536E-3</c:v>
                </c:pt>
                <c:pt idx="1">
                  <c:v>1.0285949393128987E-2</c:v>
                </c:pt>
                <c:pt idx="2">
                  <c:v>2.4686278543509564E-3</c:v>
                </c:pt>
                <c:pt idx="3">
                  <c:v>5.7601316601522323E-3</c:v>
                </c:pt>
                <c:pt idx="4">
                  <c:v>4.9372557087019129E-3</c:v>
                </c:pt>
                <c:pt idx="5">
                  <c:v>6.1715696358773916E-3</c:v>
                </c:pt>
                <c:pt idx="6">
                  <c:v>3.2915038058012754E-3</c:v>
                </c:pt>
                <c:pt idx="7">
                  <c:v>4.1143797572515944E-3</c:v>
                </c:pt>
                <c:pt idx="8">
                  <c:v>1.2343139271754783E-2</c:v>
                </c:pt>
                <c:pt idx="9">
                  <c:v>1.1520263320304465E-2</c:v>
                </c:pt>
                <c:pt idx="10">
                  <c:v>2.5509154494959885E-2</c:v>
                </c:pt>
                <c:pt idx="11">
                  <c:v>6.1715696358773916E-3</c:v>
                </c:pt>
                <c:pt idx="12">
                  <c:v>6.9944455873277109E-3</c:v>
                </c:pt>
                <c:pt idx="13">
                  <c:v>4.0320921621065625E-2</c:v>
                </c:pt>
                <c:pt idx="14">
                  <c:v>1.1931701296029622E-2</c:v>
                </c:pt>
                <c:pt idx="15">
                  <c:v>1.6457519029006377E-3</c:v>
                </c:pt>
                <c:pt idx="16">
                  <c:v>4.5258177329767536E-3</c:v>
                </c:pt>
                <c:pt idx="17">
                  <c:v>3.2915038058012754E-3</c:v>
                </c:pt>
                <c:pt idx="18">
                  <c:v>2.0571898786257972E-3</c:v>
                </c:pt>
                <c:pt idx="19">
                  <c:v>1.3166015223205102E-2</c:v>
                </c:pt>
                <c:pt idx="20">
                  <c:v>7.4058835630528693E-3</c:v>
                </c:pt>
                <c:pt idx="21">
                  <c:v>4.1143797572515944E-3</c:v>
                </c:pt>
                <c:pt idx="22">
                  <c:v>9.0516354659535073E-3</c:v>
                </c:pt>
                <c:pt idx="23">
                  <c:v>2.8800658300761161E-3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EA-4CB0-96DF-F7552903E2D4}"/>
            </c:ext>
          </c:extLst>
        </c:ser>
        <c:ser>
          <c:idx val="6"/>
          <c:order val="6"/>
          <c:tx>
            <c:strRef>
              <c:f>MineralAnalysis!$BV$6</c:f>
              <c:strCache>
                <c:ptCount val="1"/>
                <c:pt idx="0">
                  <c:v>Na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MineralAnalysis!$BV$7:$BV$30</c:f>
              <c:numCache>
                <c:formatCode>General</c:formatCode>
                <c:ptCount val="24"/>
                <c:pt idx="0">
                  <c:v>1.1355399402025217</c:v>
                </c:pt>
                <c:pt idx="1">
                  <c:v>0.87650854652638699</c:v>
                </c:pt>
                <c:pt idx="2">
                  <c:v>1.288034228415085</c:v>
                </c:pt>
                <c:pt idx="3">
                  <c:v>1.2566997856316815</c:v>
                </c:pt>
                <c:pt idx="4">
                  <c:v>1.2086536400304631</c:v>
                </c:pt>
                <c:pt idx="5">
                  <c:v>0.91619884071869795</c:v>
                </c:pt>
                <c:pt idx="6">
                  <c:v>1.2316322314049586</c:v>
                </c:pt>
                <c:pt idx="7">
                  <c:v>1.1898529743604209</c:v>
                </c:pt>
                <c:pt idx="8">
                  <c:v>0.13223140495867769</c:v>
                </c:pt>
                <c:pt idx="9">
                  <c:v>0.13875598086124402</c:v>
                </c:pt>
                <c:pt idx="10">
                  <c:v>0.20748151370160939</c:v>
                </c:pt>
                <c:pt idx="11">
                  <c:v>1.110472385975799</c:v>
                </c:pt>
                <c:pt idx="12">
                  <c:v>0.31143975641583299</c:v>
                </c:pt>
                <c:pt idx="13">
                  <c:v>9.960852544584603E-2</c:v>
                </c:pt>
                <c:pt idx="14">
                  <c:v>9.6128751631143983E-2</c:v>
                </c:pt>
                <c:pt idx="15">
                  <c:v>1.1146503116802526</c:v>
                </c:pt>
                <c:pt idx="16">
                  <c:v>1.1668743829859249</c:v>
                </c:pt>
                <c:pt idx="17">
                  <c:v>1.1042054974191182</c:v>
                </c:pt>
                <c:pt idx="18">
                  <c:v>1.2441660085183202</c:v>
                </c:pt>
                <c:pt idx="19">
                  <c:v>9.5693779904306234E-2</c:v>
                </c:pt>
                <c:pt idx="20">
                  <c:v>0.76161558965390785</c:v>
                </c:pt>
                <c:pt idx="21">
                  <c:v>0.86606373226525257</c:v>
                </c:pt>
                <c:pt idx="22">
                  <c:v>0.75534870109722729</c:v>
                </c:pt>
                <c:pt idx="23">
                  <c:v>0.84726306659521045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EA-4CB0-96DF-F7552903E2D4}"/>
            </c:ext>
          </c:extLst>
        </c:ser>
        <c:ser>
          <c:idx val="7"/>
          <c:order val="7"/>
          <c:tx>
            <c:strRef>
              <c:f>MineralAnalysis!$BW$6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MineralAnalysis!$BW$7:$BW$30</c:f>
              <c:numCache>
                <c:formatCode>General</c:formatCode>
                <c:ptCount val="24"/>
                <c:pt idx="0">
                  <c:v>1.5231433165035397</c:v>
                </c:pt>
                <c:pt idx="1">
                  <c:v>1.1733844808619862</c:v>
                </c:pt>
                <c:pt idx="2">
                  <c:v>1.7290497278086481</c:v>
                </c:pt>
                <c:pt idx="3">
                  <c:v>1.6867401912391053</c:v>
                </c:pt>
                <c:pt idx="4">
                  <c:v>1.6218655684991397</c:v>
                </c:pt>
                <c:pt idx="5">
                  <c:v>1.2269765605167404</c:v>
                </c:pt>
                <c:pt idx="6">
                  <c:v>1.6528925619834709</c:v>
                </c:pt>
                <c:pt idx="7">
                  <c:v>1.5964798465574139</c:v>
                </c:pt>
                <c:pt idx="8">
                  <c:v>0.16134036611852312</c:v>
                </c:pt>
                <c:pt idx="9">
                  <c:v>0.18531577017459736</c:v>
                </c:pt>
                <c:pt idx="10">
                  <c:v>0.26965277973655261</c:v>
                </c:pt>
                <c:pt idx="11">
                  <c:v>1.4892956872479057</c:v>
                </c:pt>
                <c:pt idx="12">
                  <c:v>0.40899218683891347</c:v>
                </c:pt>
                <c:pt idx="13">
                  <c:v>0.11282543085211405</c:v>
                </c:pt>
                <c:pt idx="14">
                  <c:v>0.13087749978845231</c:v>
                </c:pt>
                <c:pt idx="15">
                  <c:v>1.4949369587905112</c:v>
                </c:pt>
                <c:pt idx="16">
                  <c:v>1.5654528530730825</c:v>
                </c:pt>
                <c:pt idx="17">
                  <c:v>1.480833779933997</c:v>
                </c:pt>
                <c:pt idx="18">
                  <c:v>1.6698163766112881</c:v>
                </c:pt>
                <c:pt idx="19">
                  <c:v>0.11987702028037119</c:v>
                </c:pt>
                <c:pt idx="20">
                  <c:v>1.0182495134403293</c:v>
                </c:pt>
                <c:pt idx="21">
                  <c:v>1.159281302005472</c:v>
                </c:pt>
                <c:pt idx="22">
                  <c:v>1.0097876061264208</c:v>
                </c:pt>
                <c:pt idx="23">
                  <c:v>1.1338955800637462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EA-4CB0-96DF-F7552903E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52369048"/>
        <c:axId val="1152376264"/>
      </c:barChart>
      <c:catAx>
        <c:axId val="115236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76264"/>
        <c:crosses val="autoZero"/>
        <c:auto val="1"/>
        <c:lblAlgn val="ctr"/>
        <c:lblOffset val="100"/>
        <c:noMultiLvlLbl val="0"/>
      </c:catAx>
      <c:valAx>
        <c:axId val="11523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6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 percent with O</a:t>
            </a:r>
            <a:r>
              <a:rPr lang="en-US" baseline="0"/>
              <a:t> from gypsum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MineralAnalysis!$BP$6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MineralAnalysis!$BP$7:$BP$30</c:f>
              <c:numCache>
                <c:formatCode>General</c:formatCode>
                <c:ptCount val="24"/>
                <c:pt idx="0">
                  <c:v>5.214831079395179E-2</c:v>
                </c:pt>
                <c:pt idx="1">
                  <c:v>0.15419931134288137</c:v>
                </c:pt>
                <c:pt idx="2">
                  <c:v>1.0978591746095114E-2</c:v>
                </c:pt>
                <c:pt idx="3">
                  <c:v>1.1976645541194668E-2</c:v>
                </c:pt>
                <c:pt idx="4">
                  <c:v>1.4721293477718448E-2</c:v>
                </c:pt>
                <c:pt idx="5">
                  <c:v>8.8327760866310695E-2</c:v>
                </c:pt>
                <c:pt idx="6">
                  <c:v>3.2686261789510451E-2</c:v>
                </c:pt>
                <c:pt idx="7">
                  <c:v>3.2686261789510451E-2</c:v>
                </c:pt>
                <c:pt idx="8">
                  <c:v>0.20859324317580716</c:v>
                </c:pt>
                <c:pt idx="9">
                  <c:v>0.21757572733170319</c:v>
                </c:pt>
                <c:pt idx="10">
                  <c:v>0.15346090330177525</c:v>
                </c:pt>
                <c:pt idx="11">
                  <c:v>5.9883227705973346E-2</c:v>
                </c:pt>
                <c:pt idx="12">
                  <c:v>0.21408253904885471</c:v>
                </c:pt>
                <c:pt idx="13">
                  <c:v>0.12832958645961201</c:v>
                </c:pt>
                <c:pt idx="14">
                  <c:v>0.19312340935176406</c:v>
                </c:pt>
                <c:pt idx="15">
                  <c:v>8.084235740306403E-2</c:v>
                </c:pt>
                <c:pt idx="16">
                  <c:v>5.1150256998852228E-2</c:v>
                </c:pt>
                <c:pt idx="17">
                  <c:v>8.0592843954289131E-2</c:v>
                </c:pt>
                <c:pt idx="18">
                  <c:v>2.3953291082389336E-2</c:v>
                </c:pt>
                <c:pt idx="19">
                  <c:v>0.21632816008782871</c:v>
                </c:pt>
                <c:pt idx="20">
                  <c:v>0.1786516293228205</c:v>
                </c:pt>
                <c:pt idx="21">
                  <c:v>0.15943909376715404</c:v>
                </c:pt>
                <c:pt idx="22">
                  <c:v>0.18638654623484205</c:v>
                </c:pt>
                <c:pt idx="23">
                  <c:v>0.16093617445980338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2-4395-BBB0-E3BA0E0E7FB0}"/>
            </c:ext>
          </c:extLst>
        </c:ser>
        <c:ser>
          <c:idx val="1"/>
          <c:order val="1"/>
          <c:tx>
            <c:strRef>
              <c:f>MineralAnalysis!$BQ$6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MineralAnalysis!$BQ$7:$BQ$30</c:f>
              <c:numCache>
                <c:formatCode>General</c:formatCode>
                <c:ptCount val="24"/>
                <c:pt idx="0">
                  <c:v>5.2080084825048334E-2</c:v>
                </c:pt>
                <c:pt idx="1">
                  <c:v>0.15717582486122372</c:v>
                </c:pt>
                <c:pt idx="2">
                  <c:v>1.0603131042225411E-2</c:v>
                </c:pt>
                <c:pt idx="3">
                  <c:v>1.1226844632944551E-2</c:v>
                </c:pt>
                <c:pt idx="4">
                  <c:v>1.3721698995821117E-2</c:v>
                </c:pt>
                <c:pt idx="5">
                  <c:v>8.7008045905320269E-2</c:v>
                </c:pt>
                <c:pt idx="6">
                  <c:v>2.4948543628765672E-2</c:v>
                </c:pt>
                <c:pt idx="7">
                  <c:v>2.6819684400923093E-2</c:v>
                </c:pt>
                <c:pt idx="8">
                  <c:v>0.21455747520738475</c:v>
                </c:pt>
                <c:pt idx="9">
                  <c:v>0.23295702613359942</c:v>
                </c:pt>
                <c:pt idx="10">
                  <c:v>0.16091810640553858</c:v>
                </c:pt>
                <c:pt idx="11">
                  <c:v>5.488679598328447E-2</c:v>
                </c:pt>
                <c:pt idx="12">
                  <c:v>0.23950601883615041</c:v>
                </c:pt>
                <c:pt idx="13">
                  <c:v>0.13347470841389633</c:v>
                </c:pt>
                <c:pt idx="14">
                  <c:v>0.20083577621156365</c:v>
                </c:pt>
                <c:pt idx="15">
                  <c:v>8.2018337179567136E-2</c:v>
                </c:pt>
                <c:pt idx="16">
                  <c:v>4.5842948917856917E-2</c:v>
                </c:pt>
                <c:pt idx="17">
                  <c:v>7.8587912430611861E-2</c:v>
                </c:pt>
                <c:pt idx="18">
                  <c:v>2.3077402856608243E-2</c:v>
                </c:pt>
                <c:pt idx="19">
                  <c:v>0.2226657518867336</c:v>
                </c:pt>
                <c:pt idx="20">
                  <c:v>0.19802906505332749</c:v>
                </c:pt>
                <c:pt idx="21">
                  <c:v>0.16466038794985341</c:v>
                </c:pt>
                <c:pt idx="22">
                  <c:v>0.20083577621156365</c:v>
                </c:pt>
                <c:pt idx="23">
                  <c:v>0.17588723258279795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2-4395-BBB0-E3BA0E0E7FB0}"/>
            </c:ext>
          </c:extLst>
        </c:ser>
        <c:ser>
          <c:idx val="2"/>
          <c:order val="2"/>
          <c:tx>
            <c:strRef>
              <c:f>MineralAnalysis!$BR$6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MineralAnalysis!$BR$7:$BR$30</c:f>
              <c:numCache>
                <c:formatCode>General</c:formatCode>
                <c:ptCount val="24"/>
                <c:pt idx="0">
                  <c:v>3.7061744866948335E-4</c:v>
                </c:pt>
                <c:pt idx="1">
                  <c:v>1.8530872433474169E-3</c:v>
                </c:pt>
                <c:pt idx="5">
                  <c:v>7.4123489733896671E-4</c:v>
                </c:pt>
                <c:pt idx="6">
                  <c:v>1.1118523460084502E-3</c:v>
                </c:pt>
                <c:pt idx="8">
                  <c:v>4.4474093840338007E-3</c:v>
                </c:pt>
                <c:pt idx="9">
                  <c:v>4.076791935364317E-3</c:v>
                </c:pt>
                <c:pt idx="10">
                  <c:v>7.0417315247201838E-3</c:v>
                </c:pt>
                <c:pt idx="11">
                  <c:v>1.4824697946779334E-3</c:v>
                </c:pt>
                <c:pt idx="12">
                  <c:v>2.594322140686384E-3</c:v>
                </c:pt>
                <c:pt idx="13">
                  <c:v>1.33422281521014E-2</c:v>
                </c:pt>
                <c:pt idx="14">
                  <c:v>4.076791935364317E-3</c:v>
                </c:pt>
                <c:pt idx="15">
                  <c:v>7.4123489733896671E-4</c:v>
                </c:pt>
                <c:pt idx="16">
                  <c:v>7.4123489733896671E-4</c:v>
                </c:pt>
                <c:pt idx="17">
                  <c:v>1.1118523460084502E-3</c:v>
                </c:pt>
                <c:pt idx="19">
                  <c:v>5.188644281372768E-3</c:v>
                </c:pt>
                <c:pt idx="20">
                  <c:v>2.2237046920169003E-3</c:v>
                </c:pt>
                <c:pt idx="21">
                  <c:v>1.4824697946779334E-3</c:v>
                </c:pt>
                <c:pt idx="22">
                  <c:v>1.8530872433474169E-3</c:v>
                </c:pt>
                <c:pt idx="23">
                  <c:v>1.1118523460084502E-3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2-4395-BBB0-E3BA0E0E7FB0}"/>
            </c:ext>
          </c:extLst>
        </c:ser>
        <c:ser>
          <c:idx val="3"/>
          <c:order val="3"/>
          <c:tx>
            <c:strRef>
              <c:f>MineralAnalysis!$BS$6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MineralAnalysis!$BS$7:$BS$30</c:f>
              <c:numCache>
                <c:formatCode>General</c:formatCode>
                <c:ptCount val="24"/>
                <c:pt idx="0">
                  <c:v>1.7906706061420003E-4</c:v>
                </c:pt>
                <c:pt idx="1">
                  <c:v>8.9533530307100019E-4</c:v>
                </c:pt>
                <c:pt idx="2">
                  <c:v>1.7906706061420003E-4</c:v>
                </c:pt>
                <c:pt idx="4">
                  <c:v>1.7906706061420003E-4</c:v>
                </c:pt>
                <c:pt idx="5">
                  <c:v>5.3720118184260007E-4</c:v>
                </c:pt>
                <c:pt idx="6">
                  <c:v>5.3720118184260007E-4</c:v>
                </c:pt>
                <c:pt idx="7">
                  <c:v>3.5813412122840006E-4</c:v>
                </c:pt>
                <c:pt idx="8">
                  <c:v>1.9697376667562002E-3</c:v>
                </c:pt>
                <c:pt idx="9">
                  <c:v>1.7906706061420004E-3</c:v>
                </c:pt>
                <c:pt idx="10">
                  <c:v>3.0441400304414006E-3</c:v>
                </c:pt>
                <c:pt idx="11">
                  <c:v>7.1626824245680013E-4</c:v>
                </c:pt>
                <c:pt idx="12">
                  <c:v>1.0744023636852001E-3</c:v>
                </c:pt>
                <c:pt idx="13">
                  <c:v>5.730145939654401E-3</c:v>
                </c:pt>
                <c:pt idx="14">
                  <c:v>1.6116035455278001E-3</c:v>
                </c:pt>
                <c:pt idx="15">
                  <c:v>3.5813412122840006E-4</c:v>
                </c:pt>
                <c:pt idx="16">
                  <c:v>5.3720118184260007E-4</c:v>
                </c:pt>
                <c:pt idx="17">
                  <c:v>5.3720118184260007E-4</c:v>
                </c:pt>
                <c:pt idx="18">
                  <c:v>1.7906706061420003E-4</c:v>
                </c:pt>
                <c:pt idx="19">
                  <c:v>2.1488047273704003E-3</c:v>
                </c:pt>
                <c:pt idx="20">
                  <c:v>1.0744023636852001E-3</c:v>
                </c:pt>
                <c:pt idx="21">
                  <c:v>7.1626824245680013E-4</c:v>
                </c:pt>
                <c:pt idx="22">
                  <c:v>7.1626824245680013E-4</c:v>
                </c:pt>
                <c:pt idx="23">
                  <c:v>5.3720118184260007E-4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2-4395-BBB0-E3BA0E0E7FB0}"/>
            </c:ext>
          </c:extLst>
        </c:ser>
        <c:ser>
          <c:idx val="4"/>
          <c:order val="4"/>
          <c:tx>
            <c:strRef>
              <c:f>MineralAnalysis!$BT$6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MineralAnalysis!$BT$7:$BT$30</c:f>
              <c:numCache>
                <c:formatCode>General</c:formatCode>
                <c:ptCount val="24"/>
                <c:pt idx="0">
                  <c:v>4.3480484935290815E-3</c:v>
                </c:pt>
                <c:pt idx="1">
                  <c:v>6.6499565195150649E-3</c:v>
                </c:pt>
                <c:pt idx="2">
                  <c:v>3.0692107013146454E-3</c:v>
                </c:pt>
                <c:pt idx="3">
                  <c:v>7.4172591948437261E-3</c:v>
                </c:pt>
                <c:pt idx="4">
                  <c:v>6.3941889610721779E-3</c:v>
                </c:pt>
                <c:pt idx="5">
                  <c:v>5.3711187273006288E-3</c:v>
                </c:pt>
                <c:pt idx="6">
                  <c:v>2.8134431428717584E-3</c:v>
                </c:pt>
                <c:pt idx="7">
                  <c:v>4.0922809350861936E-3</c:v>
                </c:pt>
                <c:pt idx="8">
                  <c:v>4.8595836104148547E-3</c:v>
                </c:pt>
                <c:pt idx="9">
                  <c:v>4.6038160519719677E-3</c:v>
                </c:pt>
                <c:pt idx="10">
                  <c:v>7.4172591948437261E-3</c:v>
                </c:pt>
                <c:pt idx="11">
                  <c:v>4.8595836104148547E-3</c:v>
                </c:pt>
                <c:pt idx="12">
                  <c:v>3.3249782597575325E-3</c:v>
                </c:pt>
                <c:pt idx="13">
                  <c:v>7.1614916364008399E-3</c:v>
                </c:pt>
                <c:pt idx="14">
                  <c:v>4.6038160519719677E-3</c:v>
                </c:pt>
                <c:pt idx="15">
                  <c:v>1.2788377922144357E-3</c:v>
                </c:pt>
                <c:pt idx="16">
                  <c:v>3.5807458182004199E-3</c:v>
                </c:pt>
                <c:pt idx="17">
                  <c:v>2.3019080259859838E-3</c:v>
                </c:pt>
                <c:pt idx="18">
                  <c:v>2.3019080259859838E-3</c:v>
                </c:pt>
                <c:pt idx="19">
                  <c:v>4.6038160519719677E-3</c:v>
                </c:pt>
                <c:pt idx="20">
                  <c:v>4.0922809350861936E-3</c:v>
                </c:pt>
                <c:pt idx="21">
                  <c:v>2.0461404675430968E-3</c:v>
                </c:pt>
                <c:pt idx="22">
                  <c:v>5.6268862857435167E-3</c:v>
                </c:pt>
                <c:pt idx="23">
                  <c:v>1.79037290910021E-3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2-4395-BBB0-E3BA0E0E7FB0}"/>
            </c:ext>
          </c:extLst>
        </c:ser>
        <c:ser>
          <c:idx val="5"/>
          <c:order val="5"/>
          <c:tx>
            <c:strRef>
              <c:f>MineralAnalysis!$BU$6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MineralAnalysis!$BU$7:$BU$30</c:f>
              <c:numCache>
                <c:formatCode>General</c:formatCode>
                <c:ptCount val="24"/>
                <c:pt idx="0">
                  <c:v>4.5258177329767536E-3</c:v>
                </c:pt>
                <c:pt idx="1">
                  <c:v>1.0285949393128987E-2</c:v>
                </c:pt>
                <c:pt idx="2">
                  <c:v>2.4686278543509564E-3</c:v>
                </c:pt>
                <c:pt idx="3">
                  <c:v>5.7601316601522323E-3</c:v>
                </c:pt>
                <c:pt idx="4">
                  <c:v>4.9372557087019129E-3</c:v>
                </c:pt>
                <c:pt idx="5">
                  <c:v>6.1715696358773916E-3</c:v>
                </c:pt>
                <c:pt idx="6">
                  <c:v>3.2915038058012754E-3</c:v>
                </c:pt>
                <c:pt idx="7">
                  <c:v>4.1143797572515944E-3</c:v>
                </c:pt>
                <c:pt idx="8">
                  <c:v>1.2343139271754783E-2</c:v>
                </c:pt>
                <c:pt idx="9">
                  <c:v>1.1520263320304465E-2</c:v>
                </c:pt>
                <c:pt idx="10">
                  <c:v>2.5509154494959885E-2</c:v>
                </c:pt>
                <c:pt idx="11">
                  <c:v>6.1715696358773916E-3</c:v>
                </c:pt>
                <c:pt idx="12">
                  <c:v>6.9944455873277109E-3</c:v>
                </c:pt>
                <c:pt idx="13">
                  <c:v>4.0320921621065625E-2</c:v>
                </c:pt>
                <c:pt idx="14">
                  <c:v>1.1931701296029622E-2</c:v>
                </c:pt>
                <c:pt idx="15">
                  <c:v>1.6457519029006377E-3</c:v>
                </c:pt>
                <c:pt idx="16">
                  <c:v>4.5258177329767536E-3</c:v>
                </c:pt>
                <c:pt idx="17">
                  <c:v>3.2915038058012754E-3</c:v>
                </c:pt>
                <c:pt idx="18">
                  <c:v>2.0571898786257972E-3</c:v>
                </c:pt>
                <c:pt idx="19">
                  <c:v>1.3166015223205102E-2</c:v>
                </c:pt>
                <c:pt idx="20">
                  <c:v>7.4058835630528693E-3</c:v>
                </c:pt>
                <c:pt idx="21">
                  <c:v>4.1143797572515944E-3</c:v>
                </c:pt>
                <c:pt idx="22">
                  <c:v>9.0516354659535073E-3</c:v>
                </c:pt>
                <c:pt idx="23">
                  <c:v>2.8800658300761161E-3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2-4395-BBB0-E3BA0E0E7FB0}"/>
            </c:ext>
          </c:extLst>
        </c:ser>
        <c:ser>
          <c:idx val="6"/>
          <c:order val="6"/>
          <c:tx>
            <c:strRef>
              <c:f>MineralAnalysis!$BV$6</c:f>
              <c:strCache>
                <c:ptCount val="1"/>
                <c:pt idx="0">
                  <c:v>Na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MineralAnalysis!$BV$7:$BV$30</c:f>
              <c:numCache>
                <c:formatCode>General</c:formatCode>
                <c:ptCount val="24"/>
                <c:pt idx="0">
                  <c:v>1.1355399402025217</c:v>
                </c:pt>
                <c:pt idx="1">
                  <c:v>0.87650854652638699</c:v>
                </c:pt>
                <c:pt idx="2">
                  <c:v>1.288034228415085</c:v>
                </c:pt>
                <c:pt idx="3">
                  <c:v>1.2566997856316815</c:v>
                </c:pt>
                <c:pt idx="4">
                  <c:v>1.2086536400304631</c:v>
                </c:pt>
                <c:pt idx="5">
                  <c:v>0.91619884071869795</c:v>
                </c:pt>
                <c:pt idx="6">
                  <c:v>1.2316322314049586</c:v>
                </c:pt>
                <c:pt idx="7">
                  <c:v>1.1898529743604209</c:v>
                </c:pt>
                <c:pt idx="8">
                  <c:v>0.13223140495867769</c:v>
                </c:pt>
                <c:pt idx="9">
                  <c:v>0.13875598086124402</c:v>
                </c:pt>
                <c:pt idx="10">
                  <c:v>0.20748151370160939</c:v>
                </c:pt>
                <c:pt idx="11">
                  <c:v>1.110472385975799</c:v>
                </c:pt>
                <c:pt idx="12">
                  <c:v>0.31143975641583299</c:v>
                </c:pt>
                <c:pt idx="13">
                  <c:v>9.960852544584603E-2</c:v>
                </c:pt>
                <c:pt idx="14">
                  <c:v>9.6128751631143983E-2</c:v>
                </c:pt>
                <c:pt idx="15">
                  <c:v>1.1146503116802526</c:v>
                </c:pt>
                <c:pt idx="16">
                  <c:v>1.1668743829859249</c:v>
                </c:pt>
                <c:pt idx="17">
                  <c:v>1.1042054974191182</c:v>
                </c:pt>
                <c:pt idx="18">
                  <c:v>1.2441660085183202</c:v>
                </c:pt>
                <c:pt idx="19">
                  <c:v>9.5693779904306234E-2</c:v>
                </c:pt>
                <c:pt idx="20">
                  <c:v>0.76161558965390785</c:v>
                </c:pt>
                <c:pt idx="21">
                  <c:v>0.86606373226525257</c:v>
                </c:pt>
                <c:pt idx="22">
                  <c:v>0.75534870109722729</c:v>
                </c:pt>
                <c:pt idx="23">
                  <c:v>0.84726306659521045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2-4395-BBB0-E3BA0E0E7FB0}"/>
            </c:ext>
          </c:extLst>
        </c:ser>
        <c:ser>
          <c:idx val="7"/>
          <c:order val="7"/>
          <c:tx>
            <c:strRef>
              <c:f>MineralAnalysis!$BW$6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MineralAnalysis!$BW$7:$BW$30</c:f>
              <c:numCache>
                <c:formatCode>General</c:formatCode>
                <c:ptCount val="24"/>
                <c:pt idx="0">
                  <c:v>1.5231433165035397</c:v>
                </c:pt>
                <c:pt idx="1">
                  <c:v>1.1733844808619862</c:v>
                </c:pt>
                <c:pt idx="2">
                  <c:v>1.7290497278086481</c:v>
                </c:pt>
                <c:pt idx="3">
                  <c:v>1.6867401912391053</c:v>
                </c:pt>
                <c:pt idx="4">
                  <c:v>1.6218655684991397</c:v>
                </c:pt>
                <c:pt idx="5">
                  <c:v>1.2269765605167404</c:v>
                </c:pt>
                <c:pt idx="6">
                  <c:v>1.6528925619834709</c:v>
                </c:pt>
                <c:pt idx="7">
                  <c:v>1.5964798465574139</c:v>
                </c:pt>
                <c:pt idx="8">
                  <c:v>0.16134036611852312</c:v>
                </c:pt>
                <c:pt idx="9">
                  <c:v>0.18531577017459736</c:v>
                </c:pt>
                <c:pt idx="10">
                  <c:v>0.26965277973655261</c:v>
                </c:pt>
                <c:pt idx="11">
                  <c:v>1.4892956872479057</c:v>
                </c:pt>
                <c:pt idx="12">
                  <c:v>0.40899218683891347</c:v>
                </c:pt>
                <c:pt idx="13">
                  <c:v>0.11282543085211405</c:v>
                </c:pt>
                <c:pt idx="14">
                  <c:v>0.13087749978845231</c:v>
                </c:pt>
                <c:pt idx="15">
                  <c:v>1.4949369587905112</c:v>
                </c:pt>
                <c:pt idx="16">
                  <c:v>1.5654528530730825</c:v>
                </c:pt>
                <c:pt idx="17">
                  <c:v>1.480833779933997</c:v>
                </c:pt>
                <c:pt idx="18">
                  <c:v>1.6698163766112881</c:v>
                </c:pt>
                <c:pt idx="19">
                  <c:v>0.11987702028037119</c:v>
                </c:pt>
                <c:pt idx="20">
                  <c:v>1.0182495134403293</c:v>
                </c:pt>
                <c:pt idx="21">
                  <c:v>1.159281302005472</c:v>
                </c:pt>
                <c:pt idx="22">
                  <c:v>1.0097876061264208</c:v>
                </c:pt>
                <c:pt idx="23">
                  <c:v>1.1338955800637462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2-4395-BBB0-E3BA0E0E7FB0}"/>
            </c:ext>
          </c:extLst>
        </c:ser>
        <c:ser>
          <c:idx val="8"/>
          <c:order val="8"/>
          <c:tx>
            <c:strRef>
              <c:f>MineralAnalysis!$BX$6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MineralAnalysis!$BX$7:$BX$30</c:f>
              <c:numCache>
                <c:formatCode>General</c:formatCode>
                <c:ptCount val="24"/>
                <c:pt idx="0">
                  <c:v>0.31379703920300889</c:v>
                </c:pt>
                <c:pt idx="1">
                  <c:v>0.93968467034235748</c:v>
                </c:pt>
                <c:pt idx="2">
                  <c:v>6.4745168364961581E-2</c:v>
                </c:pt>
                <c:pt idx="3">
                  <c:v>6.9610470522417645E-2</c:v>
                </c:pt>
                <c:pt idx="4">
                  <c:v>8.5328977420618693E-2</c:v>
                </c:pt>
                <c:pt idx="5">
                  <c:v>0.52823112500690983</c:v>
                </c:pt>
                <c:pt idx="6">
                  <c:v>0.17623997329285371</c:v>
                </c:pt>
                <c:pt idx="7">
                  <c:v>0.17851783857130066</c:v>
                </c:pt>
                <c:pt idx="8">
                  <c:v>1.2827943833016771</c:v>
                </c:pt>
                <c:pt idx="9">
                  <c:v>1.3638286362020009</c:v>
                </c:pt>
                <c:pt idx="10">
                  <c:v>0.96426222369610193</c:v>
                </c:pt>
                <c:pt idx="11">
                  <c:v>0.34875748045180727</c:v>
                </c:pt>
                <c:pt idx="12">
                  <c:v>1.3685486400770746</c:v>
                </c:pt>
                <c:pt idx="13">
                  <c:v>0.82543956907682914</c:v>
                </c:pt>
                <c:pt idx="14">
                  <c:v>1.1941079324960759</c:v>
                </c:pt>
                <c:pt idx="15">
                  <c:v>0.49080578843991035</c:v>
                </c:pt>
                <c:pt idx="16">
                  <c:v>0.29320332244214437</c:v>
                </c:pt>
                <c:pt idx="17">
                  <c:v>0.48087782619272829</c:v>
                </c:pt>
                <c:pt idx="18">
                  <c:v>0.14109208181699273</c:v>
                </c:pt>
                <c:pt idx="19">
                  <c:v>1.3325476687678051</c:v>
                </c:pt>
                <c:pt idx="20">
                  <c:v>1.1367131972044946</c:v>
                </c:pt>
                <c:pt idx="21">
                  <c:v>0.97674585453505602</c:v>
                </c:pt>
                <c:pt idx="22">
                  <c:v>1.1672262290692592</c:v>
                </c:pt>
                <c:pt idx="23">
                  <c:v>1.0138057781658294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2-4395-BBB0-E3BA0E0E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6708832"/>
        <c:axId val="1826710800"/>
      </c:barChart>
      <c:catAx>
        <c:axId val="18267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10800"/>
        <c:crosses val="autoZero"/>
        <c:auto val="1"/>
        <c:lblAlgn val="ctr"/>
        <c:lblOffset val="100"/>
        <c:noMultiLvlLbl val="0"/>
      </c:catAx>
      <c:valAx>
        <c:axId val="18267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% with extrap oxygen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MineralAnalysis!$CG$6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MineralAnalysis!$CG$7:$CG$30</c:f>
              <c:numCache>
                <c:formatCode>General</c:formatCode>
                <c:ptCount val="24"/>
                <c:pt idx="0">
                  <c:v>1.67</c:v>
                </c:pt>
                <c:pt idx="1">
                  <c:v>5.04</c:v>
                </c:pt>
                <c:pt idx="2">
                  <c:v>0.34</c:v>
                </c:pt>
                <c:pt idx="3">
                  <c:v>0.36</c:v>
                </c:pt>
                <c:pt idx="4">
                  <c:v>0.44</c:v>
                </c:pt>
                <c:pt idx="5">
                  <c:v>2.79</c:v>
                </c:pt>
                <c:pt idx="6">
                  <c:v>0.8</c:v>
                </c:pt>
                <c:pt idx="7">
                  <c:v>0.86</c:v>
                </c:pt>
                <c:pt idx="8">
                  <c:v>6.88</c:v>
                </c:pt>
                <c:pt idx="9">
                  <c:v>7.47</c:v>
                </c:pt>
                <c:pt idx="10">
                  <c:v>5.16</c:v>
                </c:pt>
                <c:pt idx="11">
                  <c:v>1.76</c:v>
                </c:pt>
                <c:pt idx="12">
                  <c:v>7.68</c:v>
                </c:pt>
                <c:pt idx="13">
                  <c:v>4.28</c:v>
                </c:pt>
                <c:pt idx="14">
                  <c:v>6.44</c:v>
                </c:pt>
                <c:pt idx="15">
                  <c:v>2.63</c:v>
                </c:pt>
                <c:pt idx="16">
                  <c:v>1.47</c:v>
                </c:pt>
                <c:pt idx="17">
                  <c:v>2.52</c:v>
                </c:pt>
                <c:pt idx="18">
                  <c:v>0.74</c:v>
                </c:pt>
                <c:pt idx="19">
                  <c:v>7.14</c:v>
                </c:pt>
                <c:pt idx="20">
                  <c:v>6.35</c:v>
                </c:pt>
                <c:pt idx="21">
                  <c:v>5.28</c:v>
                </c:pt>
                <c:pt idx="22">
                  <c:v>6.44</c:v>
                </c:pt>
                <c:pt idx="23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2-48FB-B995-42467BDAF972}"/>
            </c:ext>
          </c:extLst>
        </c:ser>
        <c:ser>
          <c:idx val="1"/>
          <c:order val="1"/>
          <c:tx>
            <c:strRef>
              <c:f>MineralAnalysis!$CH$6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MineralAnalysis!$CH$7:$CH$30</c:f>
              <c:numCache>
                <c:formatCode>General</c:formatCode>
                <c:ptCount val="24"/>
                <c:pt idx="0">
                  <c:v>2.09</c:v>
                </c:pt>
                <c:pt idx="1">
                  <c:v>6.18</c:v>
                </c:pt>
                <c:pt idx="2">
                  <c:v>0.44</c:v>
                </c:pt>
                <c:pt idx="3">
                  <c:v>0.48</c:v>
                </c:pt>
                <c:pt idx="4">
                  <c:v>0.59</c:v>
                </c:pt>
                <c:pt idx="5">
                  <c:v>3.54</c:v>
                </c:pt>
                <c:pt idx="6">
                  <c:v>1.31</c:v>
                </c:pt>
                <c:pt idx="7">
                  <c:v>1.31</c:v>
                </c:pt>
                <c:pt idx="8">
                  <c:v>8.36</c:v>
                </c:pt>
                <c:pt idx="9">
                  <c:v>8.7200000000000006</c:v>
                </c:pt>
                <c:pt idx="10">
                  <c:v>7.6148200000000008</c:v>
                </c:pt>
                <c:pt idx="11">
                  <c:v>2.4</c:v>
                </c:pt>
                <c:pt idx="12">
                  <c:v>8.58</c:v>
                </c:pt>
                <c:pt idx="13">
                  <c:v>14.428080000000001</c:v>
                </c:pt>
                <c:pt idx="14">
                  <c:v>7.74</c:v>
                </c:pt>
                <c:pt idx="15">
                  <c:v>3.24</c:v>
                </c:pt>
                <c:pt idx="16">
                  <c:v>2.0499999999999998</c:v>
                </c:pt>
                <c:pt idx="17">
                  <c:v>3.23</c:v>
                </c:pt>
                <c:pt idx="18">
                  <c:v>0.96</c:v>
                </c:pt>
                <c:pt idx="19">
                  <c:v>8.67</c:v>
                </c:pt>
                <c:pt idx="20">
                  <c:v>7.16</c:v>
                </c:pt>
                <c:pt idx="21">
                  <c:v>6.39</c:v>
                </c:pt>
                <c:pt idx="22">
                  <c:v>7.47</c:v>
                </c:pt>
                <c:pt idx="23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2-48FB-B995-42467BDAF972}"/>
            </c:ext>
          </c:extLst>
        </c:ser>
        <c:ser>
          <c:idx val="2"/>
          <c:order val="2"/>
          <c:tx>
            <c:strRef>
              <c:f>MineralAnalysis!$CI$6</c:f>
              <c:strCache>
                <c:ptCount val="1"/>
                <c:pt idx="0">
                  <c:v>O extrap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MineralAnalysis!$CI$7:$CI$30</c:f>
              <c:numCache>
                <c:formatCode>General</c:formatCode>
                <c:ptCount val="24"/>
                <c:pt idx="0">
                  <c:v>5.0204388302089393</c:v>
                </c:pt>
                <c:pt idx="1">
                  <c:v>15.034015040807377</c:v>
                </c:pt>
                <c:pt idx="2">
                  <c:v>1.0358579486710204</c:v>
                </c:pt>
                <c:pt idx="3">
                  <c:v>1.1136979178881599</c:v>
                </c:pt>
                <c:pt idx="4">
                  <c:v>1.3651783097524786</c:v>
                </c:pt>
                <c:pt idx="5">
                  <c:v>8.4511697689855509</c:v>
                </c:pt>
                <c:pt idx="6">
                  <c:v>2.8196633327123664</c:v>
                </c:pt>
                <c:pt idx="7">
                  <c:v>2.8561068993022394</c:v>
                </c:pt>
                <c:pt idx="8">
                  <c:v>20.523427338443533</c:v>
                </c:pt>
                <c:pt idx="9">
                  <c:v>21.819894350595813</c:v>
                </c:pt>
                <c:pt idx="10">
                  <c:v>15.427231316913936</c:v>
                </c:pt>
                <c:pt idx="11">
                  <c:v>5.5797709297484648</c:v>
                </c:pt>
                <c:pt idx="12">
                  <c:v>21.895409692593116</c:v>
                </c:pt>
                <c:pt idx="13">
                  <c:v>13.206207665660189</c:v>
                </c:pt>
                <c:pt idx="14">
                  <c:v>19.10453281200472</c:v>
                </c:pt>
                <c:pt idx="15">
                  <c:v>7.852401809250126</c:v>
                </c:pt>
                <c:pt idx="16">
                  <c:v>4.6909599557518682</c:v>
                </c:pt>
                <c:pt idx="17">
                  <c:v>7.6935643412574599</c:v>
                </c:pt>
                <c:pt idx="18">
                  <c:v>2.2573322169900667</c:v>
                </c:pt>
                <c:pt idx="19">
                  <c:v>21.319430152616114</c:v>
                </c:pt>
                <c:pt idx="20">
                  <c:v>18.186274442074708</c:v>
                </c:pt>
                <c:pt idx="21">
                  <c:v>15.626956926706361</c:v>
                </c:pt>
                <c:pt idx="22">
                  <c:v>18.674452438879079</c:v>
                </c:pt>
                <c:pt idx="23">
                  <c:v>16.219878644875106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2-48FB-B995-42467BDAF972}"/>
            </c:ext>
          </c:extLst>
        </c:ser>
        <c:ser>
          <c:idx val="3"/>
          <c:order val="3"/>
          <c:tx>
            <c:strRef>
              <c:f>MineralAnalysis!$CK$6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MineralAnalysis!$CK$7:$CK$30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0.12</c:v>
                </c:pt>
                <c:pt idx="9">
                  <c:v>0.11</c:v>
                </c:pt>
                <c:pt idx="10">
                  <c:v>0.19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0.36</c:v>
                </c:pt>
                <c:pt idx="14">
                  <c:v>0.11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</c:v>
                </c:pt>
                <c:pt idx="19">
                  <c:v>0.14000000000000001</c:v>
                </c:pt>
                <c:pt idx="20">
                  <c:v>0.06</c:v>
                </c:pt>
                <c:pt idx="21">
                  <c:v>0.04</c:v>
                </c:pt>
                <c:pt idx="22">
                  <c:v>0.05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2-48FB-B995-42467BDAF972}"/>
            </c:ext>
          </c:extLst>
        </c:ser>
        <c:ser>
          <c:idx val="4"/>
          <c:order val="4"/>
          <c:tx>
            <c:strRef>
              <c:f>MineralAnalysis!$CL$6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MineralAnalysis!$CL$7:$CL$30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0.11</c:v>
                </c:pt>
                <c:pt idx="9">
                  <c:v>0.1</c:v>
                </c:pt>
                <c:pt idx="10">
                  <c:v>0.17</c:v>
                </c:pt>
                <c:pt idx="11">
                  <c:v>0.04</c:v>
                </c:pt>
                <c:pt idx="12">
                  <c:v>0.06</c:v>
                </c:pt>
                <c:pt idx="13">
                  <c:v>0.32</c:v>
                </c:pt>
                <c:pt idx="14">
                  <c:v>0.09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0.01</c:v>
                </c:pt>
                <c:pt idx="19">
                  <c:v>0.12</c:v>
                </c:pt>
                <c:pt idx="20">
                  <c:v>0.06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2-48FB-B995-42467BDAF972}"/>
            </c:ext>
          </c:extLst>
        </c:ser>
        <c:ser>
          <c:idx val="5"/>
          <c:order val="5"/>
          <c:tx>
            <c:strRef>
              <c:f>MineralAnalysis!$CM$6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MineralAnalysis!$CM$7:$CM$30</c:f>
              <c:numCache>
                <c:formatCode>General</c:formatCode>
                <c:ptCount val="24"/>
                <c:pt idx="0">
                  <c:v>0.17</c:v>
                </c:pt>
                <c:pt idx="1">
                  <c:v>0.26</c:v>
                </c:pt>
                <c:pt idx="2">
                  <c:v>0.12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0.21</c:v>
                </c:pt>
                <c:pt idx="6">
                  <c:v>0.11</c:v>
                </c:pt>
                <c:pt idx="7">
                  <c:v>0.16</c:v>
                </c:pt>
                <c:pt idx="8">
                  <c:v>0.19</c:v>
                </c:pt>
                <c:pt idx="9">
                  <c:v>0.18</c:v>
                </c:pt>
                <c:pt idx="10">
                  <c:v>0.28999999999999998</c:v>
                </c:pt>
                <c:pt idx="11">
                  <c:v>0.19</c:v>
                </c:pt>
                <c:pt idx="12">
                  <c:v>0.13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0.05</c:v>
                </c:pt>
                <c:pt idx="16">
                  <c:v>0.14000000000000001</c:v>
                </c:pt>
                <c:pt idx="17">
                  <c:v>0.09</c:v>
                </c:pt>
                <c:pt idx="18">
                  <c:v>0.09</c:v>
                </c:pt>
                <c:pt idx="19">
                  <c:v>0.18</c:v>
                </c:pt>
                <c:pt idx="20">
                  <c:v>0.16</c:v>
                </c:pt>
                <c:pt idx="21">
                  <c:v>0.08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2-48FB-B995-42467BDAF972}"/>
            </c:ext>
          </c:extLst>
        </c:ser>
        <c:ser>
          <c:idx val="6"/>
          <c:order val="6"/>
          <c:tx>
            <c:strRef>
              <c:f>MineralAnalysis!$CN$6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MineralAnalysis!$CN$7:$CN$30</c:f>
              <c:numCache>
                <c:formatCode>General</c:formatCode>
                <c:ptCount val="24"/>
                <c:pt idx="0">
                  <c:v>0.11</c:v>
                </c:pt>
                <c:pt idx="1">
                  <c:v>0.25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0.15</c:v>
                </c:pt>
                <c:pt idx="6">
                  <c:v>0.08</c:v>
                </c:pt>
                <c:pt idx="7">
                  <c:v>0.1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0.62</c:v>
                </c:pt>
                <c:pt idx="11">
                  <c:v>0.15</c:v>
                </c:pt>
                <c:pt idx="12">
                  <c:v>0.17</c:v>
                </c:pt>
                <c:pt idx="13">
                  <c:v>0.98</c:v>
                </c:pt>
                <c:pt idx="14">
                  <c:v>0.28999999999999998</c:v>
                </c:pt>
                <c:pt idx="15">
                  <c:v>0.04</c:v>
                </c:pt>
                <c:pt idx="16">
                  <c:v>0.11</c:v>
                </c:pt>
                <c:pt idx="17">
                  <c:v>0.08</c:v>
                </c:pt>
                <c:pt idx="18">
                  <c:v>0.05</c:v>
                </c:pt>
                <c:pt idx="19">
                  <c:v>0.32</c:v>
                </c:pt>
                <c:pt idx="20">
                  <c:v>0.18</c:v>
                </c:pt>
                <c:pt idx="21">
                  <c:v>0.1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82-48FB-B995-42467BDAF972}"/>
            </c:ext>
          </c:extLst>
        </c:ser>
        <c:ser>
          <c:idx val="7"/>
          <c:order val="7"/>
          <c:tx>
            <c:strRef>
              <c:f>MineralAnalysis!$CO$6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MineralAnalysis!$CO$7:$CO$30</c:f>
              <c:numCache>
                <c:formatCode>General</c:formatCode>
                <c:ptCount val="24"/>
                <c:pt idx="0">
                  <c:v>26.106063225255973</c:v>
                </c:pt>
                <c:pt idx="1">
                  <c:v>20.150931484641635</c:v>
                </c:pt>
                <c:pt idx="2">
                  <c:v>29.6119069112628</c:v>
                </c:pt>
                <c:pt idx="3">
                  <c:v>28.891528071672354</c:v>
                </c:pt>
                <c:pt idx="4">
                  <c:v>27.786947184300345</c:v>
                </c:pt>
                <c:pt idx="5">
                  <c:v>21.063411348122866</c:v>
                </c:pt>
                <c:pt idx="6">
                  <c:v>28.315224999999995</c:v>
                </c:pt>
                <c:pt idx="7">
                  <c:v>27.354719880546075</c:v>
                </c:pt>
                <c:pt idx="8">
                  <c:v>3.04</c:v>
                </c:pt>
                <c:pt idx="9">
                  <c:v>3.19</c:v>
                </c:pt>
                <c:pt idx="10">
                  <c:v>4.7699999999999996</c:v>
                </c:pt>
                <c:pt idx="11">
                  <c:v>25.529760153583616</c:v>
                </c:pt>
                <c:pt idx="12">
                  <c:v>7.16</c:v>
                </c:pt>
                <c:pt idx="13">
                  <c:v>2.29</c:v>
                </c:pt>
                <c:pt idx="14">
                  <c:v>2.21</c:v>
                </c:pt>
                <c:pt idx="15">
                  <c:v>25.625810665529006</c:v>
                </c:pt>
                <c:pt idx="16">
                  <c:v>26.826442064846411</c:v>
                </c:pt>
                <c:pt idx="17">
                  <c:v>25.385684385665527</c:v>
                </c:pt>
                <c:pt idx="18">
                  <c:v>28.60337653583618</c:v>
                </c:pt>
                <c:pt idx="19">
                  <c:v>2.2000000000000002</c:v>
                </c:pt>
                <c:pt idx="20">
                  <c:v>17.509542406143339</c:v>
                </c:pt>
                <c:pt idx="21">
                  <c:v>19.910805204778157</c:v>
                </c:pt>
                <c:pt idx="22">
                  <c:v>17.365466638225254</c:v>
                </c:pt>
                <c:pt idx="23">
                  <c:v>19.478577901023886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82-48FB-B995-42467BDAF972}"/>
            </c:ext>
          </c:extLst>
        </c:ser>
        <c:ser>
          <c:idx val="8"/>
          <c:order val="8"/>
          <c:tx>
            <c:strRef>
              <c:f>MineralAnalysis!$CP$6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MineralAnalysis!$CP$7:$CP$30</c:f>
              <c:numCache>
                <c:formatCode>General</c:formatCode>
                <c:ptCount val="24"/>
                <c:pt idx="0">
                  <c:v>54</c:v>
                </c:pt>
                <c:pt idx="1">
                  <c:v>41.6</c:v>
                </c:pt>
                <c:pt idx="2">
                  <c:v>61.300000000000004</c:v>
                </c:pt>
                <c:pt idx="3">
                  <c:v>59.800000000000004</c:v>
                </c:pt>
                <c:pt idx="4">
                  <c:v>57.5</c:v>
                </c:pt>
                <c:pt idx="5">
                  <c:v>43.5</c:v>
                </c:pt>
                <c:pt idx="6">
                  <c:v>58.6</c:v>
                </c:pt>
                <c:pt idx="7">
                  <c:v>56.6</c:v>
                </c:pt>
                <c:pt idx="8">
                  <c:v>5.7200000000000006</c:v>
                </c:pt>
                <c:pt idx="9">
                  <c:v>6.57</c:v>
                </c:pt>
                <c:pt idx="10">
                  <c:v>9.56</c:v>
                </c:pt>
                <c:pt idx="11">
                  <c:v>52.800000000000004</c:v>
                </c:pt>
                <c:pt idx="12">
                  <c:v>14.5</c:v>
                </c:pt>
                <c:pt idx="13">
                  <c:v>4</c:v>
                </c:pt>
                <c:pt idx="14">
                  <c:v>4.6400000000000006</c:v>
                </c:pt>
                <c:pt idx="15">
                  <c:v>53</c:v>
                </c:pt>
                <c:pt idx="16">
                  <c:v>55.5</c:v>
                </c:pt>
                <c:pt idx="17">
                  <c:v>52.5</c:v>
                </c:pt>
                <c:pt idx="18">
                  <c:v>59.2</c:v>
                </c:pt>
                <c:pt idx="19">
                  <c:v>4.25</c:v>
                </c:pt>
                <c:pt idx="20">
                  <c:v>36.1</c:v>
                </c:pt>
                <c:pt idx="21">
                  <c:v>41.1</c:v>
                </c:pt>
                <c:pt idx="22">
                  <c:v>35.800000000000004</c:v>
                </c:pt>
                <c:pt idx="23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82-48FB-B995-42467BDAF972}"/>
            </c:ext>
          </c:extLst>
        </c:ser>
        <c:ser>
          <c:idx val="9"/>
          <c:order val="9"/>
          <c:tx>
            <c:strRef>
              <c:f>MineralAnalysis!$CQ$6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MineralAnalysis!$CQ$7:$CQ$30</c:f>
              <c:numCache>
                <c:formatCode>General</c:formatCode>
                <c:ptCount val="24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1.6E-2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82-48FB-B995-42467BDAF972}"/>
            </c:ext>
          </c:extLst>
        </c:ser>
        <c:ser>
          <c:idx val="10"/>
          <c:order val="10"/>
          <c:tx>
            <c:strRef>
              <c:f>MineralAnalysis!$CT$6</c:f>
              <c:strCache>
                <c:ptCount val="1"/>
                <c:pt idx="0">
                  <c:v>*missing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MineralAnalysis!$CT$7:$CT$30</c:f>
              <c:numCache>
                <c:formatCode>General</c:formatCode>
                <c:ptCount val="24"/>
                <c:pt idx="0">
                  <c:v>10.603581955758415</c:v>
                </c:pt>
                <c:pt idx="1">
                  <c:v>10.754943950235926</c:v>
                </c:pt>
                <c:pt idx="2">
                  <c:v>7.038769550370489</c:v>
                </c:pt>
                <c:pt idx="3">
                  <c:v>8.8780421812287642</c:v>
                </c:pt>
                <c:pt idx="4">
                  <c:v>11.880590319105465</c:v>
                </c:pt>
                <c:pt idx="5">
                  <c:v>19.891292568053515</c:v>
                </c:pt>
                <c:pt idx="6">
                  <c:v>7.7890351691752358</c:v>
                </c:pt>
                <c:pt idx="7">
                  <c:v>10.619328244524155</c:v>
                </c:pt>
                <c:pt idx="8">
                  <c:v>53.898347114732729</c:v>
                </c:pt>
                <c:pt idx="9">
                  <c:v>50.646732683925066</c:v>
                </c:pt>
                <c:pt idx="10">
                  <c:v>55.554789357535533</c:v>
                </c:pt>
                <c:pt idx="11">
                  <c:v>11.277322088957746</c:v>
                </c:pt>
                <c:pt idx="12">
                  <c:v>38.838062951826487</c:v>
                </c:pt>
                <c:pt idx="13">
                  <c:v>59.312438484464572</c:v>
                </c:pt>
                <c:pt idx="14">
                  <c:v>58.397033388270735</c:v>
                </c:pt>
                <c:pt idx="15">
                  <c:v>7.1937860863314427</c:v>
                </c:pt>
                <c:pt idx="16">
                  <c:v>8.9662536626854603</c:v>
                </c:pt>
                <c:pt idx="17">
                  <c:v>8.1191612297178182</c:v>
                </c:pt>
                <c:pt idx="18">
                  <c:v>7.994571429580617</c:v>
                </c:pt>
                <c:pt idx="19">
                  <c:v>54.769436108667122</c:v>
                </c:pt>
                <c:pt idx="20">
                  <c:v>13.472548233308387</c:v>
                </c:pt>
                <c:pt idx="21">
                  <c:v>10.777501512337423</c:v>
                </c:pt>
                <c:pt idx="22">
                  <c:v>12.938215165488614</c:v>
                </c:pt>
                <c:pt idx="23">
                  <c:v>11.131181112317208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82-48FB-B995-42467BDA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611528"/>
        <c:axId val="1055614808"/>
      </c:barChart>
      <c:catAx>
        <c:axId val="10556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14808"/>
        <c:crosses val="autoZero"/>
        <c:auto val="1"/>
        <c:lblAlgn val="ctr"/>
        <c:lblOffset val="100"/>
        <c:noMultiLvlLbl val="0"/>
      </c:catAx>
      <c:valAx>
        <c:axId val="10556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Relative % with extrap oxygen (clay and gyps) - w/o missing*</a:t>
            </a:r>
          </a:p>
        </c:rich>
      </c:tx>
      <c:layout>
        <c:manualLayout>
          <c:xMode val="edge"/>
          <c:yMode val="edge"/>
          <c:x val="0.10639469778233457"/>
          <c:y val="3.088803464421422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48054435194179E-2"/>
          <c:y val="0.10126119250432523"/>
          <c:w val="0.85457016045882428"/>
          <c:h val="0.8441679195169694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MineralAnalysis!$CG$6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MineralAnalysis!$CG$7:$CG$30</c:f>
              <c:numCache>
                <c:formatCode>General</c:formatCode>
                <c:ptCount val="24"/>
                <c:pt idx="0">
                  <c:v>1.67</c:v>
                </c:pt>
                <c:pt idx="1">
                  <c:v>5.04</c:v>
                </c:pt>
                <c:pt idx="2">
                  <c:v>0.34</c:v>
                </c:pt>
                <c:pt idx="3">
                  <c:v>0.36</c:v>
                </c:pt>
                <c:pt idx="4">
                  <c:v>0.44</c:v>
                </c:pt>
                <c:pt idx="5">
                  <c:v>2.79</c:v>
                </c:pt>
                <c:pt idx="6">
                  <c:v>0.8</c:v>
                </c:pt>
                <c:pt idx="7">
                  <c:v>0.86</c:v>
                </c:pt>
                <c:pt idx="8">
                  <c:v>6.88</c:v>
                </c:pt>
                <c:pt idx="9">
                  <c:v>7.47</c:v>
                </c:pt>
                <c:pt idx="10">
                  <c:v>5.16</c:v>
                </c:pt>
                <c:pt idx="11">
                  <c:v>1.76</c:v>
                </c:pt>
                <c:pt idx="12">
                  <c:v>7.68</c:v>
                </c:pt>
                <c:pt idx="13">
                  <c:v>4.28</c:v>
                </c:pt>
                <c:pt idx="14">
                  <c:v>6.44</c:v>
                </c:pt>
                <c:pt idx="15">
                  <c:v>2.63</c:v>
                </c:pt>
                <c:pt idx="16">
                  <c:v>1.47</c:v>
                </c:pt>
                <c:pt idx="17">
                  <c:v>2.52</c:v>
                </c:pt>
                <c:pt idx="18">
                  <c:v>0.74</c:v>
                </c:pt>
                <c:pt idx="19">
                  <c:v>7.14</c:v>
                </c:pt>
                <c:pt idx="20">
                  <c:v>6.35</c:v>
                </c:pt>
                <c:pt idx="21">
                  <c:v>5.28</c:v>
                </c:pt>
                <c:pt idx="22">
                  <c:v>6.44</c:v>
                </c:pt>
                <c:pt idx="23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4-4F6F-AF4A-4D2F7F3BEABB}"/>
            </c:ext>
          </c:extLst>
        </c:ser>
        <c:ser>
          <c:idx val="1"/>
          <c:order val="1"/>
          <c:tx>
            <c:strRef>
              <c:f>MineralAnalysis!$CH$6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MineralAnalysis!$CH$7:$CH$30</c:f>
              <c:numCache>
                <c:formatCode>General</c:formatCode>
                <c:ptCount val="24"/>
                <c:pt idx="0">
                  <c:v>2.09</c:v>
                </c:pt>
                <c:pt idx="1">
                  <c:v>6.18</c:v>
                </c:pt>
                <c:pt idx="2">
                  <c:v>0.44</c:v>
                </c:pt>
                <c:pt idx="3">
                  <c:v>0.48</c:v>
                </c:pt>
                <c:pt idx="4">
                  <c:v>0.59</c:v>
                </c:pt>
                <c:pt idx="5">
                  <c:v>3.54</c:v>
                </c:pt>
                <c:pt idx="6">
                  <c:v>1.31</c:v>
                </c:pt>
                <c:pt idx="7">
                  <c:v>1.31</c:v>
                </c:pt>
                <c:pt idx="8">
                  <c:v>8.36</c:v>
                </c:pt>
                <c:pt idx="9">
                  <c:v>8.7200000000000006</c:v>
                </c:pt>
                <c:pt idx="10">
                  <c:v>7.6148200000000008</c:v>
                </c:pt>
                <c:pt idx="11">
                  <c:v>2.4</c:v>
                </c:pt>
                <c:pt idx="12">
                  <c:v>8.58</c:v>
                </c:pt>
                <c:pt idx="13">
                  <c:v>14.428080000000001</c:v>
                </c:pt>
                <c:pt idx="14">
                  <c:v>7.74</c:v>
                </c:pt>
                <c:pt idx="15">
                  <c:v>3.24</c:v>
                </c:pt>
                <c:pt idx="16">
                  <c:v>2.0499999999999998</c:v>
                </c:pt>
                <c:pt idx="17">
                  <c:v>3.23</c:v>
                </c:pt>
                <c:pt idx="18">
                  <c:v>0.96</c:v>
                </c:pt>
                <c:pt idx="19">
                  <c:v>8.67</c:v>
                </c:pt>
                <c:pt idx="20">
                  <c:v>7.16</c:v>
                </c:pt>
                <c:pt idx="21">
                  <c:v>6.39</c:v>
                </c:pt>
                <c:pt idx="22">
                  <c:v>7.47</c:v>
                </c:pt>
                <c:pt idx="23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4-4F6F-AF4A-4D2F7F3BEABB}"/>
            </c:ext>
          </c:extLst>
        </c:ser>
        <c:ser>
          <c:idx val="2"/>
          <c:order val="2"/>
          <c:tx>
            <c:strRef>
              <c:f>MineralAnalysis!$CI$6</c:f>
              <c:strCache>
                <c:ptCount val="1"/>
                <c:pt idx="0">
                  <c:v>O extrap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MineralAnalysis!$CI$7:$CI$30</c:f>
              <c:numCache>
                <c:formatCode>General</c:formatCode>
                <c:ptCount val="24"/>
                <c:pt idx="0">
                  <c:v>5.0204388302089393</c:v>
                </c:pt>
                <c:pt idx="1">
                  <c:v>15.034015040807377</c:v>
                </c:pt>
                <c:pt idx="2">
                  <c:v>1.0358579486710204</c:v>
                </c:pt>
                <c:pt idx="3">
                  <c:v>1.1136979178881599</c:v>
                </c:pt>
                <c:pt idx="4">
                  <c:v>1.3651783097524786</c:v>
                </c:pt>
                <c:pt idx="5">
                  <c:v>8.4511697689855509</c:v>
                </c:pt>
                <c:pt idx="6">
                  <c:v>2.8196633327123664</c:v>
                </c:pt>
                <c:pt idx="7">
                  <c:v>2.8561068993022394</c:v>
                </c:pt>
                <c:pt idx="8">
                  <c:v>20.523427338443533</c:v>
                </c:pt>
                <c:pt idx="9">
                  <c:v>21.819894350595813</c:v>
                </c:pt>
                <c:pt idx="10">
                  <c:v>15.427231316913936</c:v>
                </c:pt>
                <c:pt idx="11">
                  <c:v>5.5797709297484648</c:v>
                </c:pt>
                <c:pt idx="12">
                  <c:v>21.895409692593116</c:v>
                </c:pt>
                <c:pt idx="13">
                  <c:v>13.206207665660189</c:v>
                </c:pt>
                <c:pt idx="14">
                  <c:v>19.10453281200472</c:v>
                </c:pt>
                <c:pt idx="15">
                  <c:v>7.852401809250126</c:v>
                </c:pt>
                <c:pt idx="16">
                  <c:v>4.6909599557518682</c:v>
                </c:pt>
                <c:pt idx="17">
                  <c:v>7.6935643412574599</c:v>
                </c:pt>
                <c:pt idx="18">
                  <c:v>2.2573322169900667</c:v>
                </c:pt>
                <c:pt idx="19">
                  <c:v>21.319430152616114</c:v>
                </c:pt>
                <c:pt idx="20">
                  <c:v>18.186274442074708</c:v>
                </c:pt>
                <c:pt idx="21">
                  <c:v>15.626956926706361</c:v>
                </c:pt>
                <c:pt idx="22">
                  <c:v>18.674452438879079</c:v>
                </c:pt>
                <c:pt idx="23">
                  <c:v>16.219878644875106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4-4F6F-AF4A-4D2F7F3BEABB}"/>
            </c:ext>
          </c:extLst>
        </c:ser>
        <c:ser>
          <c:idx val="3"/>
          <c:order val="3"/>
          <c:tx>
            <c:strRef>
              <c:f>MineralAnalysis!$CK$6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MineralAnalysis!$CK$7:$CK$30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0.12</c:v>
                </c:pt>
                <c:pt idx="9">
                  <c:v>0.11</c:v>
                </c:pt>
                <c:pt idx="10">
                  <c:v>0.19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0.36</c:v>
                </c:pt>
                <c:pt idx="14">
                  <c:v>0.11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</c:v>
                </c:pt>
                <c:pt idx="19">
                  <c:v>0.14000000000000001</c:v>
                </c:pt>
                <c:pt idx="20">
                  <c:v>0.06</c:v>
                </c:pt>
                <c:pt idx="21">
                  <c:v>0.04</c:v>
                </c:pt>
                <c:pt idx="22">
                  <c:v>0.05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04-4F6F-AF4A-4D2F7F3BEABB}"/>
            </c:ext>
          </c:extLst>
        </c:ser>
        <c:ser>
          <c:idx val="4"/>
          <c:order val="4"/>
          <c:tx>
            <c:strRef>
              <c:f>MineralAnalysis!$CL$6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MineralAnalysis!$CL$7:$CL$30</c:f>
              <c:numCache>
                <c:formatCode>General</c:formatCode>
                <c:ptCount val="24"/>
                <c:pt idx="0">
                  <c:v>0.01</c:v>
                </c:pt>
                <c:pt idx="1">
                  <c:v>0.05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0.11</c:v>
                </c:pt>
                <c:pt idx="9">
                  <c:v>0.1</c:v>
                </c:pt>
                <c:pt idx="10">
                  <c:v>0.17</c:v>
                </c:pt>
                <c:pt idx="11">
                  <c:v>0.04</c:v>
                </c:pt>
                <c:pt idx="12">
                  <c:v>0.06</c:v>
                </c:pt>
                <c:pt idx="13">
                  <c:v>0.32</c:v>
                </c:pt>
                <c:pt idx="14">
                  <c:v>0.09</c:v>
                </c:pt>
                <c:pt idx="15">
                  <c:v>0.02</c:v>
                </c:pt>
                <c:pt idx="16">
                  <c:v>0.03</c:v>
                </c:pt>
                <c:pt idx="17">
                  <c:v>0.03</c:v>
                </c:pt>
                <c:pt idx="18">
                  <c:v>0.01</c:v>
                </c:pt>
                <c:pt idx="19">
                  <c:v>0.12</c:v>
                </c:pt>
                <c:pt idx="20">
                  <c:v>0.06</c:v>
                </c:pt>
                <c:pt idx="21">
                  <c:v>0.04</c:v>
                </c:pt>
                <c:pt idx="22">
                  <c:v>0.04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04-4F6F-AF4A-4D2F7F3BEABB}"/>
            </c:ext>
          </c:extLst>
        </c:ser>
        <c:ser>
          <c:idx val="5"/>
          <c:order val="5"/>
          <c:tx>
            <c:strRef>
              <c:f>MineralAnalysis!$CM$6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MineralAnalysis!$CM$7:$CM$30</c:f>
              <c:numCache>
                <c:formatCode>General</c:formatCode>
                <c:ptCount val="24"/>
                <c:pt idx="0">
                  <c:v>0.17</c:v>
                </c:pt>
                <c:pt idx="1">
                  <c:v>0.26</c:v>
                </c:pt>
                <c:pt idx="2">
                  <c:v>0.12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0.21</c:v>
                </c:pt>
                <c:pt idx="6">
                  <c:v>0.11</c:v>
                </c:pt>
                <c:pt idx="7">
                  <c:v>0.16</c:v>
                </c:pt>
                <c:pt idx="8">
                  <c:v>0.19</c:v>
                </c:pt>
                <c:pt idx="9">
                  <c:v>0.18</c:v>
                </c:pt>
                <c:pt idx="10">
                  <c:v>0.28999999999999998</c:v>
                </c:pt>
                <c:pt idx="11">
                  <c:v>0.19</c:v>
                </c:pt>
                <c:pt idx="12">
                  <c:v>0.13</c:v>
                </c:pt>
                <c:pt idx="13">
                  <c:v>0.28000000000000003</c:v>
                </c:pt>
                <c:pt idx="14">
                  <c:v>0.18</c:v>
                </c:pt>
                <c:pt idx="15">
                  <c:v>0.05</c:v>
                </c:pt>
                <c:pt idx="16">
                  <c:v>0.14000000000000001</c:v>
                </c:pt>
                <c:pt idx="17">
                  <c:v>0.09</c:v>
                </c:pt>
                <c:pt idx="18">
                  <c:v>0.09</c:v>
                </c:pt>
                <c:pt idx="19">
                  <c:v>0.18</c:v>
                </c:pt>
                <c:pt idx="20">
                  <c:v>0.16</c:v>
                </c:pt>
                <c:pt idx="21">
                  <c:v>0.08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04-4F6F-AF4A-4D2F7F3BEABB}"/>
            </c:ext>
          </c:extLst>
        </c:ser>
        <c:ser>
          <c:idx val="6"/>
          <c:order val="6"/>
          <c:tx>
            <c:strRef>
              <c:f>MineralAnalysis!$CN$6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MineralAnalysis!$CN$7:$CN$30</c:f>
              <c:numCache>
                <c:formatCode>General</c:formatCode>
                <c:ptCount val="24"/>
                <c:pt idx="0">
                  <c:v>0.11</c:v>
                </c:pt>
                <c:pt idx="1">
                  <c:v>0.25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0.15</c:v>
                </c:pt>
                <c:pt idx="6">
                  <c:v>0.08</c:v>
                </c:pt>
                <c:pt idx="7">
                  <c:v>0.1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0.62</c:v>
                </c:pt>
                <c:pt idx="11">
                  <c:v>0.15</c:v>
                </c:pt>
                <c:pt idx="12">
                  <c:v>0.17</c:v>
                </c:pt>
                <c:pt idx="13">
                  <c:v>0.98</c:v>
                </c:pt>
                <c:pt idx="14">
                  <c:v>0.28999999999999998</c:v>
                </c:pt>
                <c:pt idx="15">
                  <c:v>0.04</c:v>
                </c:pt>
                <c:pt idx="16">
                  <c:v>0.11</c:v>
                </c:pt>
                <c:pt idx="17">
                  <c:v>0.08</c:v>
                </c:pt>
                <c:pt idx="18">
                  <c:v>0.05</c:v>
                </c:pt>
                <c:pt idx="19">
                  <c:v>0.32</c:v>
                </c:pt>
                <c:pt idx="20">
                  <c:v>0.18</c:v>
                </c:pt>
                <c:pt idx="21">
                  <c:v>0.1</c:v>
                </c:pt>
                <c:pt idx="22">
                  <c:v>0.22</c:v>
                </c:pt>
                <c:pt idx="2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04-4F6F-AF4A-4D2F7F3BEABB}"/>
            </c:ext>
          </c:extLst>
        </c:ser>
        <c:ser>
          <c:idx val="7"/>
          <c:order val="7"/>
          <c:tx>
            <c:strRef>
              <c:f>MineralAnalysis!$CO$6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MineralAnalysis!$CO$7:$CO$30</c:f>
              <c:numCache>
                <c:formatCode>General</c:formatCode>
                <c:ptCount val="24"/>
                <c:pt idx="0">
                  <c:v>26.106063225255973</c:v>
                </c:pt>
                <c:pt idx="1">
                  <c:v>20.150931484641635</c:v>
                </c:pt>
                <c:pt idx="2">
                  <c:v>29.6119069112628</c:v>
                </c:pt>
                <c:pt idx="3">
                  <c:v>28.891528071672354</c:v>
                </c:pt>
                <c:pt idx="4">
                  <c:v>27.786947184300345</c:v>
                </c:pt>
                <c:pt idx="5">
                  <c:v>21.063411348122866</c:v>
                </c:pt>
                <c:pt idx="6">
                  <c:v>28.315224999999995</c:v>
                </c:pt>
                <c:pt idx="7">
                  <c:v>27.354719880546075</c:v>
                </c:pt>
                <c:pt idx="8">
                  <c:v>3.04</c:v>
                </c:pt>
                <c:pt idx="9">
                  <c:v>3.19</c:v>
                </c:pt>
                <c:pt idx="10">
                  <c:v>4.7699999999999996</c:v>
                </c:pt>
                <c:pt idx="11">
                  <c:v>25.529760153583616</c:v>
                </c:pt>
                <c:pt idx="12">
                  <c:v>7.16</c:v>
                </c:pt>
                <c:pt idx="13">
                  <c:v>2.29</c:v>
                </c:pt>
                <c:pt idx="14">
                  <c:v>2.21</c:v>
                </c:pt>
                <c:pt idx="15">
                  <c:v>25.625810665529006</c:v>
                </c:pt>
                <c:pt idx="16">
                  <c:v>26.826442064846411</c:v>
                </c:pt>
                <c:pt idx="17">
                  <c:v>25.385684385665527</c:v>
                </c:pt>
                <c:pt idx="18">
                  <c:v>28.60337653583618</c:v>
                </c:pt>
                <c:pt idx="19">
                  <c:v>2.2000000000000002</c:v>
                </c:pt>
                <c:pt idx="20">
                  <c:v>17.509542406143339</c:v>
                </c:pt>
                <c:pt idx="21">
                  <c:v>19.910805204778157</c:v>
                </c:pt>
                <c:pt idx="22">
                  <c:v>17.365466638225254</c:v>
                </c:pt>
                <c:pt idx="23">
                  <c:v>19.478577901023886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04-4F6F-AF4A-4D2F7F3BEABB}"/>
            </c:ext>
          </c:extLst>
        </c:ser>
        <c:ser>
          <c:idx val="8"/>
          <c:order val="8"/>
          <c:tx>
            <c:strRef>
              <c:f>MineralAnalysis!$CP$6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MineralAnalysis!$CP$7:$CP$30</c:f>
              <c:numCache>
                <c:formatCode>General</c:formatCode>
                <c:ptCount val="24"/>
                <c:pt idx="0">
                  <c:v>54</c:v>
                </c:pt>
                <c:pt idx="1">
                  <c:v>41.6</c:v>
                </c:pt>
                <c:pt idx="2">
                  <c:v>61.300000000000004</c:v>
                </c:pt>
                <c:pt idx="3">
                  <c:v>59.800000000000004</c:v>
                </c:pt>
                <c:pt idx="4">
                  <c:v>57.5</c:v>
                </c:pt>
                <c:pt idx="5">
                  <c:v>43.5</c:v>
                </c:pt>
                <c:pt idx="6">
                  <c:v>58.6</c:v>
                </c:pt>
                <c:pt idx="7">
                  <c:v>56.6</c:v>
                </c:pt>
                <c:pt idx="8">
                  <c:v>5.7200000000000006</c:v>
                </c:pt>
                <c:pt idx="9">
                  <c:v>6.57</c:v>
                </c:pt>
                <c:pt idx="10">
                  <c:v>9.56</c:v>
                </c:pt>
                <c:pt idx="11">
                  <c:v>52.800000000000004</c:v>
                </c:pt>
                <c:pt idx="12">
                  <c:v>14.5</c:v>
                </c:pt>
                <c:pt idx="13">
                  <c:v>4</c:v>
                </c:pt>
                <c:pt idx="14">
                  <c:v>4.6400000000000006</c:v>
                </c:pt>
                <c:pt idx="15">
                  <c:v>53</c:v>
                </c:pt>
                <c:pt idx="16">
                  <c:v>55.5</c:v>
                </c:pt>
                <c:pt idx="17">
                  <c:v>52.5</c:v>
                </c:pt>
                <c:pt idx="18">
                  <c:v>59.2</c:v>
                </c:pt>
                <c:pt idx="19">
                  <c:v>4.25</c:v>
                </c:pt>
                <c:pt idx="20">
                  <c:v>36.1</c:v>
                </c:pt>
                <c:pt idx="21">
                  <c:v>41.1</c:v>
                </c:pt>
                <c:pt idx="22">
                  <c:v>35.800000000000004</c:v>
                </c:pt>
                <c:pt idx="23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04-4F6F-AF4A-4D2F7F3BEABB}"/>
            </c:ext>
          </c:extLst>
        </c:ser>
        <c:ser>
          <c:idx val="9"/>
          <c:order val="9"/>
          <c:tx>
            <c:strRef>
              <c:f>MineralAnalysis!$CQ$6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MineralAnalysis!$CQ$7:$CQ$30</c:f>
              <c:numCache>
                <c:formatCode>General</c:formatCode>
                <c:ptCount val="24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1.6E-2</c:v>
                </c:pt>
                <c:pt idx="14">
                  <c:v>5.0000000000000001E-3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7.0000000000000001E-3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04-4F6F-AF4A-4D2F7F3B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1055611528"/>
        <c:axId val="1055614808"/>
      </c:barChart>
      <c:catAx>
        <c:axId val="1055611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14808"/>
        <c:crosses val="autoZero"/>
        <c:auto val="1"/>
        <c:lblAlgn val="ctr"/>
        <c:lblOffset val="100"/>
        <c:noMultiLvlLbl val="0"/>
      </c:catAx>
      <c:valAx>
        <c:axId val="10556148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percent</a:t>
                </a:r>
              </a:p>
            </c:rich>
          </c:tx>
          <c:layout>
            <c:manualLayout>
              <c:xMode val="edge"/>
              <c:yMode val="edge"/>
              <c:x val="0.44521295226439173"/>
              <c:y val="3.22547693740029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Quantitative</a:t>
            </a:r>
            <a:r>
              <a:rPr lang="en-US" baseline="0"/>
              <a:t> Mineralogical Extrapolation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MineralAnalysis!$CC$6</c:f>
              <c:strCache>
                <c:ptCount val="1"/>
                <c:pt idx="0">
                  <c:v>gypsum (mol % Ca + S, and extrap O)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MineralAnalysis!$CC$7:$CC$30</c:f>
              <c:numCache>
                <c:formatCode>General</c:formatCode>
                <c:ptCount val="24"/>
                <c:pt idx="0">
                  <c:v>0.10422839561900013</c:v>
                </c:pt>
                <c:pt idx="1">
                  <c:v>0.31137513620410506</c:v>
                </c:pt>
                <c:pt idx="2">
                  <c:v>2.1581722788320525E-2</c:v>
                </c:pt>
                <c:pt idx="3">
                  <c:v>2.3203490174139217E-2</c:v>
                </c:pt>
                <c:pt idx="4">
                  <c:v>2.8442992473539565E-2</c:v>
                </c:pt>
                <c:pt idx="5">
                  <c:v>0.17533580677163096</c:v>
                </c:pt>
                <c:pt idx="6">
                  <c:v>5.7634805418276119E-2</c:v>
                </c:pt>
                <c:pt idx="7">
                  <c:v>5.9505946190433548E-2</c:v>
                </c:pt>
                <c:pt idx="8">
                  <c:v>0.4231507183831919</c:v>
                </c:pt>
                <c:pt idx="9">
                  <c:v>0.45053275346530264</c:v>
                </c:pt>
                <c:pt idx="10">
                  <c:v>0.31437900970731381</c:v>
                </c:pt>
                <c:pt idx="11">
                  <c:v>0.11477002368925782</c:v>
                </c:pt>
                <c:pt idx="12">
                  <c:v>0.45358855788500513</c:v>
                </c:pt>
                <c:pt idx="13">
                  <c:v>0.26180429487350831</c:v>
                </c:pt>
                <c:pt idx="14">
                  <c:v>0.39395918556332771</c:v>
                </c:pt>
                <c:pt idx="15">
                  <c:v>0.16286069458263117</c:v>
                </c:pt>
                <c:pt idx="16">
                  <c:v>9.6993205916709152E-2</c:v>
                </c:pt>
                <c:pt idx="17">
                  <c:v>0.15918075638490098</c:v>
                </c:pt>
                <c:pt idx="18">
                  <c:v>4.7030693938997579E-2</c:v>
                </c:pt>
                <c:pt idx="19">
                  <c:v>0.43899391197456228</c:v>
                </c:pt>
                <c:pt idx="20">
                  <c:v>0.37668069437614798</c:v>
                </c:pt>
                <c:pt idx="21">
                  <c:v>0.32409948171700742</c:v>
                </c:pt>
                <c:pt idx="22">
                  <c:v>0.3872223224464057</c:v>
                </c:pt>
                <c:pt idx="23">
                  <c:v>0.33682340704260133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6-4BDA-8FDC-8E21B3A89C05}"/>
            </c:ext>
          </c:extLst>
        </c:ser>
        <c:ser>
          <c:idx val="1"/>
          <c:order val="1"/>
          <c:tx>
            <c:strRef>
              <c:f>MineralAnalysis!$CD$6</c:f>
              <c:strCache>
                <c:ptCount val="1"/>
                <c:pt idx="0">
                  <c:v>halite (mol % Na + Cl)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MineralAnalysis!$CD$7:$CD$30</c:f>
              <c:numCache>
                <c:formatCode>General</c:formatCode>
                <c:ptCount val="24"/>
                <c:pt idx="0">
                  <c:v>2.6586832567060616</c:v>
                </c:pt>
                <c:pt idx="1">
                  <c:v>2.0498930273883733</c:v>
                </c:pt>
                <c:pt idx="2">
                  <c:v>3.017083956223733</c:v>
                </c:pt>
                <c:pt idx="3">
                  <c:v>2.9434399768707866</c:v>
                </c:pt>
                <c:pt idx="4">
                  <c:v>2.8305192085296027</c:v>
                </c:pt>
                <c:pt idx="5">
                  <c:v>2.1431754012354385</c:v>
                </c:pt>
                <c:pt idx="6">
                  <c:v>2.8845247933884295</c:v>
                </c:pt>
                <c:pt idx="7">
                  <c:v>2.7863328209178349</c:v>
                </c:pt>
                <c:pt idx="8">
                  <c:v>0.29357177107720078</c:v>
                </c:pt>
                <c:pt idx="9">
                  <c:v>0.3240717510358414</c:v>
                </c:pt>
                <c:pt idx="10">
                  <c:v>0.47713429343816199</c:v>
                </c:pt>
                <c:pt idx="11">
                  <c:v>2.5997680732237045</c:v>
                </c:pt>
                <c:pt idx="12">
                  <c:v>0.72043194325474647</c:v>
                </c:pt>
                <c:pt idx="13">
                  <c:v>0.21243395629796008</c:v>
                </c:pt>
                <c:pt idx="14">
                  <c:v>0.22700625141959629</c:v>
                </c:pt>
                <c:pt idx="15">
                  <c:v>2.6095872704707639</c:v>
                </c:pt>
                <c:pt idx="16">
                  <c:v>2.7323272360590076</c:v>
                </c:pt>
                <c:pt idx="17">
                  <c:v>2.5850392773531152</c:v>
                </c:pt>
                <c:pt idx="18">
                  <c:v>2.9139823851296081</c:v>
                </c:pt>
                <c:pt idx="19">
                  <c:v>0.21557080018467742</c:v>
                </c:pt>
                <c:pt idx="20">
                  <c:v>1.7798651030942372</c:v>
                </c:pt>
                <c:pt idx="21">
                  <c:v>2.0253450342707247</c:v>
                </c:pt>
                <c:pt idx="22">
                  <c:v>1.7651363072236481</c:v>
                </c:pt>
                <c:pt idx="23">
                  <c:v>1.9811586466589568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6-4BDA-8FDC-8E21B3A89C05}"/>
            </c:ext>
          </c:extLst>
        </c:ser>
        <c:ser>
          <c:idx val="2"/>
          <c:order val="2"/>
          <c:tx>
            <c:strRef>
              <c:f>MineralAnalysis!$CE$6</c:f>
              <c:strCache>
                <c:ptCount val="1"/>
                <c:pt idx="0">
                  <c:v>clay (Fe, Mg, Al + extrap O) mol5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MineralAnalysis!$CE$7:$CE$30</c:f>
              <c:numCache>
                <c:formatCode>General</c:formatCode>
                <c:ptCount val="24"/>
                <c:pt idx="0">
                  <c:v>6.1873545882688875E-3</c:v>
                </c:pt>
                <c:pt idx="1">
                  <c:v>1.8593633669589656E-2</c:v>
                </c:pt>
                <c:pt idx="2">
                  <c:v>2.6476949149651565E-3</c:v>
                </c:pt>
                <c:pt idx="3">
                  <c:v>5.7601316601522323E-3</c:v>
                </c:pt>
                <c:pt idx="4">
                  <c:v>5.116322769316113E-3</c:v>
                </c:pt>
                <c:pt idx="5">
                  <c:v>9.6737104070758577E-3</c:v>
                </c:pt>
                <c:pt idx="6">
                  <c:v>8.2761143716776758E-3</c:v>
                </c:pt>
                <c:pt idx="7">
                  <c:v>4.4725138784799945E-3</c:v>
                </c:pt>
                <c:pt idx="8">
                  <c:v>3.2102514474646182E-2</c:v>
                </c:pt>
                <c:pt idx="9">
                  <c:v>2.9618101667903733E-2</c:v>
                </c:pt>
                <c:pt idx="10">
                  <c:v>5.6720220624282024E-2</c:v>
                </c:pt>
                <c:pt idx="11">
                  <c:v>1.2817717057045926E-2</c:v>
                </c:pt>
                <c:pt idx="12">
                  <c:v>1.8446136513758447E-2</c:v>
                </c:pt>
                <c:pt idx="13">
                  <c:v>9.9419980169125621E-2</c:v>
                </c:pt>
                <c:pt idx="14">
                  <c:v>2.9850472583014688E-2</c:v>
                </c:pt>
                <c:pt idx="15">
                  <c:v>4.9688256134849049E-3</c:v>
                </c:pt>
                <c:pt idx="16">
                  <c:v>8.0279585041752206E-3</c:v>
                </c:pt>
                <c:pt idx="17">
                  <c:v>8.2761143716776758E-3</c:v>
                </c:pt>
                <c:pt idx="18">
                  <c:v>2.2362569392399972E-3</c:v>
                </c:pt>
                <c:pt idx="19">
                  <c:v>3.6069397076066573E-2</c:v>
                </c:pt>
                <c:pt idx="20">
                  <c:v>1.7375104694805674E-2</c:v>
                </c:pt>
                <c:pt idx="21">
                  <c:v>1.0760527178420128E-2</c:v>
                </c:pt>
                <c:pt idx="22">
                  <c:v>1.7180252681799974E-2</c:v>
                </c:pt>
                <c:pt idx="23">
                  <c:v>7.8646763959525183E-3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6-4BDA-8FDC-8E21B3A89C05}"/>
            </c:ext>
          </c:extLst>
        </c:ser>
        <c:ser>
          <c:idx val="3"/>
          <c:order val="3"/>
          <c:tx>
            <c:strRef>
              <c:f>MineralAnalysis!$CF$6</c:f>
              <c:strCache>
                <c:ptCount val="1"/>
                <c:pt idx="0">
                  <c:v>K (mol%)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MineralAnalysis!$C$7:$C$30</c:f>
              <c:strCache>
                <c:ptCount val="24"/>
                <c:pt idx="0">
                  <c:v>29-1 </c:v>
                </c:pt>
                <c:pt idx="1">
                  <c:v>12B-1 </c:v>
                </c:pt>
                <c:pt idx="2">
                  <c:v>33-1 </c:v>
                </c:pt>
                <c:pt idx="3">
                  <c:v>35-1 </c:v>
                </c:pt>
                <c:pt idx="4">
                  <c:v>56-1 </c:v>
                </c:pt>
                <c:pt idx="5">
                  <c:v>67B-1 </c:v>
                </c:pt>
                <c:pt idx="6">
                  <c:v>46-1 </c:v>
                </c:pt>
                <c:pt idx="7">
                  <c:v>41-1 </c:v>
                </c:pt>
                <c:pt idx="8">
                  <c:v>29-2 </c:v>
                </c:pt>
                <c:pt idx="9">
                  <c:v>12B-2 </c:v>
                </c:pt>
                <c:pt idx="10">
                  <c:v>33-2 </c:v>
                </c:pt>
                <c:pt idx="11">
                  <c:v>56-2 </c:v>
                </c:pt>
                <c:pt idx="12">
                  <c:v>67B-2 </c:v>
                </c:pt>
                <c:pt idx="13">
                  <c:v>46-2 </c:v>
                </c:pt>
                <c:pt idx="14">
                  <c:v>41-2 </c:v>
                </c:pt>
                <c:pt idx="15">
                  <c:v>29-3 </c:v>
                </c:pt>
                <c:pt idx="16">
                  <c:v>35-2 </c:v>
                </c:pt>
                <c:pt idx="17">
                  <c:v>35-3 </c:v>
                </c:pt>
                <c:pt idx="18">
                  <c:v>56-3 </c:v>
                </c:pt>
                <c:pt idx="19">
                  <c:v>12B-3 </c:v>
                </c:pt>
                <c:pt idx="20">
                  <c:v>56-4 </c:v>
                </c:pt>
                <c:pt idx="21">
                  <c:v>12B-4 </c:v>
                </c:pt>
                <c:pt idx="22">
                  <c:v>33-3 </c:v>
                </c:pt>
                <c:pt idx="23">
                  <c:v>67B-3 </c:v>
                </c:pt>
              </c:strCache>
            </c:strRef>
          </c:cat>
          <c:val>
            <c:numRef>
              <c:f>MineralAnalysis!$CF$7:$CF$30</c:f>
              <c:numCache>
                <c:formatCode>General</c:formatCode>
                <c:ptCount val="24"/>
                <c:pt idx="0">
                  <c:v>4.3480484935290815E-3</c:v>
                </c:pt>
                <c:pt idx="1">
                  <c:v>6.6499565195150649E-3</c:v>
                </c:pt>
                <c:pt idx="2">
                  <c:v>3.0692107013146454E-3</c:v>
                </c:pt>
                <c:pt idx="3">
                  <c:v>7.4172591948437261E-3</c:v>
                </c:pt>
                <c:pt idx="4">
                  <c:v>6.3941889610721779E-3</c:v>
                </c:pt>
                <c:pt idx="5">
                  <c:v>5.3711187273006288E-3</c:v>
                </c:pt>
                <c:pt idx="6">
                  <c:v>2.8134431428717584E-3</c:v>
                </c:pt>
                <c:pt idx="7">
                  <c:v>4.0922809350861936E-3</c:v>
                </c:pt>
                <c:pt idx="8">
                  <c:v>4.8595836104148547E-3</c:v>
                </c:pt>
                <c:pt idx="9">
                  <c:v>4.6038160519719677E-3</c:v>
                </c:pt>
                <c:pt idx="10">
                  <c:v>7.4172591948437261E-3</c:v>
                </c:pt>
                <c:pt idx="11">
                  <c:v>4.8595836104148547E-3</c:v>
                </c:pt>
                <c:pt idx="12">
                  <c:v>3.3249782597575325E-3</c:v>
                </c:pt>
                <c:pt idx="13">
                  <c:v>7.1614916364008399E-3</c:v>
                </c:pt>
                <c:pt idx="14">
                  <c:v>4.6038160519719677E-3</c:v>
                </c:pt>
                <c:pt idx="15">
                  <c:v>1.2788377922144357E-3</c:v>
                </c:pt>
                <c:pt idx="16">
                  <c:v>3.5807458182004199E-3</c:v>
                </c:pt>
                <c:pt idx="17">
                  <c:v>2.3019080259859838E-3</c:v>
                </c:pt>
                <c:pt idx="18">
                  <c:v>2.3019080259859838E-3</c:v>
                </c:pt>
                <c:pt idx="19">
                  <c:v>4.6038160519719677E-3</c:v>
                </c:pt>
                <c:pt idx="20">
                  <c:v>4.0922809350861936E-3</c:v>
                </c:pt>
                <c:pt idx="21">
                  <c:v>2.0461404675430968E-3</c:v>
                </c:pt>
                <c:pt idx="22">
                  <c:v>5.6268862857435167E-3</c:v>
                </c:pt>
                <c:pt idx="23">
                  <c:v>1.79037290910021E-3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6-4BDA-8FDC-8E21B3A8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36188104"/>
        <c:axId val="836190400"/>
      </c:barChart>
      <c:catAx>
        <c:axId val="8361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0400"/>
        <c:crosses val="autoZero"/>
        <c:auto val="1"/>
        <c:lblAlgn val="ctr"/>
        <c:lblOffset val="100"/>
        <c:noMultiLvlLbl val="0"/>
      </c:catAx>
      <c:valAx>
        <c:axId val="836190400"/>
        <c:scaling>
          <c:orientation val="minMax"/>
          <c:max val="3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378618</xdr:colOff>
      <xdr:row>35</xdr:row>
      <xdr:rowOff>156367</xdr:rowOff>
    </xdr:from>
    <xdr:to>
      <xdr:col>42</xdr:col>
      <xdr:colOff>345280</xdr:colOff>
      <xdr:row>59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43877-983A-4107-848B-416EE70D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340516</xdr:colOff>
      <xdr:row>68</xdr:row>
      <xdr:rowOff>154781</xdr:rowOff>
    </xdr:from>
    <xdr:to>
      <xdr:col>80</xdr:col>
      <xdr:colOff>0</xdr:colOff>
      <xdr:row>92</xdr:row>
      <xdr:rowOff>21432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8E34059-A9DE-4748-A8A7-70CEA7B3D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122</xdr:col>
      <xdr:colOff>228598</xdr:colOff>
      <xdr:row>35</xdr:row>
      <xdr:rowOff>23814</xdr:rowOff>
    </xdr:from>
    <xdr:to>
      <xdr:col>134</xdr:col>
      <xdr:colOff>309562</xdr:colOff>
      <xdr:row>87</xdr:row>
      <xdr:rowOff>71440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499364E-CB68-424D-9218-5303FAA7C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92</xdr:col>
      <xdr:colOff>572293</xdr:colOff>
      <xdr:row>43</xdr:row>
      <xdr:rowOff>7143</xdr:rowOff>
    </xdr:from>
    <xdr:to>
      <xdr:col>105</xdr:col>
      <xdr:colOff>333374</xdr:colOff>
      <xdr:row>66</xdr:row>
      <xdr:rowOff>111124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692B8D0-3937-4F58-B68F-C71B31817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96</xdr:col>
      <xdr:colOff>60326</xdr:colOff>
      <xdr:row>108</xdr:row>
      <xdr:rowOff>53181</xdr:rowOff>
    </xdr:from>
    <xdr:to>
      <xdr:col>108</xdr:col>
      <xdr:colOff>1127125</xdr:colOff>
      <xdr:row>128</xdr:row>
      <xdr:rowOff>158114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2ADF0F3-DF3F-45F4-AFCA-8CEF83519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341313</xdr:colOff>
      <xdr:row>113</xdr:row>
      <xdr:rowOff>46039</xdr:rowOff>
    </xdr:from>
    <xdr:to>
      <xdr:col>79</xdr:col>
      <xdr:colOff>463803</xdr:colOff>
      <xdr:row>135</xdr:row>
      <xdr:rowOff>162113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233143A-5749-4C84-BEEE-90B3F091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80</xdr:col>
      <xdr:colOff>75406</xdr:colOff>
      <xdr:row>93</xdr:row>
      <xdr:rowOff>51594</xdr:rowOff>
    </xdr:from>
    <xdr:to>
      <xdr:col>92</xdr:col>
      <xdr:colOff>289720</xdr:colOff>
      <xdr:row>116</xdr:row>
      <xdr:rowOff>75406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A292786-F7E6-405A-944C-73EBEB08E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112</xdr:col>
      <xdr:colOff>99219</xdr:colOff>
      <xdr:row>35</xdr:row>
      <xdr:rowOff>142875</xdr:rowOff>
    </xdr:from>
    <xdr:to>
      <xdr:col>122</xdr:col>
      <xdr:colOff>222250</xdr:colOff>
      <xdr:row>87</xdr:row>
      <xdr:rowOff>111124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9178998-C5A4-42D2-BAB1-F7389F9FE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539750</xdr:colOff>
      <xdr:row>160</xdr:row>
      <xdr:rowOff>176213</xdr:rowOff>
    </xdr:from>
    <xdr:to>
      <xdr:col>80</xdr:col>
      <xdr:colOff>108251</xdr:colOff>
      <xdr:row>183</xdr:row>
      <xdr:rowOff>102320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08D2ADC-9413-48F6-A3A0-6B73AD4D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69</xdr:col>
      <xdr:colOff>190501</xdr:colOff>
      <xdr:row>184</xdr:row>
      <xdr:rowOff>95251</xdr:rowOff>
    </xdr:from>
    <xdr:to>
      <xdr:col>80</xdr:col>
      <xdr:colOff>290476</xdr:colOff>
      <xdr:row>207</xdr:row>
      <xdr:rowOff>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C7B712F-FEBE-41EC-8933-B63F44DE1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2</xdr:colOff>
      <xdr:row>137</xdr:row>
      <xdr:rowOff>115094</xdr:rowOff>
    </xdr:from>
    <xdr:to>
      <xdr:col>80</xdr:col>
      <xdr:colOff>79963</xdr:colOff>
      <xdr:row>160</xdr:row>
      <xdr:rowOff>35862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56DE308-7831-4B8B-BE47-67BD88FD0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68</xdr:col>
      <xdr:colOff>325437</xdr:colOff>
      <xdr:row>37</xdr:row>
      <xdr:rowOff>45243</xdr:rowOff>
    </xdr:from>
    <xdr:to>
      <xdr:col>80</xdr:col>
      <xdr:colOff>0</xdr:colOff>
      <xdr:row>68</xdr:row>
      <xdr:rowOff>119062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199932-6799-494A-B5DA-45E6D357C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127001</xdr:colOff>
      <xdr:row>37</xdr:row>
      <xdr:rowOff>3969</xdr:rowOff>
    </xdr:from>
    <xdr:to>
      <xdr:col>91</xdr:col>
      <xdr:colOff>194469</xdr:colOff>
      <xdr:row>68</xdr:row>
      <xdr:rowOff>42069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2097B2-210C-4E88-9852-E9338161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109</xdr:col>
      <xdr:colOff>508000</xdr:colOff>
      <xdr:row>114</xdr:row>
      <xdr:rowOff>19844</xdr:rowOff>
    </xdr:from>
    <xdr:to>
      <xdr:col>116</xdr:col>
      <xdr:colOff>486172</xdr:colOff>
      <xdr:row>144</xdr:row>
      <xdr:rowOff>133349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6243E3-E1A6-458A-A92D-B350F825B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106</xdr:col>
      <xdr:colOff>11906</xdr:colOff>
      <xdr:row>35</xdr:row>
      <xdr:rowOff>150812</xdr:rowOff>
    </xdr:from>
    <xdr:to>
      <xdr:col>111</xdr:col>
      <xdr:colOff>1547812</xdr:colOff>
      <xdr:row>86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6DCA7C1-5CD8-4CF9-BE71-9931FE8DB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52387</xdr:colOff>
      <xdr:row>6</xdr:row>
      <xdr:rowOff>66675</xdr:rowOff>
    </xdr:from>
    <xdr:to>
      <xdr:col>73</xdr:col>
      <xdr:colOff>357187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D829C-079C-49C0-8E0F-160680F3C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74</xdr:row>
      <xdr:rowOff>19050</xdr:rowOff>
    </xdr:from>
    <xdr:to>
      <xdr:col>10</xdr:col>
      <xdr:colOff>100012</xdr:colOff>
      <xdr:row>91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3DE654-738B-4423-ACB9-EE90EE64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119062</xdr:colOff>
      <xdr:row>73</xdr:row>
      <xdr:rowOff>9525</xdr:rowOff>
    </xdr:from>
    <xdr:to>
      <xdr:col>23</xdr:col>
      <xdr:colOff>66675</xdr:colOff>
      <xdr:row>95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CC9A91-8EB5-4AA3-B167-11391D6E4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142875</xdr:colOff>
      <xdr:row>96</xdr:row>
      <xdr:rowOff>57150</xdr:rowOff>
    </xdr:from>
    <xdr:to>
      <xdr:col>23</xdr:col>
      <xdr:colOff>76200</xdr:colOff>
      <xdr:row>113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577FFD-E2A1-4CED-BAAE-982937757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585787</xdr:colOff>
      <xdr:row>91</xdr:row>
      <xdr:rowOff>76200</xdr:rowOff>
    </xdr:from>
    <xdr:to>
      <xdr:col>10</xdr:col>
      <xdr:colOff>114300</xdr:colOff>
      <xdr:row>116</xdr:row>
      <xdr:rowOff>152401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968674-28E5-488F-90E5-1FAC1181A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5"/>
  <sheetViews>
    <sheetView zoomScale="70" zoomScaleNormal="70" workbookViewId="0">
      <pane xSplit="1" ySplit="6" topLeftCell="B16" activePane="bottomRight" state="frozen"/>
      <selection activeCell="CJ33" sqref="CJ33"/>
      <selection pane="topRight"/>
      <selection pane="bottomLeft"/>
      <selection pane="bottomRight" activeCell="I13" sqref="I13"/>
    </sheetView>
  </sheetViews>
  <sheetFormatPr defaultColWidth="8.85546875" defaultRowHeight="15" x14ac:dyDescent="0.25"/>
  <cols>
    <col min="1" max="1" width="22.42578125" style="55" bestFit="1" customWidth="1"/>
    <col min="2" max="3" width="19" style="54" customWidth="1"/>
    <col min="5" max="6" width="19" style="54" customWidth="1"/>
    <col min="7" max="9" width="29.85546875" style="54" customWidth="1"/>
    <col min="10" max="10" width="24" style="54" customWidth="1"/>
    <col min="11" max="13" width="19" style="54" hidden="1" customWidth="1"/>
    <col min="14" max="14" width="16.28515625" style="77" customWidth="1"/>
    <col min="15" max="15" width="13.7109375" style="77" customWidth="1"/>
    <col min="16" max="19" width="19" style="54" customWidth="1"/>
    <col min="20" max="20" width="27.140625" style="77" customWidth="1"/>
    <col min="21" max="21" width="11.85546875" style="77" customWidth="1"/>
    <col min="22" max="22" width="17.140625" style="77" customWidth="1"/>
    <col min="23" max="23" width="20.85546875" style="77" customWidth="1"/>
    <col min="24" max="24" width="15.140625" style="81" customWidth="1"/>
    <col min="25" max="25" width="14" style="82" customWidth="1"/>
    <col min="26" max="26" width="18.140625" style="81" customWidth="1"/>
    <col min="27" max="27" width="16.7109375" style="78" customWidth="1"/>
    <col min="28" max="28" width="14.42578125" style="82" customWidth="1"/>
    <col min="29" max="29" width="29.42578125" customWidth="1"/>
    <col min="30" max="30" width="30.85546875" style="54" customWidth="1"/>
    <col min="31" max="32" width="19" style="54" hidden="1" customWidth="1"/>
    <col min="33" max="34" width="19" style="54" customWidth="1"/>
    <col min="35" max="37" width="19" style="54" hidden="1" customWidth="1"/>
    <col min="38" max="38" width="19" style="54" customWidth="1"/>
    <col min="40" max="41" width="19" style="54" hidden="1" customWidth="1"/>
    <col min="42" max="42" width="19" style="54" customWidth="1"/>
    <col min="43" max="44" width="19" style="54" hidden="1" customWidth="1"/>
    <col min="45" max="45" width="19" style="54" customWidth="1"/>
    <col min="46" max="47" width="19" style="54" hidden="1" customWidth="1"/>
    <col min="48" max="48" width="19" style="54" customWidth="1"/>
    <col min="50" max="50" width="8.85546875" style="53" customWidth="1"/>
    <col min="51" max="51" width="8.85546875" style="53"/>
    <col min="52" max="53" width="19" style="54" customWidth="1"/>
    <col min="54" max="55" width="19" style="54" hidden="1" customWidth="1"/>
    <col min="56" max="56" width="19" style="54" customWidth="1"/>
    <col min="57" max="57" width="19" style="54" hidden="1" customWidth="1"/>
    <col min="58" max="58" width="19" style="54" customWidth="1"/>
    <col min="59" max="59" width="34.42578125" style="71" customWidth="1"/>
    <col min="60" max="60" width="19" style="54" customWidth="1"/>
    <col min="61" max="61" width="8.85546875" style="53"/>
    <col min="62" max="62" width="17.140625" style="53" customWidth="1"/>
    <col min="63" max="64" width="19" style="54" customWidth="1"/>
    <col min="65" max="70" width="8.85546875" style="53" customWidth="1"/>
    <col min="71" max="71" width="8.85546875" style="53"/>
    <col min="72" max="72" width="8.85546875" style="53" customWidth="1"/>
    <col min="73" max="74" width="8.85546875" style="53"/>
    <col min="75" max="75" width="8.85546875" style="53" customWidth="1"/>
    <col min="76" max="76" width="8.85546875" style="53"/>
    <col min="77" max="77" width="8.85546875" style="53" customWidth="1"/>
    <col min="78" max="82" width="8.85546875" style="53"/>
    <col min="83" max="83" width="0" style="53" hidden="1" customWidth="1"/>
    <col min="84" max="16384" width="8.85546875" style="53"/>
  </cols>
  <sheetData>
    <row r="1" spans="1:83" x14ac:dyDescent="0.25">
      <c r="A1" s="53"/>
      <c r="B1" s="53"/>
      <c r="C1" s="53"/>
      <c r="E1" s="53"/>
      <c r="F1" s="53"/>
      <c r="G1" s="53"/>
      <c r="H1" s="53"/>
      <c r="I1" s="53"/>
      <c r="J1" s="53"/>
      <c r="K1" s="53"/>
      <c r="L1" s="53"/>
      <c r="M1" s="53"/>
      <c r="N1" s="76"/>
      <c r="O1" s="76"/>
      <c r="P1" s="53"/>
      <c r="Q1" s="53"/>
      <c r="R1" s="53"/>
      <c r="S1" s="53"/>
      <c r="T1" s="76"/>
      <c r="U1" s="76"/>
      <c r="V1" s="76"/>
      <c r="W1" s="76"/>
      <c r="X1" s="80"/>
      <c r="Y1" s="76"/>
      <c r="Z1" s="80"/>
      <c r="AD1" s="57" t="s">
        <v>216</v>
      </c>
      <c r="AX1" s="54"/>
      <c r="AY1" s="54"/>
      <c r="AZ1" s="54" t="s">
        <v>283</v>
      </c>
      <c r="BA1" s="54" t="s">
        <v>281</v>
      </c>
      <c r="BD1" s="54" t="s">
        <v>282</v>
      </c>
      <c r="BF1" s="54" t="s">
        <v>282</v>
      </c>
      <c r="BI1" s="54"/>
      <c r="BJ1" s="54" t="s">
        <v>285</v>
      </c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</row>
    <row r="2" spans="1:83" x14ac:dyDescent="0.25">
      <c r="A2" s="53"/>
      <c r="B2" s="53"/>
      <c r="C2" s="53"/>
      <c r="E2" s="53"/>
      <c r="F2" s="53"/>
      <c r="G2" s="53"/>
      <c r="H2" s="53"/>
      <c r="I2" s="53"/>
      <c r="J2" s="53"/>
      <c r="K2" s="53"/>
      <c r="L2" s="53"/>
      <c r="M2" s="53"/>
      <c r="N2" s="76"/>
      <c r="O2" s="76"/>
      <c r="P2" s="53"/>
      <c r="Q2" s="53"/>
      <c r="R2" s="53"/>
      <c r="S2" s="53"/>
      <c r="T2" s="76"/>
      <c r="U2" s="76"/>
      <c r="V2" s="76"/>
      <c r="W2" s="76"/>
      <c r="Y2" s="76"/>
      <c r="AB2" s="121"/>
      <c r="AC2" s="70"/>
      <c r="AD2" s="56" t="s">
        <v>215</v>
      </c>
      <c r="AS2" s="54" t="s">
        <v>279</v>
      </c>
      <c r="AV2" s="54" t="s">
        <v>279</v>
      </c>
      <c r="AX2" s="54"/>
      <c r="AY2" s="55" t="s">
        <v>275</v>
      </c>
      <c r="BA2" s="54" t="s">
        <v>278</v>
      </c>
      <c r="BD2" s="54" t="s">
        <v>280</v>
      </c>
      <c r="BG2" s="71" t="s">
        <v>277</v>
      </c>
      <c r="BH2" s="69" t="s">
        <v>276</v>
      </c>
      <c r="BI2" s="54"/>
      <c r="BJ2" s="69" t="s">
        <v>276</v>
      </c>
      <c r="BM2" s="54"/>
      <c r="BN2" s="54"/>
      <c r="BO2" s="54"/>
      <c r="BP2" s="54"/>
      <c r="BQ2" s="54"/>
      <c r="BR2" s="54"/>
      <c r="BS2" s="54" t="s">
        <v>284</v>
      </c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</row>
    <row r="3" spans="1:83" x14ac:dyDescent="0.25">
      <c r="A3" s="53"/>
      <c r="B3" s="53"/>
      <c r="C3" s="53"/>
      <c r="E3" s="53"/>
      <c r="F3" s="53"/>
      <c r="G3" s="53"/>
      <c r="H3" s="53"/>
      <c r="I3" s="53"/>
      <c r="J3" s="53"/>
      <c r="K3" s="53"/>
      <c r="L3" s="53"/>
      <c r="M3" s="53"/>
      <c r="N3" s="76"/>
      <c r="O3" s="76"/>
      <c r="P3" s="53"/>
      <c r="Q3" s="53"/>
      <c r="R3" s="53"/>
      <c r="S3" s="53"/>
      <c r="T3" s="76"/>
      <c r="U3" s="76"/>
      <c r="V3" s="76"/>
      <c r="W3" s="76"/>
      <c r="Y3" s="76"/>
      <c r="AA3" s="79" t="s">
        <v>336</v>
      </c>
      <c r="AB3" s="121"/>
      <c r="AC3" s="70"/>
      <c r="AD3" s="57" t="s">
        <v>214</v>
      </c>
      <c r="AE3" s="56" t="s">
        <v>213</v>
      </c>
      <c r="AF3" s="56" t="s">
        <v>212</v>
      </c>
      <c r="AG3" s="56" t="s">
        <v>211</v>
      </c>
      <c r="AH3" s="56" t="s">
        <v>210</v>
      </c>
      <c r="AI3" s="56" t="s">
        <v>209</v>
      </c>
      <c r="AJ3" s="56" t="s">
        <v>208</v>
      </c>
      <c r="AK3" s="56" t="s">
        <v>207</v>
      </c>
      <c r="AL3" s="56" t="s">
        <v>206</v>
      </c>
      <c r="AN3" s="56" t="s">
        <v>204</v>
      </c>
      <c r="AO3" s="56" t="s">
        <v>203</v>
      </c>
      <c r="AP3" s="56" t="s">
        <v>202</v>
      </c>
      <c r="AQ3" s="56" t="s">
        <v>201</v>
      </c>
      <c r="AR3" s="56" t="s">
        <v>200</v>
      </c>
      <c r="AS3" s="56" t="s">
        <v>199</v>
      </c>
      <c r="AT3" s="56" t="s">
        <v>198</v>
      </c>
      <c r="AU3" s="56" t="s">
        <v>197</v>
      </c>
      <c r="AV3" s="56" t="s">
        <v>188</v>
      </c>
      <c r="AX3" s="56" t="s">
        <v>185</v>
      </c>
      <c r="AY3" s="56" t="s">
        <v>169</v>
      </c>
      <c r="AZ3" s="56" t="s">
        <v>205</v>
      </c>
      <c r="BA3" s="56" t="s">
        <v>196</v>
      </c>
      <c r="BB3" s="56" t="s">
        <v>195</v>
      </c>
      <c r="BC3" s="56" t="s">
        <v>194</v>
      </c>
      <c r="BD3" s="56" t="s">
        <v>193</v>
      </c>
      <c r="BE3" s="56" t="s">
        <v>192</v>
      </c>
      <c r="BF3" s="56" t="s">
        <v>191</v>
      </c>
      <c r="BH3" s="56" t="s">
        <v>190</v>
      </c>
      <c r="BI3" s="56" t="s">
        <v>174</v>
      </c>
      <c r="BJ3" s="56" t="s">
        <v>272</v>
      </c>
      <c r="BK3" s="56" t="s">
        <v>189</v>
      </c>
      <c r="BL3" s="56" t="s">
        <v>187</v>
      </c>
      <c r="BM3" s="56" t="s">
        <v>186</v>
      </c>
      <c r="BN3" s="56" t="s">
        <v>184</v>
      </c>
      <c r="BO3" s="56" t="s">
        <v>183</v>
      </c>
      <c r="BP3" s="56" t="s">
        <v>182</v>
      </c>
      <c r="BQ3" s="56" t="s">
        <v>181</v>
      </c>
      <c r="BR3" s="56" t="s">
        <v>180</v>
      </c>
      <c r="BS3" s="56" t="s">
        <v>179</v>
      </c>
      <c r="BT3" s="56" t="s">
        <v>178</v>
      </c>
      <c r="BU3" s="56" t="s">
        <v>177</v>
      </c>
      <c r="BV3" s="56" t="s">
        <v>176</v>
      </c>
      <c r="BW3" s="56" t="s">
        <v>175</v>
      </c>
      <c r="BX3" s="56" t="s">
        <v>173</v>
      </c>
      <c r="BY3" s="68" t="s">
        <v>172</v>
      </c>
      <c r="BZ3" s="56" t="s">
        <v>171</v>
      </c>
      <c r="CA3" s="56" t="s">
        <v>170</v>
      </c>
      <c r="CB3" s="56" t="s">
        <v>168</v>
      </c>
      <c r="CC3" s="56" t="s">
        <v>167</v>
      </c>
      <c r="CD3" s="56" t="s">
        <v>166</v>
      </c>
      <c r="CE3" s="56" t="s">
        <v>165</v>
      </c>
    </row>
    <row r="4" spans="1:83" ht="24.75" customHeight="1" x14ac:dyDescent="0.25">
      <c r="A4" s="53"/>
      <c r="B4" s="53"/>
      <c r="C4" s="53"/>
      <c r="E4" s="53"/>
      <c r="F4" s="53"/>
      <c r="G4" s="53"/>
      <c r="H4" s="53"/>
      <c r="I4" s="53"/>
      <c r="J4" s="53"/>
      <c r="K4" s="53"/>
      <c r="L4" s="53"/>
      <c r="M4" s="53"/>
      <c r="N4" s="76"/>
      <c r="O4" s="76"/>
      <c r="P4" s="53"/>
      <c r="Q4" s="53"/>
      <c r="R4" s="53"/>
      <c r="S4" s="53"/>
      <c r="T4" s="76" t="s">
        <v>232</v>
      </c>
      <c r="U4" s="76"/>
      <c r="V4" s="76"/>
      <c r="W4" s="76"/>
      <c r="Y4" s="76"/>
      <c r="AB4" s="121"/>
      <c r="AC4" s="70"/>
      <c r="AD4" s="57" t="s">
        <v>164</v>
      </c>
      <c r="AE4" s="56" t="s">
        <v>162</v>
      </c>
      <c r="AF4" s="56" t="s">
        <v>162</v>
      </c>
      <c r="AG4" s="56" t="s">
        <v>162</v>
      </c>
      <c r="AH4" s="56" t="s">
        <v>162</v>
      </c>
      <c r="AI4" s="56" t="s">
        <v>162</v>
      </c>
      <c r="AJ4" s="56" t="s">
        <v>162</v>
      </c>
      <c r="AK4" s="56" t="s">
        <v>162</v>
      </c>
      <c r="AL4" s="56" t="s">
        <v>162</v>
      </c>
      <c r="AN4" s="56" t="s">
        <v>162</v>
      </c>
      <c r="AO4" s="56" t="s">
        <v>162</v>
      </c>
      <c r="AP4" s="56" t="s">
        <v>162</v>
      </c>
      <c r="AQ4" s="56" t="s">
        <v>162</v>
      </c>
      <c r="AR4" s="56" t="s">
        <v>162</v>
      </c>
      <c r="AS4" s="56" t="s">
        <v>163</v>
      </c>
      <c r="AT4" s="56" t="s">
        <v>162</v>
      </c>
      <c r="AU4" s="56" t="s">
        <v>162</v>
      </c>
      <c r="AV4" s="56" t="s">
        <v>163</v>
      </c>
      <c r="AX4" s="56" t="s">
        <v>162</v>
      </c>
      <c r="AY4" s="56" t="s">
        <v>274</v>
      </c>
      <c r="AZ4" s="56" t="s">
        <v>163</v>
      </c>
      <c r="BA4" s="56" t="s">
        <v>163</v>
      </c>
      <c r="BB4" s="56" t="s">
        <v>162</v>
      </c>
      <c r="BC4" s="56" t="s">
        <v>162</v>
      </c>
      <c r="BD4" s="56" t="s">
        <v>163</v>
      </c>
      <c r="BE4" s="56" t="s">
        <v>162</v>
      </c>
      <c r="BF4" s="56" t="s">
        <v>163</v>
      </c>
      <c r="BH4" s="56" t="s">
        <v>163</v>
      </c>
      <c r="BI4" s="56" t="s">
        <v>161</v>
      </c>
      <c r="BJ4" s="56" t="s">
        <v>273</v>
      </c>
      <c r="BK4" s="56" t="s">
        <v>163</v>
      </c>
      <c r="BL4" s="56" t="s">
        <v>162</v>
      </c>
      <c r="BM4" s="56" t="s">
        <v>162</v>
      </c>
      <c r="BN4" s="56" t="s">
        <v>163</v>
      </c>
      <c r="BO4" s="56" t="s">
        <v>162</v>
      </c>
      <c r="BP4" s="56" t="s">
        <v>162</v>
      </c>
      <c r="BQ4" s="56" t="s">
        <v>162</v>
      </c>
      <c r="BR4" s="56" t="s">
        <v>162</v>
      </c>
      <c r="BS4" s="56" t="s">
        <v>162</v>
      </c>
      <c r="BT4" s="56" t="s">
        <v>162</v>
      </c>
      <c r="BU4" s="56" t="s">
        <v>162</v>
      </c>
      <c r="BV4" s="56" t="s">
        <v>162</v>
      </c>
      <c r="BW4" s="56" t="s">
        <v>161</v>
      </c>
      <c r="BX4" s="56" t="s">
        <v>161</v>
      </c>
      <c r="BY4" s="56" t="s">
        <v>161</v>
      </c>
      <c r="BZ4" s="56" t="s">
        <v>161</v>
      </c>
      <c r="CA4" s="56" t="s">
        <v>161</v>
      </c>
      <c r="CB4" s="56" t="s">
        <v>160</v>
      </c>
      <c r="CC4" s="56" t="s">
        <v>160</v>
      </c>
      <c r="CD4" s="56" t="s">
        <v>160</v>
      </c>
      <c r="CE4" s="56" t="s">
        <v>160</v>
      </c>
    </row>
    <row r="5" spans="1:83" hidden="1" x14ac:dyDescent="0.25">
      <c r="A5" s="53"/>
      <c r="B5" s="53"/>
      <c r="C5" s="53"/>
      <c r="E5" s="53"/>
      <c r="F5" s="53"/>
      <c r="G5" s="53"/>
      <c r="H5" s="53"/>
      <c r="I5" s="53"/>
      <c r="J5" s="53"/>
      <c r="K5" s="53"/>
      <c r="L5" s="53"/>
      <c r="M5" s="53"/>
      <c r="N5" s="76"/>
      <c r="O5" s="76"/>
      <c r="P5" s="53"/>
      <c r="Q5" s="53"/>
      <c r="R5" s="53"/>
      <c r="S5" s="53"/>
      <c r="T5" s="76"/>
      <c r="U5" s="76"/>
      <c r="V5" s="76"/>
      <c r="W5" s="76"/>
      <c r="Y5" s="76"/>
      <c r="AB5" s="121"/>
      <c r="AD5" s="57" t="s">
        <v>159</v>
      </c>
      <c r="AE5" s="56">
        <v>0.2</v>
      </c>
      <c r="AF5" s="56">
        <v>0.5</v>
      </c>
      <c r="AG5" s="56">
        <v>1</v>
      </c>
      <c r="AH5" s="56">
        <v>5</v>
      </c>
      <c r="AI5" s="56">
        <v>1</v>
      </c>
      <c r="AJ5" s="56">
        <v>1</v>
      </c>
      <c r="AK5" s="56">
        <v>2</v>
      </c>
      <c r="AL5" s="56">
        <v>2</v>
      </c>
      <c r="AN5" s="56">
        <v>2</v>
      </c>
      <c r="AO5" s="56">
        <v>10</v>
      </c>
      <c r="AP5" s="56">
        <v>10</v>
      </c>
      <c r="AQ5" s="56">
        <v>0.5</v>
      </c>
      <c r="AR5" s="56">
        <v>2</v>
      </c>
      <c r="AS5" s="56">
        <v>0.01</v>
      </c>
      <c r="AT5" s="56">
        <v>1</v>
      </c>
      <c r="AU5" s="56">
        <v>1</v>
      </c>
      <c r="AV5" s="56">
        <v>0.01</v>
      </c>
      <c r="AX5" s="56">
        <v>1</v>
      </c>
      <c r="AY5" s="56">
        <v>0.03</v>
      </c>
      <c r="AZ5" s="56">
        <v>0.01</v>
      </c>
      <c r="BA5" s="56">
        <v>0.01</v>
      </c>
      <c r="BB5" s="56">
        <v>10</v>
      </c>
      <c r="BC5" s="56">
        <v>1</v>
      </c>
      <c r="BD5" s="56">
        <v>0.01</v>
      </c>
      <c r="BE5" s="56">
        <v>10</v>
      </c>
      <c r="BF5" s="56">
        <v>0.01</v>
      </c>
      <c r="BH5" s="56">
        <v>1E-3</v>
      </c>
      <c r="BI5" s="56">
        <v>0.03</v>
      </c>
      <c r="BJ5" s="56"/>
      <c r="BK5" s="56">
        <v>1E-3</v>
      </c>
      <c r="BL5" s="56">
        <v>2</v>
      </c>
      <c r="BM5" s="56">
        <v>1</v>
      </c>
      <c r="BN5" s="56">
        <v>0.01</v>
      </c>
      <c r="BO5" s="56">
        <v>20</v>
      </c>
      <c r="BP5" s="56">
        <v>1</v>
      </c>
      <c r="BQ5" s="56">
        <v>2</v>
      </c>
      <c r="BR5" s="56">
        <v>10</v>
      </c>
      <c r="BS5" s="56">
        <v>1</v>
      </c>
      <c r="BT5" s="56">
        <v>10</v>
      </c>
      <c r="BU5" s="56">
        <v>1</v>
      </c>
      <c r="BV5" s="56">
        <v>1</v>
      </c>
      <c r="BW5" s="56">
        <v>0.01</v>
      </c>
      <c r="BX5" s="56">
        <v>0.01</v>
      </c>
      <c r="BY5" s="56">
        <v>0.03</v>
      </c>
      <c r="BZ5" s="56">
        <v>0.01</v>
      </c>
      <c r="CA5" s="56">
        <v>0.02</v>
      </c>
      <c r="CB5" s="56">
        <v>2</v>
      </c>
      <c r="CC5" s="56">
        <v>1</v>
      </c>
      <c r="CD5" s="56">
        <v>1</v>
      </c>
      <c r="CE5" s="56">
        <v>1</v>
      </c>
    </row>
    <row r="6" spans="1:83" ht="18" customHeight="1" thickBot="1" x14ac:dyDescent="0.3">
      <c r="A6" s="1" t="s">
        <v>0</v>
      </c>
      <c r="B6" s="1" t="s">
        <v>1</v>
      </c>
      <c r="C6" s="1" t="s">
        <v>2</v>
      </c>
      <c r="D6" s="122" t="s">
        <v>405</v>
      </c>
      <c r="E6" s="1" t="s">
        <v>3</v>
      </c>
      <c r="F6" s="1" t="s">
        <v>4</v>
      </c>
      <c r="G6" s="1" t="s">
        <v>5</v>
      </c>
      <c r="H6" s="122" t="s">
        <v>408</v>
      </c>
      <c r="I6" s="122" t="s">
        <v>409</v>
      </c>
      <c r="J6" s="1" t="s">
        <v>220</v>
      </c>
      <c r="K6" s="1" t="s">
        <v>7</v>
      </c>
      <c r="L6" s="1" t="s">
        <v>8</v>
      </c>
      <c r="M6" s="1" t="s">
        <v>9</v>
      </c>
      <c r="N6" s="85" t="s">
        <v>6</v>
      </c>
      <c r="O6" s="85" t="s">
        <v>11</v>
      </c>
      <c r="P6" s="85" t="s">
        <v>12</v>
      </c>
      <c r="Q6" s="86" t="s">
        <v>13</v>
      </c>
      <c r="R6" s="86" t="s">
        <v>14</v>
      </c>
      <c r="S6" s="86" t="s">
        <v>15</v>
      </c>
      <c r="T6" s="85" t="s">
        <v>221</v>
      </c>
      <c r="U6" s="85" t="s">
        <v>261</v>
      </c>
      <c r="V6" s="85" t="s">
        <v>234</v>
      </c>
      <c r="W6" s="85" t="s">
        <v>226</v>
      </c>
      <c r="X6" s="83" t="s">
        <v>300</v>
      </c>
      <c r="Y6" s="87" t="s">
        <v>316</v>
      </c>
      <c r="Z6" s="83" t="s">
        <v>302</v>
      </c>
      <c r="AA6" s="83" t="s">
        <v>345</v>
      </c>
      <c r="AB6" s="122" t="s">
        <v>346</v>
      </c>
      <c r="AC6" s="1" t="s">
        <v>347</v>
      </c>
      <c r="AD6" s="59" t="s">
        <v>158</v>
      </c>
      <c r="AE6" s="58" t="s">
        <v>157</v>
      </c>
      <c r="AF6" s="58" t="s">
        <v>157</v>
      </c>
      <c r="AG6" s="58" t="s">
        <v>157</v>
      </c>
      <c r="AH6" s="58" t="s">
        <v>157</v>
      </c>
      <c r="AI6" s="58" t="s">
        <v>157</v>
      </c>
      <c r="AJ6" s="58" t="s">
        <v>157</v>
      </c>
      <c r="AK6" s="58" t="s">
        <v>157</v>
      </c>
      <c r="AL6" s="58" t="s">
        <v>157</v>
      </c>
      <c r="AN6" s="58" t="s">
        <v>157</v>
      </c>
      <c r="AO6" s="58" t="s">
        <v>157</v>
      </c>
      <c r="AP6" s="58" t="s">
        <v>157</v>
      </c>
      <c r="AQ6" s="58" t="s">
        <v>157</v>
      </c>
      <c r="AR6" s="58" t="s">
        <v>157</v>
      </c>
      <c r="AS6" s="58" t="s">
        <v>157</v>
      </c>
      <c r="AT6" s="58" t="s">
        <v>157</v>
      </c>
      <c r="AU6" s="58" t="s">
        <v>157</v>
      </c>
      <c r="AV6" s="58" t="s">
        <v>157</v>
      </c>
      <c r="AX6" s="58" t="s">
        <v>157</v>
      </c>
      <c r="AY6" s="58" t="s">
        <v>156</v>
      </c>
      <c r="AZ6" s="58" t="s">
        <v>157</v>
      </c>
      <c r="BA6" s="58" t="s">
        <v>157</v>
      </c>
      <c r="BB6" s="58" t="s">
        <v>157</v>
      </c>
      <c r="BC6" s="58" t="s">
        <v>157</v>
      </c>
      <c r="BD6" s="58" t="s">
        <v>157</v>
      </c>
      <c r="BE6" s="58" t="s">
        <v>157</v>
      </c>
      <c r="BF6" s="58" t="s">
        <v>157</v>
      </c>
      <c r="BG6" s="75" t="s">
        <v>300</v>
      </c>
      <c r="BH6" s="58" t="s">
        <v>157</v>
      </c>
      <c r="BI6" s="58" t="s">
        <v>156</v>
      </c>
      <c r="BJ6" s="58"/>
      <c r="BK6" s="58" t="s">
        <v>157</v>
      </c>
      <c r="BL6" s="58" t="s">
        <v>157</v>
      </c>
      <c r="BM6" s="58" t="s">
        <v>157</v>
      </c>
      <c r="BN6" s="58" t="s">
        <v>157</v>
      </c>
      <c r="BO6" s="58" t="s">
        <v>157</v>
      </c>
      <c r="BP6" s="58" t="s">
        <v>157</v>
      </c>
      <c r="BQ6" s="58" t="s">
        <v>157</v>
      </c>
      <c r="BR6" s="58" t="s">
        <v>157</v>
      </c>
      <c r="BS6" s="58" t="s">
        <v>157</v>
      </c>
      <c r="BT6" s="58" t="s">
        <v>157</v>
      </c>
      <c r="BU6" s="58" t="s">
        <v>157</v>
      </c>
      <c r="BV6" s="58" t="s">
        <v>157</v>
      </c>
      <c r="BW6" s="58" t="s">
        <v>156</v>
      </c>
      <c r="BX6" s="58" t="s">
        <v>156</v>
      </c>
      <c r="BY6" s="58" t="s">
        <v>156</v>
      </c>
      <c r="BZ6" s="58" t="s">
        <v>156</v>
      </c>
      <c r="CA6" s="58" t="s">
        <v>156</v>
      </c>
      <c r="CB6" s="58" t="s">
        <v>155</v>
      </c>
      <c r="CC6" s="58" t="s">
        <v>155</v>
      </c>
      <c r="CD6" s="58" t="s">
        <v>155</v>
      </c>
      <c r="CE6" s="58" t="s">
        <v>155</v>
      </c>
    </row>
    <row r="7" spans="1:83" ht="37.5" thickTop="1" x14ac:dyDescent="0.25">
      <c r="A7" s="34">
        <v>42983</v>
      </c>
      <c r="B7" s="1" t="s">
        <v>16</v>
      </c>
      <c r="C7" s="1" t="s">
        <v>45</v>
      </c>
      <c r="D7">
        <v>1</v>
      </c>
      <c r="E7" s="13">
        <v>-113.82705730000001</v>
      </c>
      <c r="F7" s="13">
        <v>40.845088799999999</v>
      </c>
      <c r="G7" s="14" t="s">
        <v>46</v>
      </c>
      <c r="H7">
        <v>0</v>
      </c>
      <c r="I7">
        <v>9</v>
      </c>
      <c r="J7" s="14">
        <v>0.45</v>
      </c>
      <c r="K7" s="14"/>
      <c r="L7" s="1" t="s">
        <v>48</v>
      </c>
      <c r="M7" s="1" t="s">
        <v>21</v>
      </c>
      <c r="N7" s="85" t="s">
        <v>47</v>
      </c>
      <c r="O7" s="88" t="s">
        <v>23</v>
      </c>
      <c r="P7" s="86" t="s">
        <v>24</v>
      </c>
      <c r="Q7" s="86"/>
      <c r="R7" s="89" t="s">
        <v>26</v>
      </c>
      <c r="S7" s="89" t="s">
        <v>26</v>
      </c>
      <c r="T7" s="90" t="s">
        <v>222</v>
      </c>
      <c r="U7" s="85" t="s">
        <v>219</v>
      </c>
      <c r="V7" s="85" t="s">
        <v>235</v>
      </c>
      <c r="W7" s="90" t="s">
        <v>219</v>
      </c>
      <c r="X7" s="91" t="s">
        <v>303</v>
      </c>
      <c r="Y7" s="87" t="s">
        <v>309</v>
      </c>
      <c r="Z7" s="102" t="s">
        <v>317</v>
      </c>
      <c r="AA7" s="103" t="s">
        <v>331</v>
      </c>
      <c r="AB7" s="123" t="s">
        <v>23</v>
      </c>
      <c r="AD7" s="57" t="s">
        <v>154</v>
      </c>
      <c r="AE7" s="56" t="s">
        <v>121</v>
      </c>
      <c r="AF7" s="56" t="s">
        <v>120</v>
      </c>
      <c r="AG7" s="56">
        <v>2</v>
      </c>
      <c r="AH7" s="56" t="s">
        <v>115</v>
      </c>
      <c r="AI7" s="56" t="s">
        <v>116</v>
      </c>
      <c r="AJ7" s="56" t="s">
        <v>116</v>
      </c>
      <c r="AK7" s="56" t="s">
        <v>117</v>
      </c>
      <c r="AL7" s="56" t="s">
        <v>117</v>
      </c>
      <c r="AN7" s="56" t="s">
        <v>117</v>
      </c>
      <c r="AO7" s="56" t="s">
        <v>114</v>
      </c>
      <c r="AP7" s="56" t="s">
        <v>114</v>
      </c>
      <c r="AQ7" s="56" t="s">
        <v>120</v>
      </c>
      <c r="AR7" s="56" t="s">
        <v>117</v>
      </c>
      <c r="AS7" s="56">
        <v>2.09</v>
      </c>
      <c r="AT7" s="56" t="s">
        <v>116</v>
      </c>
      <c r="AU7" s="56" t="s">
        <v>116</v>
      </c>
      <c r="AV7" s="56">
        <v>1.67</v>
      </c>
      <c r="AX7" s="56">
        <v>105</v>
      </c>
      <c r="AY7" s="56">
        <v>49.2</v>
      </c>
      <c r="AZ7" s="56">
        <v>0.01</v>
      </c>
      <c r="BA7" s="56">
        <v>0.01</v>
      </c>
      <c r="BB7" s="56" t="s">
        <v>114</v>
      </c>
      <c r="BC7" s="56" t="s">
        <v>116</v>
      </c>
      <c r="BD7" s="56">
        <v>0.17</v>
      </c>
      <c r="BE7" s="56" t="s">
        <v>114</v>
      </c>
      <c r="BF7" s="56">
        <v>0.11</v>
      </c>
      <c r="BG7" s="72" t="s">
        <v>294</v>
      </c>
      <c r="BH7" s="56" t="s">
        <v>126</v>
      </c>
      <c r="BI7" s="56">
        <v>540000</v>
      </c>
      <c r="BJ7" s="56">
        <f>BI7/10000</f>
        <v>54</v>
      </c>
      <c r="BK7" s="56" t="s">
        <v>125</v>
      </c>
      <c r="BL7" s="56" t="s">
        <v>117</v>
      </c>
      <c r="BM7" s="56" t="s">
        <v>116</v>
      </c>
      <c r="BN7" s="56" t="s">
        <v>119</v>
      </c>
      <c r="BO7" s="56" t="s">
        <v>118</v>
      </c>
      <c r="BP7" s="56" t="s">
        <v>116</v>
      </c>
      <c r="BQ7" s="56" t="s">
        <v>117</v>
      </c>
      <c r="BR7" s="56" t="s">
        <v>114</v>
      </c>
      <c r="BS7" s="56" t="s">
        <v>116</v>
      </c>
      <c r="BT7" s="56" t="s">
        <v>114</v>
      </c>
      <c r="BU7" s="56" t="s">
        <v>116</v>
      </c>
      <c r="BV7" s="56" t="s">
        <v>116</v>
      </c>
      <c r="BW7" s="56" t="s">
        <v>124</v>
      </c>
      <c r="BX7" s="56" t="s">
        <v>124</v>
      </c>
      <c r="BY7" s="56" t="s">
        <v>123</v>
      </c>
      <c r="BZ7" s="56">
        <v>126</v>
      </c>
      <c r="CA7" s="56" t="s">
        <v>123</v>
      </c>
      <c r="CB7" s="56">
        <v>205</v>
      </c>
      <c r="CC7" s="56">
        <v>31</v>
      </c>
      <c r="CD7" s="56">
        <v>173</v>
      </c>
      <c r="CE7" s="56" t="s">
        <v>114</v>
      </c>
    </row>
    <row r="8" spans="1:83" ht="60.75" x14ac:dyDescent="0.25">
      <c r="A8" s="34">
        <v>42983</v>
      </c>
      <c r="B8" s="1" t="s">
        <v>16</v>
      </c>
      <c r="C8" s="1" t="s">
        <v>45</v>
      </c>
      <c r="D8">
        <v>2</v>
      </c>
      <c r="E8" s="13">
        <v>-113.82705730000001</v>
      </c>
      <c r="F8" s="13">
        <v>40.845088799999999</v>
      </c>
      <c r="G8" s="14" t="s">
        <v>49</v>
      </c>
      <c r="H8">
        <v>9</v>
      </c>
      <c r="I8">
        <v>26</v>
      </c>
      <c r="J8" s="14">
        <f>(26+9)/2/10</f>
        <v>1.75</v>
      </c>
      <c r="K8" s="14"/>
      <c r="L8" s="1" t="s">
        <v>51</v>
      </c>
      <c r="M8" s="1" t="s">
        <v>30</v>
      </c>
      <c r="N8" s="85" t="s">
        <v>50</v>
      </c>
      <c r="O8" s="92" t="s">
        <v>31</v>
      </c>
      <c r="P8" s="93" t="s">
        <v>52</v>
      </c>
      <c r="Q8" s="86"/>
      <c r="R8" s="89" t="s">
        <v>26</v>
      </c>
      <c r="S8" s="89" t="s">
        <v>26</v>
      </c>
      <c r="T8" s="90" t="s">
        <v>227</v>
      </c>
      <c r="U8" s="85" t="s">
        <v>219</v>
      </c>
      <c r="V8" s="85" t="s">
        <v>235</v>
      </c>
      <c r="W8" s="90" t="s">
        <v>219</v>
      </c>
      <c r="X8" s="84" t="s">
        <v>301</v>
      </c>
      <c r="Y8" s="87" t="s">
        <v>310</v>
      </c>
      <c r="Z8" s="106" t="s">
        <v>320</v>
      </c>
      <c r="AA8" s="107" t="s">
        <v>332</v>
      </c>
      <c r="AB8" s="124" t="s">
        <v>353</v>
      </c>
      <c r="AD8" s="57" t="s">
        <v>153</v>
      </c>
      <c r="AE8" s="56" t="s">
        <v>121</v>
      </c>
      <c r="AF8" s="56" t="s">
        <v>120</v>
      </c>
      <c r="AG8" s="56">
        <v>3</v>
      </c>
      <c r="AH8" s="56">
        <v>30</v>
      </c>
      <c r="AI8" s="56" t="s">
        <v>116</v>
      </c>
      <c r="AJ8" s="56" t="s">
        <v>116</v>
      </c>
      <c r="AK8" s="56" t="s">
        <v>117</v>
      </c>
      <c r="AL8" s="56">
        <v>3</v>
      </c>
      <c r="AN8" s="56">
        <v>2</v>
      </c>
      <c r="AO8" s="56" t="s">
        <v>114</v>
      </c>
      <c r="AP8" s="56">
        <v>27</v>
      </c>
      <c r="AQ8" s="56" t="s">
        <v>120</v>
      </c>
      <c r="AR8" s="56" t="s">
        <v>117</v>
      </c>
      <c r="AS8" s="56">
        <v>8.36</v>
      </c>
      <c r="AT8" s="56" t="s">
        <v>116</v>
      </c>
      <c r="AU8" s="56">
        <v>1</v>
      </c>
      <c r="AV8" s="56">
        <v>6.88</v>
      </c>
      <c r="AX8" s="56">
        <v>398</v>
      </c>
      <c r="AY8" s="56">
        <v>24.1</v>
      </c>
      <c r="AZ8" s="56">
        <v>0.12</v>
      </c>
      <c r="BA8" s="56">
        <v>0.11</v>
      </c>
      <c r="BB8" s="56" t="s">
        <v>114</v>
      </c>
      <c r="BC8" s="56" t="s">
        <v>116</v>
      </c>
      <c r="BD8" s="56">
        <v>0.19</v>
      </c>
      <c r="BE8" s="56" t="s">
        <v>114</v>
      </c>
      <c r="BF8" s="56">
        <v>0.3</v>
      </c>
      <c r="BG8" s="73" t="s">
        <v>295</v>
      </c>
      <c r="BH8" s="56">
        <v>3.04</v>
      </c>
      <c r="BI8" s="56">
        <v>57200</v>
      </c>
      <c r="BJ8" s="56">
        <f t="shared" ref="BJ8:BJ30" si="0">BI8/10000</f>
        <v>5.72</v>
      </c>
      <c r="BK8" s="56">
        <v>6.0000000000000001E-3</v>
      </c>
      <c r="BL8" s="56" t="s">
        <v>117</v>
      </c>
      <c r="BM8" s="56" t="s">
        <v>116</v>
      </c>
      <c r="BN8" s="56" t="s">
        <v>119</v>
      </c>
      <c r="BO8" s="56" t="s">
        <v>118</v>
      </c>
      <c r="BP8" s="56" t="s">
        <v>116</v>
      </c>
      <c r="BQ8" s="56" t="s">
        <v>117</v>
      </c>
      <c r="BR8" s="56" t="s">
        <v>114</v>
      </c>
      <c r="BS8" s="56">
        <v>2</v>
      </c>
      <c r="BT8" s="56" t="s">
        <v>114</v>
      </c>
      <c r="BU8" s="56" t="s">
        <v>116</v>
      </c>
      <c r="BV8" s="56">
        <v>1</v>
      </c>
      <c r="BW8" s="56" t="s">
        <v>114</v>
      </c>
      <c r="BX8" s="56" t="s">
        <v>114</v>
      </c>
      <c r="BY8" s="56" t="s">
        <v>133</v>
      </c>
      <c r="BZ8" s="56" t="s">
        <v>114</v>
      </c>
      <c r="CA8" s="56" t="s">
        <v>118</v>
      </c>
      <c r="CB8" s="56">
        <v>138</v>
      </c>
      <c r="CC8" s="56">
        <v>13</v>
      </c>
      <c r="CD8" s="56">
        <v>125</v>
      </c>
      <c r="CE8" s="56" t="s">
        <v>114</v>
      </c>
    </row>
    <row r="9" spans="1:83" ht="36.75" x14ac:dyDescent="0.25">
      <c r="A9" s="34">
        <v>42983</v>
      </c>
      <c r="B9" s="1" t="s">
        <v>16</v>
      </c>
      <c r="C9" s="1" t="s">
        <v>45</v>
      </c>
      <c r="D9">
        <v>3</v>
      </c>
      <c r="E9" s="13">
        <v>-113.82705730000001</v>
      </c>
      <c r="F9" s="13">
        <v>40.845088799999999</v>
      </c>
      <c r="G9" s="14" t="s">
        <v>53</v>
      </c>
      <c r="H9">
        <v>26</v>
      </c>
      <c r="I9">
        <v>59</v>
      </c>
      <c r="J9" s="14">
        <f>AVERAGE(26, 59)/10</f>
        <v>4.25</v>
      </c>
      <c r="K9" s="14"/>
      <c r="L9" s="1" t="s">
        <v>55</v>
      </c>
      <c r="M9" s="1" t="s">
        <v>37</v>
      </c>
      <c r="N9" s="85" t="s">
        <v>54</v>
      </c>
      <c r="O9" s="94" t="s">
        <v>56</v>
      </c>
      <c r="P9" s="86"/>
      <c r="Q9" s="86"/>
      <c r="R9" s="89" t="s">
        <v>26</v>
      </c>
      <c r="S9" s="89" t="s">
        <v>26</v>
      </c>
      <c r="T9" s="90" t="s">
        <v>225</v>
      </c>
      <c r="U9" s="85" t="s">
        <v>219</v>
      </c>
      <c r="V9" s="85" t="s">
        <v>235</v>
      </c>
      <c r="W9" s="90" t="s">
        <v>219</v>
      </c>
      <c r="X9" s="91" t="s">
        <v>289</v>
      </c>
      <c r="Y9" s="87" t="s">
        <v>315</v>
      </c>
      <c r="Z9" s="112" t="s">
        <v>328</v>
      </c>
      <c r="AA9" s="116" t="s">
        <v>337</v>
      </c>
      <c r="AB9" s="125" t="s">
        <v>351</v>
      </c>
      <c r="AC9" s="70" t="s">
        <v>348</v>
      </c>
      <c r="AD9" s="57" t="s">
        <v>152</v>
      </c>
      <c r="AE9" s="56" t="s">
        <v>121</v>
      </c>
      <c r="AF9" s="56" t="s">
        <v>120</v>
      </c>
      <c r="AG9" s="56" t="s">
        <v>116</v>
      </c>
      <c r="AH9" s="56" t="s">
        <v>115</v>
      </c>
      <c r="AI9" s="56" t="s">
        <v>116</v>
      </c>
      <c r="AJ9" s="56" t="s">
        <v>116</v>
      </c>
      <c r="AK9" s="56" t="s">
        <v>117</v>
      </c>
      <c r="AL9" s="56">
        <v>87</v>
      </c>
      <c r="AN9" s="56" t="s">
        <v>117</v>
      </c>
      <c r="AO9" s="56" t="s">
        <v>114</v>
      </c>
      <c r="AP9" s="56" t="s">
        <v>114</v>
      </c>
      <c r="AQ9" s="56" t="s">
        <v>120</v>
      </c>
      <c r="AR9" s="56" t="s">
        <v>117</v>
      </c>
      <c r="AS9" s="56">
        <v>3.24</v>
      </c>
      <c r="AT9" s="56" t="s">
        <v>116</v>
      </c>
      <c r="AU9" s="56" t="s">
        <v>116</v>
      </c>
      <c r="AV9" s="56">
        <v>2.63</v>
      </c>
      <c r="AX9" s="56">
        <v>147</v>
      </c>
      <c r="AY9" s="56">
        <v>49.3</v>
      </c>
      <c r="AZ9" s="56">
        <v>0.02</v>
      </c>
      <c r="BA9" s="56">
        <v>0.02</v>
      </c>
      <c r="BB9" s="56" t="s">
        <v>114</v>
      </c>
      <c r="BC9" s="56" t="s">
        <v>116</v>
      </c>
      <c r="BD9" s="56">
        <v>0.05</v>
      </c>
      <c r="BE9" s="56" t="s">
        <v>114</v>
      </c>
      <c r="BF9" s="56">
        <v>0.04</v>
      </c>
      <c r="BG9" s="72" t="s">
        <v>289</v>
      </c>
      <c r="BH9" s="56" t="s">
        <v>126</v>
      </c>
      <c r="BI9" s="56">
        <v>530000</v>
      </c>
      <c r="BJ9" s="56">
        <f t="shared" si="0"/>
        <v>53</v>
      </c>
      <c r="BK9" s="56" t="s">
        <v>125</v>
      </c>
      <c r="BL9" s="56" t="s">
        <v>117</v>
      </c>
      <c r="BM9" s="56" t="s">
        <v>116</v>
      </c>
      <c r="BN9" s="56" t="s">
        <v>119</v>
      </c>
      <c r="BO9" s="56" t="s">
        <v>118</v>
      </c>
      <c r="BP9" s="56" t="s">
        <v>116</v>
      </c>
      <c r="BQ9" s="56" t="s">
        <v>117</v>
      </c>
      <c r="BR9" s="56" t="s">
        <v>114</v>
      </c>
      <c r="BS9" s="56" t="s">
        <v>116</v>
      </c>
      <c r="BT9" s="56" t="s">
        <v>114</v>
      </c>
      <c r="BU9" s="56" t="s">
        <v>116</v>
      </c>
      <c r="BV9" s="56" t="s">
        <v>116</v>
      </c>
      <c r="BW9" s="56" t="s">
        <v>124</v>
      </c>
      <c r="BX9" s="56" t="s">
        <v>124</v>
      </c>
      <c r="BY9" s="56" t="s">
        <v>123</v>
      </c>
      <c r="BZ9" s="56" t="s">
        <v>124</v>
      </c>
      <c r="CA9" s="56" t="s">
        <v>123</v>
      </c>
      <c r="CB9" s="56">
        <v>120</v>
      </c>
      <c r="CC9" s="56" t="s">
        <v>114</v>
      </c>
      <c r="CD9" s="56">
        <v>120</v>
      </c>
      <c r="CE9" s="56" t="s">
        <v>114</v>
      </c>
    </row>
    <row r="10" spans="1:83" ht="84.75" x14ac:dyDescent="0.25">
      <c r="A10" s="2">
        <v>42983</v>
      </c>
      <c r="B10" s="3" t="s">
        <v>16</v>
      </c>
      <c r="C10" s="3" t="s">
        <v>17</v>
      </c>
      <c r="D10">
        <v>1</v>
      </c>
      <c r="E10" s="4">
        <v>-113.7687711</v>
      </c>
      <c r="F10" s="4">
        <v>40.841714899999999</v>
      </c>
      <c r="G10" s="5" t="s">
        <v>18</v>
      </c>
      <c r="H10">
        <v>0</v>
      </c>
      <c r="I10">
        <v>3</v>
      </c>
      <c r="J10" s="60">
        <v>0.15</v>
      </c>
      <c r="K10" s="5"/>
      <c r="L10" s="3" t="s">
        <v>20</v>
      </c>
      <c r="M10" s="3" t="s">
        <v>21</v>
      </c>
      <c r="N10" s="85" t="s">
        <v>19</v>
      </c>
      <c r="O10" s="88" t="s">
        <v>23</v>
      </c>
      <c r="P10" s="86" t="s">
        <v>24</v>
      </c>
      <c r="Q10" s="89" t="s">
        <v>25</v>
      </c>
      <c r="R10" s="89" t="s">
        <v>26</v>
      </c>
      <c r="S10" s="89" t="s">
        <v>26</v>
      </c>
      <c r="T10" s="90" t="s">
        <v>222</v>
      </c>
      <c r="U10" s="85" t="s">
        <v>269</v>
      </c>
      <c r="V10" s="85" t="s">
        <v>223</v>
      </c>
      <c r="W10" s="90" t="s">
        <v>258</v>
      </c>
      <c r="X10" s="84" t="s">
        <v>304</v>
      </c>
      <c r="Y10" s="87" t="s">
        <v>313</v>
      </c>
      <c r="Z10" s="104" t="s">
        <v>318</v>
      </c>
      <c r="AA10" s="105" t="s">
        <v>334</v>
      </c>
      <c r="AB10" s="123" t="s">
        <v>23</v>
      </c>
      <c r="AC10" s="70" t="s">
        <v>348</v>
      </c>
      <c r="AD10" s="57" t="s">
        <v>151</v>
      </c>
      <c r="AE10" s="56" t="s">
        <v>121</v>
      </c>
      <c r="AF10" s="56" t="s">
        <v>120</v>
      </c>
      <c r="AG10" s="56">
        <v>3</v>
      </c>
      <c r="AH10" s="56">
        <v>42</v>
      </c>
      <c r="AI10" s="56" t="s">
        <v>116</v>
      </c>
      <c r="AJ10" s="56" t="s">
        <v>116</v>
      </c>
      <c r="AK10" s="56">
        <v>2</v>
      </c>
      <c r="AL10" s="56">
        <v>13</v>
      </c>
      <c r="AN10" s="56" t="s">
        <v>117</v>
      </c>
      <c r="AO10" s="56" t="s">
        <v>114</v>
      </c>
      <c r="AP10" s="56">
        <v>14</v>
      </c>
      <c r="AQ10" s="56" t="s">
        <v>120</v>
      </c>
      <c r="AR10" s="56" t="s">
        <v>117</v>
      </c>
      <c r="AS10" s="56">
        <v>6.18</v>
      </c>
      <c r="AT10" s="56" t="s">
        <v>116</v>
      </c>
      <c r="AU10" s="56" t="s">
        <v>116</v>
      </c>
      <c r="AV10" s="56">
        <v>5.04</v>
      </c>
      <c r="AX10" s="56">
        <v>260</v>
      </c>
      <c r="AY10" s="56">
        <v>47.3</v>
      </c>
      <c r="AZ10" s="56">
        <v>0.05</v>
      </c>
      <c r="BA10" s="56">
        <v>0.05</v>
      </c>
      <c r="BB10" s="56" t="s">
        <v>114</v>
      </c>
      <c r="BC10" s="56" t="s">
        <v>116</v>
      </c>
      <c r="BD10" s="56">
        <v>0.26</v>
      </c>
      <c r="BE10" s="56" t="s">
        <v>114</v>
      </c>
      <c r="BF10" s="56">
        <v>0.25</v>
      </c>
      <c r="BG10" s="73" t="s">
        <v>287</v>
      </c>
      <c r="BH10" s="56" t="s">
        <v>126</v>
      </c>
      <c r="BI10" s="56">
        <v>416000</v>
      </c>
      <c r="BJ10" s="56">
        <f t="shared" si="0"/>
        <v>41.6</v>
      </c>
      <c r="BK10" s="56">
        <v>3.0000000000000001E-3</v>
      </c>
      <c r="BL10" s="56" t="s">
        <v>117</v>
      </c>
      <c r="BM10" s="56" t="s">
        <v>116</v>
      </c>
      <c r="BN10" s="56" t="s">
        <v>119</v>
      </c>
      <c r="BO10" s="56" t="s">
        <v>118</v>
      </c>
      <c r="BP10" s="56" t="s">
        <v>116</v>
      </c>
      <c r="BQ10" s="56" t="s">
        <v>117</v>
      </c>
      <c r="BR10" s="56" t="s">
        <v>114</v>
      </c>
      <c r="BS10" s="56">
        <v>1</v>
      </c>
      <c r="BT10" s="56" t="s">
        <v>114</v>
      </c>
      <c r="BU10" s="56" t="s">
        <v>116</v>
      </c>
      <c r="BV10" s="56" t="s">
        <v>116</v>
      </c>
      <c r="BW10" s="56" t="s">
        <v>131</v>
      </c>
      <c r="BX10" s="56" t="s">
        <v>131</v>
      </c>
      <c r="BY10" s="56" t="s">
        <v>123</v>
      </c>
      <c r="BZ10" s="56">
        <v>69.2</v>
      </c>
      <c r="CA10" s="56" t="s">
        <v>130</v>
      </c>
      <c r="CB10" s="56">
        <v>310</v>
      </c>
      <c r="CC10" s="56">
        <v>174</v>
      </c>
      <c r="CD10" s="56">
        <v>132</v>
      </c>
      <c r="CE10" s="56" t="s">
        <v>114</v>
      </c>
    </row>
    <row r="11" spans="1:83" ht="60.75" x14ac:dyDescent="0.25">
      <c r="A11" s="12">
        <v>42983</v>
      </c>
      <c r="B11" s="1" t="s">
        <v>16</v>
      </c>
      <c r="C11" s="1" t="s">
        <v>17</v>
      </c>
      <c r="D11">
        <v>2</v>
      </c>
      <c r="E11" s="13">
        <v>-113.7687711</v>
      </c>
      <c r="F11" s="13">
        <v>40.841715000000001</v>
      </c>
      <c r="G11" s="14" t="s">
        <v>27</v>
      </c>
      <c r="H11">
        <v>3</v>
      </c>
      <c r="I11">
        <v>7</v>
      </c>
      <c r="J11" s="14">
        <v>0.5</v>
      </c>
      <c r="K11" s="14"/>
      <c r="L11" s="1" t="s">
        <v>29</v>
      </c>
      <c r="M11" s="1" t="s">
        <v>30</v>
      </c>
      <c r="N11" s="85" t="s">
        <v>28</v>
      </c>
      <c r="O11" s="92" t="s">
        <v>31</v>
      </c>
      <c r="P11" s="95" t="s">
        <v>32</v>
      </c>
      <c r="Q11" s="96" t="s">
        <v>33</v>
      </c>
      <c r="R11" s="89" t="s">
        <v>26</v>
      </c>
      <c r="S11" s="89" t="s">
        <v>26</v>
      </c>
      <c r="T11" s="90" t="s">
        <v>227</v>
      </c>
      <c r="U11" s="85" t="s">
        <v>270</v>
      </c>
      <c r="V11" s="85" t="s">
        <v>236</v>
      </c>
      <c r="W11" s="90" t="s">
        <v>259</v>
      </c>
      <c r="X11" s="91" t="s">
        <v>296</v>
      </c>
      <c r="Y11" s="87" t="s">
        <v>310</v>
      </c>
      <c r="Z11" s="106" t="s">
        <v>320</v>
      </c>
      <c r="AA11" s="107" t="s">
        <v>332</v>
      </c>
      <c r="AB11" s="124" t="s">
        <v>353</v>
      </c>
      <c r="AC11" s="70" t="s">
        <v>348</v>
      </c>
      <c r="AD11" s="57" t="s">
        <v>150</v>
      </c>
      <c r="AE11" s="56" t="s">
        <v>121</v>
      </c>
      <c r="AF11" s="56" t="s">
        <v>120</v>
      </c>
      <c r="AG11" s="56">
        <v>3</v>
      </c>
      <c r="AH11" s="56">
        <v>44</v>
      </c>
      <c r="AI11" s="56" t="s">
        <v>116</v>
      </c>
      <c r="AJ11" s="56" t="s">
        <v>116</v>
      </c>
      <c r="AK11" s="56" t="s">
        <v>117</v>
      </c>
      <c r="AL11" s="56">
        <v>537</v>
      </c>
      <c r="AN11" s="56">
        <v>2</v>
      </c>
      <c r="AO11" s="56" t="s">
        <v>114</v>
      </c>
      <c r="AP11" s="56">
        <v>22</v>
      </c>
      <c r="AQ11" s="56" t="s">
        <v>120</v>
      </c>
      <c r="AR11" s="56" t="s">
        <v>117</v>
      </c>
      <c r="AS11" s="56">
        <v>8.7200000000000006</v>
      </c>
      <c r="AT11" s="56" t="s">
        <v>116</v>
      </c>
      <c r="AU11" s="56">
        <v>1</v>
      </c>
      <c r="AV11" s="56">
        <v>7.47</v>
      </c>
      <c r="AX11" s="56">
        <v>344</v>
      </c>
      <c r="AY11" s="56">
        <v>26.2</v>
      </c>
      <c r="AZ11" s="56">
        <v>0.11</v>
      </c>
      <c r="BA11" s="56">
        <v>0.1</v>
      </c>
      <c r="BB11" s="56" t="s">
        <v>114</v>
      </c>
      <c r="BC11" s="56" t="s">
        <v>116</v>
      </c>
      <c r="BD11" s="56">
        <v>0.18</v>
      </c>
      <c r="BE11" s="56" t="s">
        <v>114</v>
      </c>
      <c r="BF11" s="56">
        <v>0.28000000000000003</v>
      </c>
      <c r="BG11" s="72" t="s">
        <v>296</v>
      </c>
      <c r="BH11" s="56">
        <v>3.19</v>
      </c>
      <c r="BI11" s="56">
        <v>65700</v>
      </c>
      <c r="BJ11" s="56">
        <f t="shared" si="0"/>
        <v>6.57</v>
      </c>
      <c r="BK11" s="56">
        <v>6.0000000000000001E-3</v>
      </c>
      <c r="BL11" s="56" t="s">
        <v>117</v>
      </c>
      <c r="BM11" s="56" t="s">
        <v>116</v>
      </c>
      <c r="BN11" s="56" t="s">
        <v>119</v>
      </c>
      <c r="BO11" s="56" t="s">
        <v>118</v>
      </c>
      <c r="BP11" s="56" t="s">
        <v>116</v>
      </c>
      <c r="BQ11" s="56" t="s">
        <v>117</v>
      </c>
      <c r="BR11" s="56" t="s">
        <v>114</v>
      </c>
      <c r="BS11" s="56">
        <v>2</v>
      </c>
      <c r="BT11" s="56" t="s">
        <v>114</v>
      </c>
      <c r="BU11" s="56" t="s">
        <v>116</v>
      </c>
      <c r="BV11" s="56">
        <v>1</v>
      </c>
      <c r="BW11" s="56" t="s">
        <v>114</v>
      </c>
      <c r="BX11" s="56" t="s">
        <v>114</v>
      </c>
      <c r="BY11" s="56" t="s">
        <v>133</v>
      </c>
      <c r="BZ11" s="56" t="s">
        <v>114</v>
      </c>
      <c r="CA11" s="56" t="s">
        <v>118</v>
      </c>
      <c r="CB11" s="56">
        <v>159</v>
      </c>
      <c r="CC11" s="56">
        <v>67</v>
      </c>
      <c r="CD11" s="56">
        <v>92</v>
      </c>
      <c r="CE11" s="56" t="s">
        <v>114</v>
      </c>
    </row>
    <row r="12" spans="1:83" ht="60.75" x14ac:dyDescent="0.25">
      <c r="A12" s="12">
        <v>42983</v>
      </c>
      <c r="B12" s="1" t="s">
        <v>16</v>
      </c>
      <c r="C12" s="1" t="s">
        <v>17</v>
      </c>
      <c r="D12">
        <v>3</v>
      </c>
      <c r="E12" s="13">
        <v>-113.7687711</v>
      </c>
      <c r="F12" s="13">
        <v>40.841715000000001</v>
      </c>
      <c r="G12" s="14" t="s">
        <v>34</v>
      </c>
      <c r="H12">
        <v>7</v>
      </c>
      <c r="I12">
        <v>15</v>
      </c>
      <c r="J12" s="14">
        <v>1.5</v>
      </c>
      <c r="K12" s="14"/>
      <c r="L12" s="1" t="s">
        <v>36</v>
      </c>
      <c r="M12" s="1" t="s">
        <v>37</v>
      </c>
      <c r="N12" s="85" t="s">
        <v>35</v>
      </c>
      <c r="O12" s="92" t="s">
        <v>31</v>
      </c>
      <c r="P12" s="97" t="s">
        <v>38</v>
      </c>
      <c r="Q12" s="98"/>
      <c r="R12" s="95" t="s">
        <v>39</v>
      </c>
      <c r="S12" s="89" t="s">
        <v>26</v>
      </c>
      <c r="T12" s="90" t="s">
        <v>228</v>
      </c>
      <c r="U12" s="85" t="s">
        <v>270</v>
      </c>
      <c r="V12" s="85" t="s">
        <v>236</v>
      </c>
      <c r="W12" s="90" t="s">
        <v>259</v>
      </c>
      <c r="X12" s="91" t="s">
        <v>296</v>
      </c>
      <c r="Y12" s="87" t="s">
        <v>310</v>
      </c>
      <c r="Z12" s="117" t="s">
        <v>325</v>
      </c>
      <c r="AA12" s="118" t="s">
        <v>335</v>
      </c>
      <c r="AB12" s="126" t="s">
        <v>352</v>
      </c>
      <c r="AC12" s="70" t="s">
        <v>348</v>
      </c>
      <c r="AD12" s="57" t="s">
        <v>149</v>
      </c>
      <c r="AE12" s="56" t="s">
        <v>121</v>
      </c>
      <c r="AF12" s="56" t="s">
        <v>120</v>
      </c>
      <c r="AG12" s="56">
        <v>3</v>
      </c>
      <c r="AH12" s="56">
        <v>26</v>
      </c>
      <c r="AI12" s="56" t="s">
        <v>116</v>
      </c>
      <c r="AJ12" s="56" t="s">
        <v>116</v>
      </c>
      <c r="AK12" s="56" t="s">
        <v>117</v>
      </c>
      <c r="AL12" s="56">
        <v>7</v>
      </c>
      <c r="AN12" s="56" t="s">
        <v>117</v>
      </c>
      <c r="AO12" s="56" t="s">
        <v>114</v>
      </c>
      <c r="AP12" s="56">
        <v>25</v>
      </c>
      <c r="AQ12" s="56" t="s">
        <v>120</v>
      </c>
      <c r="AR12" s="56" t="s">
        <v>117</v>
      </c>
      <c r="AS12" s="56">
        <v>8.67</v>
      </c>
      <c r="AT12" s="56" t="s">
        <v>116</v>
      </c>
      <c r="AU12" s="56">
        <v>1</v>
      </c>
      <c r="AV12" s="56">
        <v>7.14</v>
      </c>
      <c r="AX12" s="56">
        <v>337</v>
      </c>
      <c r="AY12" s="56">
        <v>23.6</v>
      </c>
      <c r="AZ12" s="56">
        <v>0.14000000000000001</v>
      </c>
      <c r="BA12" s="56">
        <v>0.12</v>
      </c>
      <c r="BB12" s="56" t="s">
        <v>114</v>
      </c>
      <c r="BC12" s="56" t="s">
        <v>116</v>
      </c>
      <c r="BD12" s="56">
        <v>0.18</v>
      </c>
      <c r="BE12" s="56" t="s">
        <v>114</v>
      </c>
      <c r="BF12" s="56">
        <v>0.32</v>
      </c>
      <c r="BG12" s="72" t="s">
        <v>296</v>
      </c>
      <c r="BH12" s="56">
        <v>2.2000000000000002</v>
      </c>
      <c r="BI12" s="56">
        <v>42500</v>
      </c>
      <c r="BJ12" s="56">
        <f t="shared" si="0"/>
        <v>4.25</v>
      </c>
      <c r="BK12" s="56">
        <v>7.0000000000000001E-3</v>
      </c>
      <c r="BL12" s="56" t="s">
        <v>117</v>
      </c>
      <c r="BM12" s="56" t="s">
        <v>116</v>
      </c>
      <c r="BN12" s="56" t="s">
        <v>119</v>
      </c>
      <c r="BO12" s="56" t="s">
        <v>118</v>
      </c>
      <c r="BP12" s="56" t="s">
        <v>116</v>
      </c>
      <c r="BQ12" s="56" t="s">
        <v>117</v>
      </c>
      <c r="BR12" s="56" t="s">
        <v>114</v>
      </c>
      <c r="BS12" s="56">
        <v>3</v>
      </c>
      <c r="BT12" s="56" t="s">
        <v>114</v>
      </c>
      <c r="BU12" s="56" t="s">
        <v>116</v>
      </c>
      <c r="BV12" s="56">
        <v>1</v>
      </c>
      <c r="BW12" s="56" t="s">
        <v>115</v>
      </c>
      <c r="BX12" s="56" t="s">
        <v>115</v>
      </c>
      <c r="BY12" s="56">
        <v>19.2</v>
      </c>
      <c r="BZ12" s="56">
        <v>9.74</v>
      </c>
      <c r="CA12" s="56" t="s">
        <v>114</v>
      </c>
      <c r="CB12" s="56">
        <v>153</v>
      </c>
      <c r="CC12" s="56">
        <v>16</v>
      </c>
      <c r="CD12" s="56">
        <v>136</v>
      </c>
      <c r="CE12" s="56" t="s">
        <v>114</v>
      </c>
    </row>
    <row r="13" spans="1:83" ht="156.75" x14ac:dyDescent="0.25">
      <c r="A13" s="24">
        <v>42983</v>
      </c>
      <c r="B13" s="46" t="s">
        <v>16</v>
      </c>
      <c r="C13" s="46" t="s">
        <v>17</v>
      </c>
      <c r="D13">
        <v>4</v>
      </c>
      <c r="E13" s="26">
        <v>-113.7687711</v>
      </c>
      <c r="F13" s="26">
        <v>40.841715000000001</v>
      </c>
      <c r="G13" s="27" t="s">
        <v>40</v>
      </c>
      <c r="H13">
        <v>15</v>
      </c>
      <c r="I13">
        <v>40</v>
      </c>
      <c r="J13" s="31">
        <v>2.75</v>
      </c>
      <c r="K13" s="27"/>
      <c r="L13" s="46" t="s">
        <v>42</v>
      </c>
      <c r="M13" s="46" t="s">
        <v>43</v>
      </c>
      <c r="N13" s="85" t="s">
        <v>41</v>
      </c>
      <c r="O13" s="99" t="s">
        <v>44</v>
      </c>
      <c r="P13" s="98"/>
      <c r="Q13" s="98"/>
      <c r="R13" s="89" t="s">
        <v>26</v>
      </c>
      <c r="S13" s="89" t="s">
        <v>26</v>
      </c>
      <c r="T13" s="90" t="s">
        <v>229</v>
      </c>
      <c r="U13" s="85" t="s">
        <v>271</v>
      </c>
      <c r="V13" s="85" t="s">
        <v>237</v>
      </c>
      <c r="W13" s="90" t="s">
        <v>260</v>
      </c>
      <c r="X13" s="91" t="s">
        <v>305</v>
      </c>
      <c r="Y13" s="87" t="s">
        <v>313</v>
      </c>
      <c r="Z13" s="108" t="s">
        <v>326</v>
      </c>
      <c r="AA13" s="109" t="s">
        <v>337</v>
      </c>
      <c r="AB13" s="127" t="s">
        <v>354</v>
      </c>
      <c r="AC13" t="s">
        <v>349</v>
      </c>
      <c r="AD13" s="57" t="s">
        <v>148</v>
      </c>
      <c r="AE13" s="56" t="s">
        <v>121</v>
      </c>
      <c r="AF13" s="56" t="s">
        <v>120</v>
      </c>
      <c r="AG13" s="56" t="s">
        <v>116</v>
      </c>
      <c r="AH13" s="56">
        <v>12</v>
      </c>
      <c r="AI13" s="56" t="s">
        <v>116</v>
      </c>
      <c r="AJ13" s="56" t="s">
        <v>116</v>
      </c>
      <c r="AK13" s="56" t="s">
        <v>117</v>
      </c>
      <c r="AL13" s="56">
        <v>35</v>
      </c>
      <c r="AN13" s="56" t="s">
        <v>117</v>
      </c>
      <c r="AO13" s="56" t="s">
        <v>114</v>
      </c>
      <c r="AP13" s="56">
        <v>15</v>
      </c>
      <c r="AQ13" s="56" t="s">
        <v>120</v>
      </c>
      <c r="AR13" s="56" t="s">
        <v>117</v>
      </c>
      <c r="AS13" s="56">
        <v>6.39</v>
      </c>
      <c r="AT13" s="56" t="s">
        <v>116</v>
      </c>
      <c r="AU13" s="56" t="s">
        <v>116</v>
      </c>
      <c r="AV13" s="56">
        <v>5.28</v>
      </c>
      <c r="AX13" s="56">
        <v>230</v>
      </c>
      <c r="AY13" s="56">
        <v>42.8</v>
      </c>
      <c r="AZ13" s="56">
        <v>0.04</v>
      </c>
      <c r="BA13" s="56">
        <v>0.04</v>
      </c>
      <c r="BB13" s="56" t="s">
        <v>114</v>
      </c>
      <c r="BC13" s="56" t="s">
        <v>116</v>
      </c>
      <c r="BD13" s="56">
        <v>0.08</v>
      </c>
      <c r="BE13" s="56" t="s">
        <v>114</v>
      </c>
      <c r="BF13" s="56">
        <v>0.1</v>
      </c>
      <c r="BG13" s="71" t="s">
        <v>288</v>
      </c>
      <c r="BH13" s="56" t="s">
        <v>126</v>
      </c>
      <c r="BI13" s="56">
        <v>411000</v>
      </c>
      <c r="BJ13" s="56">
        <f t="shared" si="0"/>
        <v>41.1</v>
      </c>
      <c r="BK13" s="56">
        <v>2E-3</v>
      </c>
      <c r="BL13" s="56" t="s">
        <v>117</v>
      </c>
      <c r="BM13" s="56" t="s">
        <v>116</v>
      </c>
      <c r="BN13" s="56" t="s">
        <v>119</v>
      </c>
      <c r="BO13" s="56" t="s">
        <v>118</v>
      </c>
      <c r="BP13" s="56" t="s">
        <v>116</v>
      </c>
      <c r="BQ13" s="56" t="s">
        <v>117</v>
      </c>
      <c r="BR13" s="56" t="s">
        <v>114</v>
      </c>
      <c r="BS13" s="56" t="s">
        <v>116</v>
      </c>
      <c r="BT13" s="56" t="s">
        <v>114</v>
      </c>
      <c r="BU13" s="56" t="s">
        <v>116</v>
      </c>
      <c r="BV13" s="56" t="s">
        <v>116</v>
      </c>
      <c r="BW13" s="56" t="s">
        <v>131</v>
      </c>
      <c r="BX13" s="56" t="s">
        <v>131</v>
      </c>
      <c r="BY13" s="56" t="s">
        <v>123</v>
      </c>
      <c r="BZ13" s="56">
        <v>46.4</v>
      </c>
      <c r="CA13" s="56" t="s">
        <v>130</v>
      </c>
      <c r="CB13" s="56">
        <v>153</v>
      </c>
      <c r="CC13" s="56">
        <v>13</v>
      </c>
      <c r="CD13" s="56">
        <v>139</v>
      </c>
      <c r="CE13" s="56" t="s">
        <v>114</v>
      </c>
    </row>
    <row r="14" spans="1:83" ht="48.75" x14ac:dyDescent="0.25">
      <c r="A14" s="2">
        <v>42983</v>
      </c>
      <c r="B14" s="3" t="s">
        <v>16</v>
      </c>
      <c r="C14" s="3" t="s">
        <v>57</v>
      </c>
      <c r="D14">
        <v>1</v>
      </c>
      <c r="E14" s="4">
        <v>-113.8477024</v>
      </c>
      <c r="F14" s="4">
        <v>40.800694159999999</v>
      </c>
      <c r="G14" s="5" t="s">
        <v>58</v>
      </c>
      <c r="H14">
        <v>0</v>
      </c>
      <c r="I14">
        <v>50</v>
      </c>
      <c r="J14" s="60">
        <v>2.5</v>
      </c>
      <c r="K14" s="5"/>
      <c r="L14" s="3" t="s">
        <v>60</v>
      </c>
      <c r="M14" s="3" t="s">
        <v>21</v>
      </c>
      <c r="N14" s="85" t="s">
        <v>59</v>
      </c>
      <c r="O14" s="88" t="s">
        <v>23</v>
      </c>
      <c r="P14" s="86" t="s">
        <v>24</v>
      </c>
      <c r="Q14" s="89" t="s">
        <v>25</v>
      </c>
      <c r="R14" s="89" t="s">
        <v>26</v>
      </c>
      <c r="S14" s="89" t="s">
        <v>26</v>
      </c>
      <c r="T14" s="90" t="s">
        <v>222</v>
      </c>
      <c r="U14" s="85" t="s">
        <v>264</v>
      </c>
      <c r="V14" s="85" t="s">
        <v>223</v>
      </c>
      <c r="W14" s="90" t="s">
        <v>26</v>
      </c>
      <c r="X14" s="91" t="s">
        <v>306</v>
      </c>
      <c r="Y14" s="87" t="s">
        <v>309</v>
      </c>
      <c r="Z14" s="102" t="s">
        <v>317</v>
      </c>
      <c r="AA14" s="103" t="s">
        <v>331</v>
      </c>
      <c r="AB14" s="123" t="s">
        <v>23</v>
      </c>
      <c r="AD14" s="57" t="s">
        <v>147</v>
      </c>
      <c r="AE14" s="56" t="s">
        <v>121</v>
      </c>
      <c r="AF14" s="56" t="s">
        <v>120</v>
      </c>
      <c r="AG14" s="56">
        <v>2</v>
      </c>
      <c r="AH14" s="56" t="s">
        <v>115</v>
      </c>
      <c r="AI14" s="56" t="s">
        <v>116</v>
      </c>
      <c r="AJ14" s="56">
        <v>1</v>
      </c>
      <c r="AK14" s="56" t="s">
        <v>117</v>
      </c>
      <c r="AL14" s="56">
        <v>7</v>
      </c>
      <c r="AN14" s="56" t="s">
        <v>117</v>
      </c>
      <c r="AO14" s="56" t="s">
        <v>114</v>
      </c>
      <c r="AP14" s="56" t="s">
        <v>114</v>
      </c>
      <c r="AQ14" s="56" t="s">
        <v>120</v>
      </c>
      <c r="AR14" s="56" t="s">
        <v>117</v>
      </c>
      <c r="AS14" s="56">
        <v>0.44</v>
      </c>
      <c r="AT14" s="56" t="s">
        <v>116</v>
      </c>
      <c r="AU14" s="56">
        <v>2</v>
      </c>
      <c r="AV14" s="56">
        <v>0.34</v>
      </c>
      <c r="AX14" s="56">
        <v>39</v>
      </c>
      <c r="AY14" s="56">
        <v>11.2</v>
      </c>
      <c r="AZ14" s="56" t="s">
        <v>119</v>
      </c>
      <c r="BA14" s="56">
        <v>0.01</v>
      </c>
      <c r="BB14" s="56" t="s">
        <v>114</v>
      </c>
      <c r="BC14" s="56" t="s">
        <v>116</v>
      </c>
      <c r="BD14" s="56">
        <v>0.12</v>
      </c>
      <c r="BE14" s="56" t="s">
        <v>114</v>
      </c>
      <c r="BF14" s="56">
        <v>0.06</v>
      </c>
      <c r="BG14" s="72" t="s">
        <v>286</v>
      </c>
      <c r="BH14" s="56" t="s">
        <v>126</v>
      </c>
      <c r="BI14" s="56">
        <v>613000</v>
      </c>
      <c r="BJ14" s="56">
        <f t="shared" si="0"/>
        <v>61.3</v>
      </c>
      <c r="BK14" s="56" t="s">
        <v>125</v>
      </c>
      <c r="BL14" s="56" t="s">
        <v>117</v>
      </c>
      <c r="BM14" s="56" t="s">
        <v>116</v>
      </c>
      <c r="BN14" s="56" t="s">
        <v>119</v>
      </c>
      <c r="BO14" s="56" t="s">
        <v>118</v>
      </c>
      <c r="BP14" s="56" t="s">
        <v>116</v>
      </c>
      <c r="BQ14" s="56" t="s">
        <v>117</v>
      </c>
      <c r="BR14" s="56" t="s">
        <v>114</v>
      </c>
      <c r="BS14" s="56" t="s">
        <v>116</v>
      </c>
      <c r="BT14" s="56" t="s">
        <v>114</v>
      </c>
      <c r="BU14" s="56" t="s">
        <v>116</v>
      </c>
      <c r="BV14" s="56" t="s">
        <v>116</v>
      </c>
      <c r="BW14" s="56" t="s">
        <v>124</v>
      </c>
      <c r="BX14" s="56" t="s">
        <v>124</v>
      </c>
      <c r="BY14" s="56" t="s">
        <v>123</v>
      </c>
      <c r="BZ14" s="56">
        <v>127</v>
      </c>
      <c r="CA14" s="56" t="s">
        <v>123</v>
      </c>
      <c r="CB14" s="56">
        <v>118</v>
      </c>
      <c r="CC14" s="56" t="s">
        <v>114</v>
      </c>
      <c r="CD14" s="56">
        <v>118</v>
      </c>
      <c r="CE14" s="56" t="s">
        <v>114</v>
      </c>
    </row>
    <row r="15" spans="1:83" ht="60.75" x14ac:dyDescent="0.25">
      <c r="A15" s="12">
        <v>42983</v>
      </c>
      <c r="B15" s="1" t="s">
        <v>16</v>
      </c>
      <c r="C15" s="1" t="s">
        <v>57</v>
      </c>
      <c r="D15">
        <v>2</v>
      </c>
      <c r="E15" s="13">
        <v>-113.8477024</v>
      </c>
      <c r="F15" s="13">
        <v>40.800694159999999</v>
      </c>
      <c r="G15" s="14" t="s">
        <v>61</v>
      </c>
      <c r="H15">
        <v>5</v>
      </c>
      <c r="I15">
        <v>100</v>
      </c>
      <c r="J15" s="14">
        <v>7.5</v>
      </c>
      <c r="K15" s="14"/>
      <c r="L15" s="1" t="s">
        <v>63</v>
      </c>
      <c r="M15" s="1" t="s">
        <v>30</v>
      </c>
      <c r="N15" s="85" t="s">
        <v>62</v>
      </c>
      <c r="O15" s="92" t="s">
        <v>31</v>
      </c>
      <c r="P15" s="93" t="s">
        <v>52</v>
      </c>
      <c r="Q15" s="95" t="s">
        <v>32</v>
      </c>
      <c r="R15" s="89" t="s">
        <v>26</v>
      </c>
      <c r="S15" s="89" t="s">
        <v>26</v>
      </c>
      <c r="T15" s="90" t="s">
        <v>227</v>
      </c>
      <c r="U15" s="85" t="s">
        <v>263</v>
      </c>
      <c r="V15" s="85" t="s">
        <v>236</v>
      </c>
      <c r="W15" s="90" t="s">
        <v>26</v>
      </c>
      <c r="X15" s="91" t="s">
        <v>297</v>
      </c>
      <c r="Y15" s="87" t="s">
        <v>310</v>
      </c>
      <c r="Z15" s="106" t="s">
        <v>320</v>
      </c>
      <c r="AA15" s="107" t="s">
        <v>332</v>
      </c>
      <c r="AB15" s="124" t="s">
        <v>353</v>
      </c>
      <c r="AD15" s="57" t="s">
        <v>146</v>
      </c>
      <c r="AE15" s="56" t="s">
        <v>121</v>
      </c>
      <c r="AF15" s="56" t="s">
        <v>120</v>
      </c>
      <c r="AG15" s="56">
        <v>3</v>
      </c>
      <c r="AH15" s="56">
        <v>50</v>
      </c>
      <c r="AI15" s="56">
        <v>2</v>
      </c>
      <c r="AJ15" s="56" t="s">
        <v>116</v>
      </c>
      <c r="AK15" s="56">
        <v>4</v>
      </c>
      <c r="AL15" s="56">
        <v>6</v>
      </c>
      <c r="AN15" s="56">
        <v>3</v>
      </c>
      <c r="AO15" s="56">
        <v>15</v>
      </c>
      <c r="AP15" s="56">
        <v>48</v>
      </c>
      <c r="AQ15" s="56" t="s">
        <v>120</v>
      </c>
      <c r="AR15" s="56" t="s">
        <v>117</v>
      </c>
      <c r="AS15" s="56" t="s">
        <v>126</v>
      </c>
      <c r="AT15" s="56" t="s">
        <v>116</v>
      </c>
      <c r="AU15" s="56">
        <v>2</v>
      </c>
      <c r="AV15" s="56">
        <v>5.16</v>
      </c>
      <c r="AX15" s="56">
        <v>747</v>
      </c>
      <c r="AY15" s="56">
        <v>30.8</v>
      </c>
      <c r="AZ15" s="56">
        <v>0.19</v>
      </c>
      <c r="BA15" s="56">
        <v>0.17</v>
      </c>
      <c r="BB15" s="56" t="s">
        <v>114</v>
      </c>
      <c r="BC15" s="56" t="s">
        <v>116</v>
      </c>
      <c r="BD15" s="56">
        <v>0.28999999999999998</v>
      </c>
      <c r="BE15" s="56" t="s">
        <v>114</v>
      </c>
      <c r="BF15" s="56">
        <v>0.62</v>
      </c>
      <c r="BG15" s="72" t="s">
        <v>297</v>
      </c>
      <c r="BH15" s="56">
        <v>4.7699999999999996</v>
      </c>
      <c r="BI15" s="56">
        <v>95600</v>
      </c>
      <c r="BJ15" s="56">
        <f t="shared" si="0"/>
        <v>9.56</v>
      </c>
      <c r="BK15" s="56">
        <v>0.01</v>
      </c>
      <c r="BL15" s="56" t="s">
        <v>117</v>
      </c>
      <c r="BM15" s="56" t="s">
        <v>116</v>
      </c>
      <c r="BN15" s="56" t="s">
        <v>119</v>
      </c>
      <c r="BO15" s="56" t="s">
        <v>118</v>
      </c>
      <c r="BP15" s="56" t="s">
        <v>116</v>
      </c>
      <c r="BQ15" s="56" t="s">
        <v>117</v>
      </c>
      <c r="BR15" s="56" t="s">
        <v>114</v>
      </c>
      <c r="BS15" s="56">
        <v>4</v>
      </c>
      <c r="BT15" s="56" t="s">
        <v>114</v>
      </c>
      <c r="BU15" s="56">
        <v>1</v>
      </c>
      <c r="BV15" s="56">
        <v>2</v>
      </c>
      <c r="BW15" s="56" t="s">
        <v>133</v>
      </c>
      <c r="BX15" s="56" t="s">
        <v>133</v>
      </c>
      <c r="BY15" s="56" t="s">
        <v>137</v>
      </c>
      <c r="BZ15" s="56" t="s">
        <v>133</v>
      </c>
      <c r="CA15" s="56" t="s">
        <v>136</v>
      </c>
      <c r="CB15" s="56">
        <v>157</v>
      </c>
      <c r="CC15" s="56" t="s">
        <v>114</v>
      </c>
      <c r="CD15" s="56">
        <v>157</v>
      </c>
      <c r="CE15" s="56" t="s">
        <v>114</v>
      </c>
    </row>
    <row r="16" spans="1:83" ht="72.75" x14ac:dyDescent="0.25">
      <c r="A16" s="24">
        <v>42983</v>
      </c>
      <c r="B16" s="46" t="s">
        <v>16</v>
      </c>
      <c r="C16" s="46" t="s">
        <v>57</v>
      </c>
      <c r="D16">
        <v>3</v>
      </c>
      <c r="E16" s="26">
        <v>-113.8477024</v>
      </c>
      <c r="F16" s="26">
        <v>40.800694159999999</v>
      </c>
      <c r="G16" s="27" t="s">
        <v>64</v>
      </c>
      <c r="H16">
        <v>10</v>
      </c>
      <c r="I16" t="s">
        <v>406</v>
      </c>
      <c r="J16" s="31">
        <v>10</v>
      </c>
      <c r="K16" s="27"/>
      <c r="L16" s="46" t="s">
        <v>66</v>
      </c>
      <c r="M16" s="46" t="s">
        <v>37</v>
      </c>
      <c r="N16" s="85" t="s">
        <v>65</v>
      </c>
      <c r="O16" s="99" t="s">
        <v>44</v>
      </c>
      <c r="P16" s="98"/>
      <c r="Q16" s="98"/>
      <c r="R16" s="89" t="s">
        <v>26</v>
      </c>
      <c r="S16" s="95" t="s">
        <v>39</v>
      </c>
      <c r="T16" s="100" t="s">
        <v>262</v>
      </c>
      <c r="U16" s="85" t="s">
        <v>268</v>
      </c>
      <c r="V16" s="85" t="s">
        <v>238</v>
      </c>
      <c r="W16" s="100" t="s">
        <v>26</v>
      </c>
      <c r="X16" s="91" t="s">
        <v>307</v>
      </c>
      <c r="Y16" s="87" t="s">
        <v>313</v>
      </c>
      <c r="Z16" s="108" t="s">
        <v>321</v>
      </c>
      <c r="AA16" s="109" t="s">
        <v>337</v>
      </c>
      <c r="AB16" s="127" t="s">
        <v>354</v>
      </c>
      <c r="AD16" s="57" t="s">
        <v>145</v>
      </c>
      <c r="AE16" s="56" t="s">
        <v>121</v>
      </c>
      <c r="AF16" s="56" t="s">
        <v>120</v>
      </c>
      <c r="AG16" s="56" t="s">
        <v>116</v>
      </c>
      <c r="AH16" s="56">
        <v>9</v>
      </c>
      <c r="AI16" s="56" t="s">
        <v>116</v>
      </c>
      <c r="AJ16" s="56" t="s">
        <v>116</v>
      </c>
      <c r="AK16" s="56" t="s">
        <v>117</v>
      </c>
      <c r="AL16" s="56">
        <v>3</v>
      </c>
      <c r="AN16" s="56" t="s">
        <v>117</v>
      </c>
      <c r="AO16" s="56" t="s">
        <v>114</v>
      </c>
      <c r="AP16" s="56">
        <v>29</v>
      </c>
      <c r="AQ16" s="56" t="s">
        <v>120</v>
      </c>
      <c r="AR16" s="56" t="s">
        <v>117</v>
      </c>
      <c r="AS16" s="56">
        <v>7.47</v>
      </c>
      <c r="AT16" s="56" t="s">
        <v>116</v>
      </c>
      <c r="AU16" s="56" t="s">
        <v>116</v>
      </c>
      <c r="AV16" s="56">
        <v>6.44</v>
      </c>
      <c r="AX16" s="56">
        <v>714</v>
      </c>
      <c r="AY16" s="56">
        <v>46.2</v>
      </c>
      <c r="AZ16" s="56">
        <v>0.05</v>
      </c>
      <c r="BA16" s="56">
        <v>0.04</v>
      </c>
      <c r="BB16" s="56" t="s">
        <v>114</v>
      </c>
      <c r="BC16" s="56" t="s">
        <v>116</v>
      </c>
      <c r="BD16" s="56">
        <v>0.22</v>
      </c>
      <c r="BE16" s="56" t="s">
        <v>114</v>
      </c>
      <c r="BF16" s="56">
        <v>0.22</v>
      </c>
      <c r="BG16" s="71" t="s">
        <v>288</v>
      </c>
      <c r="BH16" s="56" t="s">
        <v>126</v>
      </c>
      <c r="BI16" s="56">
        <v>358000</v>
      </c>
      <c r="BJ16" s="56">
        <f t="shared" si="0"/>
        <v>35.799999999999997</v>
      </c>
      <c r="BK16" s="56">
        <v>2E-3</v>
      </c>
      <c r="BL16" s="56" t="s">
        <v>117</v>
      </c>
      <c r="BM16" s="56" t="s">
        <v>116</v>
      </c>
      <c r="BN16" s="56" t="s">
        <v>119</v>
      </c>
      <c r="BO16" s="56" t="s">
        <v>118</v>
      </c>
      <c r="BP16" s="56" t="s">
        <v>116</v>
      </c>
      <c r="BQ16" s="56" t="s">
        <v>117</v>
      </c>
      <c r="BR16" s="56" t="s">
        <v>114</v>
      </c>
      <c r="BS16" s="56" t="s">
        <v>116</v>
      </c>
      <c r="BT16" s="56" t="s">
        <v>114</v>
      </c>
      <c r="BU16" s="56" t="s">
        <v>116</v>
      </c>
      <c r="BV16" s="56" t="s">
        <v>116</v>
      </c>
      <c r="BW16" s="56" t="s">
        <v>133</v>
      </c>
      <c r="BX16" s="56" t="s">
        <v>133</v>
      </c>
      <c r="BY16" s="56" t="s">
        <v>137</v>
      </c>
      <c r="BZ16" s="56" t="s">
        <v>133</v>
      </c>
      <c r="CA16" s="56" t="s">
        <v>136</v>
      </c>
      <c r="CB16" s="56">
        <v>144</v>
      </c>
      <c r="CC16" s="56">
        <v>30</v>
      </c>
      <c r="CD16" s="56">
        <v>113</v>
      </c>
      <c r="CE16" s="56" t="s">
        <v>114</v>
      </c>
    </row>
    <row r="17" spans="1:83" ht="120.75" x14ac:dyDescent="0.25">
      <c r="A17" s="34">
        <v>42983</v>
      </c>
      <c r="B17" s="1" t="s">
        <v>16</v>
      </c>
      <c r="C17" s="1" t="s">
        <v>67</v>
      </c>
      <c r="D17">
        <v>1</v>
      </c>
      <c r="E17" s="13">
        <v>-113.82946130000001</v>
      </c>
      <c r="F17" s="13">
        <v>40.784214599999999</v>
      </c>
      <c r="G17" s="14" t="s">
        <v>68</v>
      </c>
      <c r="H17">
        <v>0</v>
      </c>
      <c r="I17">
        <v>20</v>
      </c>
      <c r="J17" s="14">
        <v>1</v>
      </c>
      <c r="K17" s="14"/>
      <c r="L17" s="1" t="s">
        <v>70</v>
      </c>
      <c r="M17" s="1" t="s">
        <v>21</v>
      </c>
      <c r="N17" s="85" t="s">
        <v>69</v>
      </c>
      <c r="O17" s="88" t="s">
        <v>23</v>
      </c>
      <c r="P17" s="86" t="s">
        <v>24</v>
      </c>
      <c r="Q17" s="89" t="s">
        <v>25</v>
      </c>
      <c r="R17" s="89" t="s">
        <v>26</v>
      </c>
      <c r="S17" s="89" t="s">
        <v>26</v>
      </c>
      <c r="T17" s="90" t="s">
        <v>224</v>
      </c>
      <c r="U17" s="85" t="s">
        <v>266</v>
      </c>
      <c r="V17" s="85" t="s">
        <v>239</v>
      </c>
      <c r="W17" s="90" t="s">
        <v>255</v>
      </c>
      <c r="X17" s="91" t="s">
        <v>308</v>
      </c>
      <c r="Y17" s="87" t="s">
        <v>309</v>
      </c>
      <c r="Z17" s="102" t="s">
        <v>322</v>
      </c>
      <c r="AA17" s="103" t="s">
        <v>331</v>
      </c>
      <c r="AB17" s="123" t="s">
        <v>23</v>
      </c>
      <c r="AD17" s="57" t="s">
        <v>144</v>
      </c>
      <c r="AE17" s="56" t="s">
        <v>121</v>
      </c>
      <c r="AF17" s="56" t="s">
        <v>120</v>
      </c>
      <c r="AG17" s="56" t="s">
        <v>116</v>
      </c>
      <c r="AH17" s="56" t="s">
        <v>115</v>
      </c>
      <c r="AI17" s="56" t="s">
        <v>116</v>
      </c>
      <c r="AJ17" s="56" t="s">
        <v>116</v>
      </c>
      <c r="AK17" s="56" t="s">
        <v>117</v>
      </c>
      <c r="AL17" s="56">
        <v>9</v>
      </c>
      <c r="AN17" s="56" t="s">
        <v>117</v>
      </c>
      <c r="AO17" s="56" t="s">
        <v>114</v>
      </c>
      <c r="AP17" s="56" t="s">
        <v>114</v>
      </c>
      <c r="AQ17" s="56" t="s">
        <v>120</v>
      </c>
      <c r="AR17" s="56" t="s">
        <v>117</v>
      </c>
      <c r="AS17" s="56">
        <v>0.48</v>
      </c>
      <c r="AT17" s="56" t="s">
        <v>116</v>
      </c>
      <c r="AU17" s="56" t="s">
        <v>116</v>
      </c>
      <c r="AV17" s="56">
        <v>0.36</v>
      </c>
      <c r="AX17" s="56">
        <v>55</v>
      </c>
      <c r="AY17" s="56">
        <v>12.5</v>
      </c>
      <c r="AZ17" s="53" t="s">
        <v>119</v>
      </c>
      <c r="BA17" s="56" t="s">
        <v>119</v>
      </c>
      <c r="BB17" s="56" t="s">
        <v>114</v>
      </c>
      <c r="BC17" s="56" t="s">
        <v>116</v>
      </c>
      <c r="BD17" s="56">
        <v>0.28999999999999998</v>
      </c>
      <c r="BE17" s="56" t="s">
        <v>114</v>
      </c>
      <c r="BF17" s="56">
        <v>0.14000000000000001</v>
      </c>
      <c r="BG17" s="72" t="s">
        <v>286</v>
      </c>
      <c r="BH17" s="56" t="s">
        <v>126</v>
      </c>
      <c r="BI17" s="56">
        <v>598000</v>
      </c>
      <c r="BJ17" s="56">
        <f t="shared" si="0"/>
        <v>59.8</v>
      </c>
      <c r="BK17" s="56" t="s">
        <v>125</v>
      </c>
      <c r="BL17" s="56" t="s">
        <v>117</v>
      </c>
      <c r="BM17" s="56" t="s">
        <v>116</v>
      </c>
      <c r="BN17" s="56" t="s">
        <v>119</v>
      </c>
      <c r="BO17" s="56" t="s">
        <v>118</v>
      </c>
      <c r="BP17" s="56" t="s">
        <v>116</v>
      </c>
      <c r="BQ17" s="56" t="s">
        <v>117</v>
      </c>
      <c r="BR17" s="56" t="s">
        <v>114</v>
      </c>
      <c r="BS17" s="56" t="s">
        <v>116</v>
      </c>
      <c r="BT17" s="56" t="s">
        <v>114</v>
      </c>
      <c r="BU17" s="56" t="s">
        <v>116</v>
      </c>
      <c r="BV17" s="56" t="s">
        <v>116</v>
      </c>
      <c r="BW17" s="56" t="s">
        <v>124</v>
      </c>
      <c r="BX17" s="56" t="s">
        <v>124</v>
      </c>
      <c r="BY17" s="56" t="s">
        <v>123</v>
      </c>
      <c r="BZ17" s="56" t="s">
        <v>124</v>
      </c>
      <c r="CA17" s="56" t="s">
        <v>123</v>
      </c>
      <c r="CB17" s="56">
        <v>131</v>
      </c>
      <c r="CC17" s="56" t="s">
        <v>114</v>
      </c>
      <c r="CD17" s="56">
        <v>131</v>
      </c>
      <c r="CE17" s="56" t="s">
        <v>114</v>
      </c>
    </row>
    <row r="18" spans="1:83" ht="84.75" x14ac:dyDescent="0.25">
      <c r="A18" s="34">
        <v>42983</v>
      </c>
      <c r="B18" s="1" t="s">
        <v>16</v>
      </c>
      <c r="C18" s="1" t="s">
        <v>67</v>
      </c>
      <c r="D18">
        <v>2</v>
      </c>
      <c r="E18" s="13">
        <v>-113.82946130000001</v>
      </c>
      <c r="F18" s="13">
        <v>40.784214599999999</v>
      </c>
      <c r="G18" s="14" t="s">
        <v>71</v>
      </c>
      <c r="H18">
        <v>2</v>
      </c>
      <c r="I18">
        <v>60</v>
      </c>
      <c r="J18" s="14">
        <v>4</v>
      </c>
      <c r="K18" s="14"/>
      <c r="L18" s="1" t="s">
        <v>73</v>
      </c>
      <c r="M18" s="1" t="s">
        <v>30</v>
      </c>
      <c r="N18" s="85" t="s">
        <v>72</v>
      </c>
      <c r="O18" s="94" t="s">
        <v>56</v>
      </c>
      <c r="P18" s="96" t="s">
        <v>33</v>
      </c>
      <c r="Q18" s="95" t="s">
        <v>74</v>
      </c>
      <c r="R18" s="89" t="s">
        <v>26</v>
      </c>
      <c r="S18" s="89" t="s">
        <v>26</v>
      </c>
      <c r="T18" s="90" t="s">
        <v>230</v>
      </c>
      <c r="U18" s="85" t="s">
        <v>265</v>
      </c>
      <c r="V18" s="85" t="s">
        <v>236</v>
      </c>
      <c r="W18" s="90" t="s">
        <v>256</v>
      </c>
      <c r="X18" s="91" t="s">
        <v>289</v>
      </c>
      <c r="Y18" s="87" t="s">
        <v>309</v>
      </c>
      <c r="Z18" s="114" t="s">
        <v>330</v>
      </c>
      <c r="AA18" s="115" t="s">
        <v>338</v>
      </c>
      <c r="AB18" s="125" t="s">
        <v>351</v>
      </c>
      <c r="AC18" s="70" t="s">
        <v>348</v>
      </c>
      <c r="AD18" s="57" t="s">
        <v>143</v>
      </c>
      <c r="AE18" s="56" t="s">
        <v>121</v>
      </c>
      <c r="AF18" s="56" t="s">
        <v>120</v>
      </c>
      <c r="AG18" s="56" t="s">
        <v>116</v>
      </c>
      <c r="AH18" s="56">
        <v>13</v>
      </c>
      <c r="AI18" s="56" t="s">
        <v>116</v>
      </c>
      <c r="AJ18" s="56" t="s">
        <v>116</v>
      </c>
      <c r="AK18" s="56" t="s">
        <v>117</v>
      </c>
      <c r="AL18" s="56" t="s">
        <v>117</v>
      </c>
      <c r="AN18" s="56" t="s">
        <v>117</v>
      </c>
      <c r="AO18" s="56" t="s">
        <v>114</v>
      </c>
      <c r="AP18" s="56" t="s">
        <v>114</v>
      </c>
      <c r="AQ18" s="56" t="s">
        <v>120</v>
      </c>
      <c r="AR18" s="56" t="s">
        <v>117</v>
      </c>
      <c r="AS18" s="56">
        <v>2.0499999999999998</v>
      </c>
      <c r="AT18" s="56" t="s">
        <v>116</v>
      </c>
      <c r="AU18" s="56" t="s">
        <v>116</v>
      </c>
      <c r="AV18" s="56">
        <v>1.47</v>
      </c>
      <c r="AX18" s="56">
        <v>101</v>
      </c>
      <c r="AY18" s="56">
        <v>50.6</v>
      </c>
      <c r="AZ18" s="56">
        <v>0.02</v>
      </c>
      <c r="BA18" s="56">
        <v>0.03</v>
      </c>
      <c r="BB18" s="56" t="s">
        <v>114</v>
      </c>
      <c r="BC18" s="56" t="s">
        <v>116</v>
      </c>
      <c r="BD18" s="56">
        <v>0.14000000000000001</v>
      </c>
      <c r="BE18" s="56" t="s">
        <v>114</v>
      </c>
      <c r="BF18" s="56">
        <v>0.11</v>
      </c>
      <c r="BG18" s="72" t="s">
        <v>289</v>
      </c>
      <c r="BH18" s="56" t="s">
        <v>126</v>
      </c>
      <c r="BI18" s="56">
        <v>555000</v>
      </c>
      <c r="BJ18" s="56">
        <f t="shared" si="0"/>
        <v>55.5</v>
      </c>
      <c r="BK18" s="56">
        <v>1E-3</v>
      </c>
      <c r="BL18" s="56" t="s">
        <v>117</v>
      </c>
      <c r="BM18" s="56" t="s">
        <v>116</v>
      </c>
      <c r="BN18" s="56" t="s">
        <v>119</v>
      </c>
      <c r="BO18" s="56" t="s">
        <v>118</v>
      </c>
      <c r="BP18" s="56" t="s">
        <v>116</v>
      </c>
      <c r="BQ18" s="56" t="s">
        <v>117</v>
      </c>
      <c r="BR18" s="56" t="s">
        <v>114</v>
      </c>
      <c r="BS18" s="56" t="s">
        <v>116</v>
      </c>
      <c r="BT18" s="56" t="s">
        <v>114</v>
      </c>
      <c r="BU18" s="56" t="s">
        <v>116</v>
      </c>
      <c r="BV18" s="56" t="s">
        <v>116</v>
      </c>
      <c r="BW18" s="56" t="s">
        <v>124</v>
      </c>
      <c r="BX18" s="56" t="s">
        <v>124</v>
      </c>
      <c r="BY18" s="56" t="s">
        <v>123</v>
      </c>
      <c r="BZ18" s="56">
        <v>64</v>
      </c>
      <c r="CA18" s="56" t="s">
        <v>123</v>
      </c>
      <c r="CB18" s="56">
        <v>158</v>
      </c>
      <c r="CC18" s="56">
        <v>32</v>
      </c>
      <c r="CD18" s="56">
        <v>125</v>
      </c>
      <c r="CE18" s="56" t="s">
        <v>114</v>
      </c>
    </row>
    <row r="19" spans="1:83" ht="96.75" x14ac:dyDescent="0.25">
      <c r="A19" s="34">
        <v>42983</v>
      </c>
      <c r="B19" s="1" t="s">
        <v>16</v>
      </c>
      <c r="C19" s="1" t="s">
        <v>67</v>
      </c>
      <c r="D19">
        <v>3</v>
      </c>
      <c r="E19" s="13">
        <v>-113.82946130000001</v>
      </c>
      <c r="F19" s="13">
        <v>40.784214599999999</v>
      </c>
      <c r="G19" s="14" t="s">
        <v>75</v>
      </c>
      <c r="H19">
        <v>6</v>
      </c>
      <c r="I19">
        <v>120</v>
      </c>
      <c r="J19" s="14">
        <v>9</v>
      </c>
      <c r="K19" s="14"/>
      <c r="L19" s="1" t="s">
        <v>77</v>
      </c>
      <c r="M19" s="1" t="s">
        <v>37</v>
      </c>
      <c r="N19" s="85" t="s">
        <v>76</v>
      </c>
      <c r="O19" s="94" t="s">
        <v>56</v>
      </c>
      <c r="P19" s="97" t="s">
        <v>38</v>
      </c>
      <c r="Q19" s="86"/>
      <c r="R19" s="89" t="s">
        <v>26</v>
      </c>
      <c r="S19" s="95" t="s">
        <v>39</v>
      </c>
      <c r="T19" s="100" t="s">
        <v>231</v>
      </c>
      <c r="U19" s="85" t="s">
        <v>267</v>
      </c>
      <c r="V19" s="85" t="s">
        <v>240</v>
      </c>
      <c r="W19" s="90" t="s">
        <v>257</v>
      </c>
      <c r="X19" s="91" t="s">
        <v>290</v>
      </c>
      <c r="Y19" s="87" t="s">
        <v>315</v>
      </c>
      <c r="Z19" s="112" t="s">
        <v>321</v>
      </c>
      <c r="AA19" s="113" t="s">
        <v>333</v>
      </c>
      <c r="AB19" s="125" t="s">
        <v>351</v>
      </c>
      <c r="AD19" s="57" t="s">
        <v>142</v>
      </c>
      <c r="AE19" s="56" t="s">
        <v>121</v>
      </c>
      <c r="AF19" s="56" t="s">
        <v>120</v>
      </c>
      <c r="AG19" s="56" t="s">
        <v>116</v>
      </c>
      <c r="AH19" s="56">
        <v>6</v>
      </c>
      <c r="AI19" s="56" t="s">
        <v>116</v>
      </c>
      <c r="AJ19" s="56" t="s">
        <v>116</v>
      </c>
      <c r="AK19" s="56" t="s">
        <v>117</v>
      </c>
      <c r="AL19" s="56">
        <v>114</v>
      </c>
      <c r="AN19" s="56" t="s">
        <v>117</v>
      </c>
      <c r="AO19" s="56" t="s">
        <v>114</v>
      </c>
      <c r="AP19" s="56">
        <v>11</v>
      </c>
      <c r="AQ19" s="56" t="s">
        <v>120</v>
      </c>
      <c r="AR19" s="56" t="s">
        <v>117</v>
      </c>
      <c r="AS19" s="56">
        <v>3.23</v>
      </c>
      <c r="AT19" s="56" t="s">
        <v>116</v>
      </c>
      <c r="AU19" s="56" t="s">
        <v>116</v>
      </c>
      <c r="AV19" s="56">
        <v>2.52</v>
      </c>
      <c r="AX19" s="56">
        <v>152</v>
      </c>
      <c r="AY19" s="56">
        <v>51.5</v>
      </c>
      <c r="AZ19" s="56">
        <v>0.03</v>
      </c>
      <c r="BA19" s="56">
        <v>0.03</v>
      </c>
      <c r="BB19" s="56" t="s">
        <v>114</v>
      </c>
      <c r="BC19" s="56" t="s">
        <v>116</v>
      </c>
      <c r="BD19" s="56">
        <v>0.09</v>
      </c>
      <c r="BE19" s="56" t="s">
        <v>114</v>
      </c>
      <c r="BF19" s="56">
        <v>0.08</v>
      </c>
      <c r="BG19" s="72" t="s">
        <v>290</v>
      </c>
      <c r="BH19" s="56" t="s">
        <v>126</v>
      </c>
      <c r="BI19" s="56">
        <v>525000</v>
      </c>
      <c r="BJ19" s="56">
        <f t="shared" si="0"/>
        <v>52.5</v>
      </c>
      <c r="BK19" s="56">
        <v>1E-3</v>
      </c>
      <c r="BL19" s="56" t="s">
        <v>117</v>
      </c>
      <c r="BM19" s="56" t="s">
        <v>116</v>
      </c>
      <c r="BN19" s="56" t="s">
        <v>119</v>
      </c>
      <c r="BO19" s="56" t="s">
        <v>118</v>
      </c>
      <c r="BP19" s="56" t="s">
        <v>116</v>
      </c>
      <c r="BQ19" s="56" t="s">
        <v>117</v>
      </c>
      <c r="BR19" s="56" t="s">
        <v>114</v>
      </c>
      <c r="BS19" s="56" t="s">
        <v>116</v>
      </c>
      <c r="BT19" s="56" t="s">
        <v>114</v>
      </c>
      <c r="BU19" s="56" t="s">
        <v>116</v>
      </c>
      <c r="BV19" s="56" t="s">
        <v>116</v>
      </c>
      <c r="BW19" s="56" t="s">
        <v>124</v>
      </c>
      <c r="BX19" s="56" t="s">
        <v>124</v>
      </c>
      <c r="BY19" s="56" t="s">
        <v>123</v>
      </c>
      <c r="BZ19" s="56">
        <v>220</v>
      </c>
      <c r="CA19" s="56" t="s">
        <v>123</v>
      </c>
      <c r="CB19" s="56">
        <v>111</v>
      </c>
      <c r="CC19" s="56" t="s">
        <v>114</v>
      </c>
      <c r="CD19" s="56">
        <v>111</v>
      </c>
      <c r="CE19" s="56" t="s">
        <v>114</v>
      </c>
    </row>
    <row r="20" spans="1:83" ht="36.75" x14ac:dyDescent="0.25">
      <c r="A20" s="2">
        <v>42983</v>
      </c>
      <c r="B20" s="3" t="s">
        <v>16</v>
      </c>
      <c r="C20" s="3" t="s">
        <v>92</v>
      </c>
      <c r="D20">
        <v>1</v>
      </c>
      <c r="E20" s="4">
        <v>-113.8309256</v>
      </c>
      <c r="F20" s="4">
        <v>40.762998699999997</v>
      </c>
      <c r="G20" s="5" t="s">
        <v>79</v>
      </c>
      <c r="H20">
        <v>0</v>
      </c>
      <c r="I20">
        <v>25</v>
      </c>
      <c r="J20" s="60">
        <v>1.25</v>
      </c>
      <c r="K20" s="5"/>
      <c r="L20" s="3" t="s">
        <v>94</v>
      </c>
      <c r="M20" s="3" t="s">
        <v>21</v>
      </c>
      <c r="N20" s="85" t="s">
        <v>93</v>
      </c>
      <c r="O20" s="88" t="s">
        <v>23</v>
      </c>
      <c r="P20" s="86" t="s">
        <v>24</v>
      </c>
      <c r="Q20" s="89" t="s">
        <v>25</v>
      </c>
      <c r="R20" s="89" t="s">
        <v>26</v>
      </c>
      <c r="S20" s="89" t="s">
        <v>26</v>
      </c>
      <c r="T20" s="90" t="s">
        <v>224</v>
      </c>
      <c r="U20" s="85" t="s">
        <v>219</v>
      </c>
      <c r="V20" s="85" t="s">
        <v>241</v>
      </c>
      <c r="W20" s="90" t="s">
        <v>251</v>
      </c>
      <c r="X20" s="91" t="s">
        <v>286</v>
      </c>
      <c r="Y20" s="87" t="s">
        <v>309</v>
      </c>
      <c r="Z20" s="102" t="s">
        <v>317</v>
      </c>
      <c r="AA20" s="103" t="s">
        <v>331</v>
      </c>
      <c r="AB20" s="123" t="s">
        <v>23</v>
      </c>
      <c r="AC20" s="70" t="s">
        <v>348</v>
      </c>
      <c r="AD20" s="57" t="s">
        <v>141</v>
      </c>
      <c r="AE20" s="56" t="s">
        <v>121</v>
      </c>
      <c r="AF20" s="56" t="s">
        <v>120</v>
      </c>
      <c r="AG20" s="56" t="s">
        <v>116</v>
      </c>
      <c r="AH20" s="56">
        <v>5</v>
      </c>
      <c r="AI20" s="56" t="s">
        <v>116</v>
      </c>
      <c r="AJ20" s="56" t="s">
        <v>116</v>
      </c>
      <c r="AK20" s="56" t="s">
        <v>117</v>
      </c>
      <c r="AL20" s="56" t="s">
        <v>117</v>
      </c>
      <c r="AN20" s="56" t="s">
        <v>117</v>
      </c>
      <c r="AO20" s="56" t="s">
        <v>114</v>
      </c>
      <c r="AP20" s="56" t="s">
        <v>114</v>
      </c>
      <c r="AQ20" s="56" t="s">
        <v>120</v>
      </c>
      <c r="AR20" s="56" t="s">
        <v>117</v>
      </c>
      <c r="AS20" s="56">
        <v>0.59</v>
      </c>
      <c r="AT20" s="56" t="s">
        <v>116</v>
      </c>
      <c r="AU20" s="56" t="s">
        <v>116</v>
      </c>
      <c r="AV20" s="56">
        <v>0.44</v>
      </c>
      <c r="AX20" s="56">
        <v>57</v>
      </c>
      <c r="AY20" s="56">
        <v>14.9</v>
      </c>
      <c r="AZ20" s="56" t="s">
        <v>119</v>
      </c>
      <c r="BA20" s="56">
        <v>0.01</v>
      </c>
      <c r="BB20" s="56" t="s">
        <v>114</v>
      </c>
      <c r="BC20" s="56" t="s">
        <v>116</v>
      </c>
      <c r="BD20" s="56">
        <v>0.25</v>
      </c>
      <c r="BE20" s="56" t="s">
        <v>114</v>
      </c>
      <c r="BF20" s="56">
        <v>0.12</v>
      </c>
      <c r="BG20" s="72" t="s">
        <v>286</v>
      </c>
      <c r="BH20" s="56" t="s">
        <v>126</v>
      </c>
      <c r="BI20" s="56">
        <v>575000</v>
      </c>
      <c r="BJ20" s="56">
        <f t="shared" si="0"/>
        <v>57.5</v>
      </c>
      <c r="BK20" s="56" t="s">
        <v>125</v>
      </c>
      <c r="BL20" s="56" t="s">
        <v>117</v>
      </c>
      <c r="BM20" s="56" t="s">
        <v>116</v>
      </c>
      <c r="BN20" s="56" t="s">
        <v>119</v>
      </c>
      <c r="BO20" s="56" t="s">
        <v>118</v>
      </c>
      <c r="BP20" s="56" t="s">
        <v>116</v>
      </c>
      <c r="BQ20" s="56" t="s">
        <v>117</v>
      </c>
      <c r="BR20" s="56" t="s">
        <v>114</v>
      </c>
      <c r="BS20" s="56" t="s">
        <v>116</v>
      </c>
      <c r="BT20" s="56" t="s">
        <v>114</v>
      </c>
      <c r="BU20" s="56" t="s">
        <v>116</v>
      </c>
      <c r="BV20" s="56" t="s">
        <v>116</v>
      </c>
      <c r="BW20" s="56" t="s">
        <v>124</v>
      </c>
      <c r="BX20" s="56" t="s">
        <v>124</v>
      </c>
      <c r="BY20" s="56" t="s">
        <v>123</v>
      </c>
      <c r="BZ20" s="56">
        <v>322</v>
      </c>
      <c r="CA20" s="56" t="s">
        <v>123</v>
      </c>
      <c r="CB20" s="56">
        <v>118</v>
      </c>
      <c r="CC20" s="56" t="s">
        <v>114</v>
      </c>
      <c r="CD20" s="56">
        <v>118</v>
      </c>
      <c r="CE20" s="56" t="s">
        <v>114</v>
      </c>
    </row>
    <row r="21" spans="1:83" ht="36.75" x14ac:dyDescent="0.25">
      <c r="A21" s="12">
        <v>42983</v>
      </c>
      <c r="B21" s="1" t="s">
        <v>16</v>
      </c>
      <c r="C21" s="1" t="s">
        <v>92</v>
      </c>
      <c r="D21">
        <v>2</v>
      </c>
      <c r="E21" s="13">
        <v>-113.8309256</v>
      </c>
      <c r="F21" s="13">
        <v>40.762998699999997</v>
      </c>
      <c r="G21" s="14" t="s">
        <v>95</v>
      </c>
      <c r="H21">
        <v>25</v>
      </c>
      <c r="I21">
        <v>45</v>
      </c>
      <c r="J21" s="14">
        <v>3.5</v>
      </c>
      <c r="K21" s="14"/>
      <c r="L21" s="1" t="s">
        <v>97</v>
      </c>
      <c r="M21" s="1" t="s">
        <v>30</v>
      </c>
      <c r="N21" s="85" t="s">
        <v>96</v>
      </c>
      <c r="O21" s="92" t="s">
        <v>31</v>
      </c>
      <c r="P21" s="96" t="s">
        <v>33</v>
      </c>
      <c r="Q21" s="95" t="s">
        <v>32</v>
      </c>
      <c r="R21" s="89" t="s">
        <v>26</v>
      </c>
      <c r="S21" s="89" t="s">
        <v>26</v>
      </c>
      <c r="T21" s="90" t="s">
        <v>227</v>
      </c>
      <c r="U21" s="85" t="s">
        <v>219</v>
      </c>
      <c r="V21" s="85" t="s">
        <v>243</v>
      </c>
      <c r="W21" s="90" t="s">
        <v>252</v>
      </c>
      <c r="X21" s="91" t="s">
        <v>290</v>
      </c>
      <c r="Y21" s="87" t="s">
        <v>315</v>
      </c>
      <c r="Z21" s="110" t="s">
        <v>323</v>
      </c>
      <c r="AA21" s="111" t="s">
        <v>339</v>
      </c>
      <c r="AB21" s="124" t="s">
        <v>353</v>
      </c>
      <c r="AD21" s="57" t="s">
        <v>140</v>
      </c>
      <c r="AE21" s="56" t="s">
        <v>121</v>
      </c>
      <c r="AF21" s="56" t="s">
        <v>120</v>
      </c>
      <c r="AG21" s="56">
        <v>1</v>
      </c>
      <c r="AH21" s="56">
        <v>27</v>
      </c>
      <c r="AI21" s="56" t="s">
        <v>116</v>
      </c>
      <c r="AJ21" s="56" t="s">
        <v>116</v>
      </c>
      <c r="AK21" s="56" t="s">
        <v>117</v>
      </c>
      <c r="AL21" s="56" t="s">
        <v>117</v>
      </c>
      <c r="AN21" s="56" t="s">
        <v>117</v>
      </c>
      <c r="AO21" s="56" t="s">
        <v>114</v>
      </c>
      <c r="AP21" s="56">
        <v>12</v>
      </c>
      <c r="AQ21" s="56" t="s">
        <v>120</v>
      </c>
      <c r="AR21" s="56" t="s">
        <v>117</v>
      </c>
      <c r="AS21" s="56">
        <v>2.4</v>
      </c>
      <c r="AT21" s="56" t="s">
        <v>116</v>
      </c>
      <c r="AU21" s="56" t="s">
        <v>116</v>
      </c>
      <c r="AV21" s="56">
        <v>1.76</v>
      </c>
      <c r="AX21" s="56">
        <v>143</v>
      </c>
      <c r="AY21" s="56">
        <v>49.1</v>
      </c>
      <c r="AZ21" s="56">
        <v>0.04</v>
      </c>
      <c r="BA21" s="56">
        <v>0.04</v>
      </c>
      <c r="BB21" s="56" t="s">
        <v>114</v>
      </c>
      <c r="BC21" s="56" t="s">
        <v>116</v>
      </c>
      <c r="BD21" s="56">
        <v>0.19</v>
      </c>
      <c r="BE21" s="56" t="s">
        <v>114</v>
      </c>
      <c r="BF21" s="56">
        <v>0.15</v>
      </c>
      <c r="BG21" s="72" t="s">
        <v>290</v>
      </c>
      <c r="BH21" s="56" t="s">
        <v>126</v>
      </c>
      <c r="BI21" s="56">
        <v>528000</v>
      </c>
      <c r="BJ21" s="56">
        <f t="shared" si="0"/>
        <v>52.8</v>
      </c>
      <c r="BK21" s="56">
        <v>2E-3</v>
      </c>
      <c r="BL21" s="56" t="s">
        <v>117</v>
      </c>
      <c r="BM21" s="56" t="s">
        <v>116</v>
      </c>
      <c r="BN21" s="56" t="s">
        <v>119</v>
      </c>
      <c r="BO21" s="56" t="s">
        <v>118</v>
      </c>
      <c r="BP21" s="56" t="s">
        <v>116</v>
      </c>
      <c r="BQ21" s="56" t="s">
        <v>117</v>
      </c>
      <c r="BR21" s="56" t="s">
        <v>114</v>
      </c>
      <c r="BS21" s="56" t="s">
        <v>116</v>
      </c>
      <c r="BT21" s="56" t="s">
        <v>114</v>
      </c>
      <c r="BU21" s="56" t="s">
        <v>116</v>
      </c>
      <c r="BV21" s="56" t="s">
        <v>116</v>
      </c>
      <c r="BW21" s="56" t="s">
        <v>124</v>
      </c>
      <c r="BX21" s="56" t="s">
        <v>124</v>
      </c>
      <c r="BY21" s="56" t="s">
        <v>123</v>
      </c>
      <c r="BZ21" s="56">
        <v>78.5</v>
      </c>
      <c r="CA21" s="56" t="s">
        <v>123</v>
      </c>
      <c r="CB21" s="56">
        <v>221</v>
      </c>
      <c r="CC21" s="56">
        <v>63</v>
      </c>
      <c r="CD21" s="56">
        <v>157</v>
      </c>
      <c r="CE21" s="56" t="s">
        <v>114</v>
      </c>
    </row>
    <row r="22" spans="1:83" ht="36.75" x14ac:dyDescent="0.25">
      <c r="A22" s="12">
        <v>42983</v>
      </c>
      <c r="B22" s="1" t="s">
        <v>16</v>
      </c>
      <c r="C22" s="1" t="s">
        <v>92</v>
      </c>
      <c r="D22">
        <v>3</v>
      </c>
      <c r="E22" s="13">
        <v>-113.8309256</v>
      </c>
      <c r="F22" s="13">
        <v>40.762998699999997</v>
      </c>
      <c r="G22" s="14" t="s">
        <v>98</v>
      </c>
      <c r="H22">
        <v>45</v>
      </c>
      <c r="I22">
        <v>95</v>
      </c>
      <c r="J22" s="14">
        <v>7</v>
      </c>
      <c r="K22" s="14"/>
      <c r="L22" s="1" t="s">
        <v>100</v>
      </c>
      <c r="M22" s="1" t="s">
        <v>37</v>
      </c>
      <c r="N22" s="85" t="s">
        <v>99</v>
      </c>
      <c r="O22" s="94" t="s">
        <v>56</v>
      </c>
      <c r="P22" s="86"/>
      <c r="Q22" s="86"/>
      <c r="R22" s="89" t="s">
        <v>26</v>
      </c>
      <c r="S22" s="89" t="s">
        <v>26</v>
      </c>
      <c r="T22" s="90" t="s">
        <v>225</v>
      </c>
      <c r="U22" s="85" t="s">
        <v>219</v>
      </c>
      <c r="V22" s="85" t="s">
        <v>244</v>
      </c>
      <c r="W22" s="90" t="s">
        <v>253</v>
      </c>
      <c r="X22" s="91" t="s">
        <v>286</v>
      </c>
      <c r="Y22" s="87" t="s">
        <v>309</v>
      </c>
      <c r="Z22" s="112" t="s">
        <v>327</v>
      </c>
      <c r="AA22" s="113" t="s">
        <v>340</v>
      </c>
      <c r="AB22" s="125" t="s">
        <v>351</v>
      </c>
      <c r="AC22" s="70" t="s">
        <v>348</v>
      </c>
      <c r="AD22" s="57" t="s">
        <v>139</v>
      </c>
      <c r="AE22" s="56" t="s">
        <v>121</v>
      </c>
      <c r="AF22" s="56" t="s">
        <v>120</v>
      </c>
      <c r="AG22" s="56" t="s">
        <v>116</v>
      </c>
      <c r="AH22" s="56" t="s">
        <v>115</v>
      </c>
      <c r="AI22" s="56" t="s">
        <v>116</v>
      </c>
      <c r="AJ22" s="56" t="s">
        <v>116</v>
      </c>
      <c r="AK22" s="56" t="s">
        <v>117</v>
      </c>
      <c r="AL22" s="56" t="s">
        <v>117</v>
      </c>
      <c r="AN22" s="56" t="s">
        <v>117</v>
      </c>
      <c r="AO22" s="56" t="s">
        <v>114</v>
      </c>
      <c r="AP22" s="56" t="s">
        <v>114</v>
      </c>
      <c r="AQ22" s="56" t="s">
        <v>120</v>
      </c>
      <c r="AR22" s="56" t="s">
        <v>117</v>
      </c>
      <c r="AS22" s="56">
        <v>0.96</v>
      </c>
      <c r="AT22" s="56" t="s">
        <v>116</v>
      </c>
      <c r="AU22" s="56" t="s">
        <v>116</v>
      </c>
      <c r="AV22" s="56">
        <v>0.74</v>
      </c>
      <c r="AX22" s="56">
        <v>71</v>
      </c>
      <c r="AY22" s="56">
        <v>23.5</v>
      </c>
      <c r="AZ22" s="56" t="s">
        <v>119</v>
      </c>
      <c r="BA22" s="56">
        <v>0.01</v>
      </c>
      <c r="BB22" s="56" t="s">
        <v>114</v>
      </c>
      <c r="BC22" s="56" t="s">
        <v>116</v>
      </c>
      <c r="BD22" s="56">
        <v>0.09</v>
      </c>
      <c r="BE22" s="56" t="s">
        <v>114</v>
      </c>
      <c r="BF22" s="56">
        <v>0.05</v>
      </c>
      <c r="BG22" s="72" t="s">
        <v>286</v>
      </c>
      <c r="BH22" s="56" t="s">
        <v>126</v>
      </c>
      <c r="BI22" s="56">
        <v>592000</v>
      </c>
      <c r="BJ22" s="56">
        <f t="shared" si="0"/>
        <v>59.2</v>
      </c>
      <c r="BK22" s="56" t="s">
        <v>125</v>
      </c>
      <c r="BL22" s="56" t="s">
        <v>117</v>
      </c>
      <c r="BM22" s="56" t="s">
        <v>116</v>
      </c>
      <c r="BN22" s="56" t="s">
        <v>119</v>
      </c>
      <c r="BO22" s="56" t="s">
        <v>118</v>
      </c>
      <c r="BP22" s="56" t="s">
        <v>116</v>
      </c>
      <c r="BQ22" s="56" t="s">
        <v>117</v>
      </c>
      <c r="BR22" s="56" t="s">
        <v>114</v>
      </c>
      <c r="BS22" s="56" t="s">
        <v>116</v>
      </c>
      <c r="BT22" s="56" t="s">
        <v>114</v>
      </c>
      <c r="BU22" s="56" t="s">
        <v>116</v>
      </c>
      <c r="BV22" s="56" t="s">
        <v>116</v>
      </c>
      <c r="BW22" s="56" t="s">
        <v>124</v>
      </c>
      <c r="BX22" s="56" t="s">
        <v>124</v>
      </c>
      <c r="BY22" s="56" t="s">
        <v>123</v>
      </c>
      <c r="BZ22" s="56" t="s">
        <v>124</v>
      </c>
      <c r="CA22" s="56" t="s">
        <v>123</v>
      </c>
      <c r="CB22" s="56">
        <v>120</v>
      </c>
      <c r="CC22" s="56" t="s">
        <v>114</v>
      </c>
      <c r="CD22" s="56">
        <v>120</v>
      </c>
      <c r="CE22" s="56" t="s">
        <v>114</v>
      </c>
    </row>
    <row r="23" spans="1:83" ht="60.75" x14ac:dyDescent="0.25">
      <c r="A23" s="24">
        <v>42983</v>
      </c>
      <c r="B23" s="46" t="s">
        <v>16</v>
      </c>
      <c r="C23" s="46" t="s">
        <v>92</v>
      </c>
      <c r="D23">
        <v>4</v>
      </c>
      <c r="E23" s="26">
        <v>-113.8309256</v>
      </c>
      <c r="F23" s="26">
        <v>40.762998699999997</v>
      </c>
      <c r="G23" s="27" t="s">
        <v>101</v>
      </c>
      <c r="H23">
        <v>95</v>
      </c>
      <c r="I23">
        <v>115</v>
      </c>
      <c r="J23" s="31">
        <v>10.5</v>
      </c>
      <c r="K23" s="27"/>
      <c r="L23" s="46" t="s">
        <v>103</v>
      </c>
      <c r="M23" s="46" t="s">
        <v>43</v>
      </c>
      <c r="N23" s="85" t="s">
        <v>102</v>
      </c>
      <c r="O23" s="92" t="s">
        <v>31</v>
      </c>
      <c r="P23" s="97" t="s">
        <v>38</v>
      </c>
      <c r="Q23" s="86"/>
      <c r="R23" s="95" t="s">
        <v>39</v>
      </c>
      <c r="S23" s="89" t="s">
        <v>26</v>
      </c>
      <c r="T23" s="90" t="s">
        <v>228</v>
      </c>
      <c r="U23" s="85" t="s">
        <v>219</v>
      </c>
      <c r="V23" s="85" t="s">
        <v>242</v>
      </c>
      <c r="W23" s="90" t="s">
        <v>254</v>
      </c>
      <c r="X23" s="91" t="s">
        <v>288</v>
      </c>
      <c r="Y23" s="87" t="s">
        <v>313</v>
      </c>
      <c r="Z23" s="119" t="s">
        <v>329</v>
      </c>
      <c r="AA23" s="120" t="s">
        <v>341</v>
      </c>
      <c r="AB23" s="128" t="s">
        <v>352</v>
      </c>
      <c r="AC23" s="70" t="s">
        <v>348</v>
      </c>
      <c r="AD23" s="57" t="s">
        <v>138</v>
      </c>
      <c r="AE23" s="56" t="s">
        <v>121</v>
      </c>
      <c r="AF23" s="56" t="s">
        <v>120</v>
      </c>
      <c r="AG23" s="56">
        <v>5</v>
      </c>
      <c r="AH23" s="56">
        <v>13</v>
      </c>
      <c r="AI23" s="56">
        <v>2</v>
      </c>
      <c r="AJ23" s="56" t="s">
        <v>116</v>
      </c>
      <c r="AK23" s="56" t="s">
        <v>117</v>
      </c>
      <c r="AL23" s="56">
        <v>3</v>
      </c>
      <c r="AN23" s="56" t="s">
        <v>117</v>
      </c>
      <c r="AO23" s="56" t="s">
        <v>114</v>
      </c>
      <c r="AP23" s="56">
        <v>20</v>
      </c>
      <c r="AQ23" s="56" t="s">
        <v>120</v>
      </c>
      <c r="AR23" s="56" t="s">
        <v>117</v>
      </c>
      <c r="AS23" s="56">
        <v>7.16</v>
      </c>
      <c r="AT23" s="56" t="s">
        <v>116</v>
      </c>
      <c r="AU23" s="56" t="s">
        <v>116</v>
      </c>
      <c r="AV23" s="56">
        <v>6.35</v>
      </c>
      <c r="AX23" s="56">
        <v>593</v>
      </c>
      <c r="AY23" s="56">
        <v>45.8</v>
      </c>
      <c r="AZ23" s="56">
        <v>0.06</v>
      </c>
      <c r="BA23" s="56">
        <v>0.06</v>
      </c>
      <c r="BB23" s="56" t="s">
        <v>114</v>
      </c>
      <c r="BC23" s="56" t="s">
        <v>116</v>
      </c>
      <c r="BD23" s="56">
        <v>0.16</v>
      </c>
      <c r="BE23" s="56" t="s">
        <v>114</v>
      </c>
      <c r="BF23" s="56">
        <v>0.18</v>
      </c>
      <c r="BG23" s="71" t="s">
        <v>288</v>
      </c>
      <c r="BH23" s="56" t="s">
        <v>126</v>
      </c>
      <c r="BI23" s="56">
        <v>361000</v>
      </c>
      <c r="BJ23" s="56">
        <f t="shared" si="0"/>
        <v>36.1</v>
      </c>
      <c r="BK23" s="56">
        <v>3.0000000000000001E-3</v>
      </c>
      <c r="BL23" s="56" t="s">
        <v>117</v>
      </c>
      <c r="BM23" s="56" t="s">
        <v>116</v>
      </c>
      <c r="BN23" s="56" t="s">
        <v>119</v>
      </c>
      <c r="BO23" s="56" t="s">
        <v>118</v>
      </c>
      <c r="BP23" s="56" t="s">
        <v>116</v>
      </c>
      <c r="BQ23" s="56" t="s">
        <v>117</v>
      </c>
      <c r="BR23" s="56" t="s">
        <v>114</v>
      </c>
      <c r="BS23" s="56">
        <v>1</v>
      </c>
      <c r="BT23" s="56" t="s">
        <v>114</v>
      </c>
      <c r="BU23" s="56" t="s">
        <v>116</v>
      </c>
      <c r="BV23" s="56" t="s">
        <v>116</v>
      </c>
      <c r="BW23" s="56" t="s">
        <v>133</v>
      </c>
      <c r="BX23" s="56" t="s">
        <v>133</v>
      </c>
      <c r="BY23" s="56" t="s">
        <v>137</v>
      </c>
      <c r="BZ23" s="56" t="s">
        <v>133</v>
      </c>
      <c r="CA23" s="56" t="s">
        <v>136</v>
      </c>
      <c r="CB23" s="56">
        <v>114</v>
      </c>
      <c r="CC23" s="56" t="s">
        <v>114</v>
      </c>
      <c r="CD23" s="56">
        <v>114</v>
      </c>
      <c r="CE23" s="56" t="s">
        <v>114</v>
      </c>
    </row>
    <row r="24" spans="1:83" ht="60.75" x14ac:dyDescent="0.25">
      <c r="A24" s="34">
        <v>42983</v>
      </c>
      <c r="B24" s="1" t="s">
        <v>16</v>
      </c>
      <c r="C24" s="1" t="s">
        <v>104</v>
      </c>
      <c r="D24">
        <v>1</v>
      </c>
      <c r="E24" s="13">
        <v>-113.797814</v>
      </c>
      <c r="F24" s="13">
        <v>40.82305496</v>
      </c>
      <c r="G24" s="14" t="s">
        <v>105</v>
      </c>
      <c r="H24">
        <v>0</v>
      </c>
      <c r="I24">
        <v>15</v>
      </c>
      <c r="J24" s="14">
        <v>0.75</v>
      </c>
      <c r="K24" s="14"/>
      <c r="L24" s="1" t="s">
        <v>107</v>
      </c>
      <c r="M24" s="1" t="s">
        <v>21</v>
      </c>
      <c r="N24" s="85" t="s">
        <v>106</v>
      </c>
      <c r="O24" s="88" t="s">
        <v>23</v>
      </c>
      <c r="P24" s="86" t="s">
        <v>24</v>
      </c>
      <c r="Q24" s="95" t="s">
        <v>32</v>
      </c>
      <c r="R24" s="89" t="s">
        <v>26</v>
      </c>
      <c r="S24" s="89" t="s">
        <v>26</v>
      </c>
      <c r="T24" s="90" t="s">
        <v>223</v>
      </c>
      <c r="U24" s="85" t="s">
        <v>219</v>
      </c>
      <c r="V24" s="85" t="s">
        <v>245</v>
      </c>
      <c r="W24" s="90" t="s">
        <v>219</v>
      </c>
      <c r="X24" s="84" t="s">
        <v>291</v>
      </c>
      <c r="Y24" s="87" t="s">
        <v>315</v>
      </c>
      <c r="Z24" s="104" t="s">
        <v>319</v>
      </c>
      <c r="AA24" s="105" t="s">
        <v>334</v>
      </c>
      <c r="AB24" s="123" t="s">
        <v>23</v>
      </c>
      <c r="AC24" s="70" t="s">
        <v>348</v>
      </c>
      <c r="AD24" s="57" t="s">
        <v>135</v>
      </c>
      <c r="AE24" s="56" t="s">
        <v>121</v>
      </c>
      <c r="AF24" s="56" t="s">
        <v>120</v>
      </c>
      <c r="AG24" s="56">
        <v>1</v>
      </c>
      <c r="AH24" s="56">
        <v>18</v>
      </c>
      <c r="AI24" s="56" t="s">
        <v>116</v>
      </c>
      <c r="AJ24" s="56" t="s">
        <v>116</v>
      </c>
      <c r="AK24" s="56" t="s">
        <v>117</v>
      </c>
      <c r="AL24" s="56" t="s">
        <v>117</v>
      </c>
      <c r="AN24" s="56" t="s">
        <v>117</v>
      </c>
      <c r="AO24" s="56" t="s">
        <v>114</v>
      </c>
      <c r="AP24" s="56" t="s">
        <v>114</v>
      </c>
      <c r="AQ24" s="56" t="s">
        <v>120</v>
      </c>
      <c r="AR24" s="56" t="s">
        <v>117</v>
      </c>
      <c r="AS24" s="56">
        <v>3.54</v>
      </c>
      <c r="AT24" s="56" t="s">
        <v>116</v>
      </c>
      <c r="AU24" s="56" t="s">
        <v>116</v>
      </c>
      <c r="AV24" s="56">
        <v>2.79</v>
      </c>
      <c r="AX24" s="56">
        <v>167</v>
      </c>
      <c r="AY24" s="56">
        <v>42.2</v>
      </c>
      <c r="AZ24" s="56">
        <v>0.02</v>
      </c>
      <c r="BA24" s="56">
        <v>0.03</v>
      </c>
      <c r="BB24" s="56" t="s">
        <v>114</v>
      </c>
      <c r="BC24" s="56" t="s">
        <v>116</v>
      </c>
      <c r="BD24" s="56">
        <v>0.21</v>
      </c>
      <c r="BE24" s="56" t="s">
        <v>114</v>
      </c>
      <c r="BF24" s="56">
        <v>0.15</v>
      </c>
      <c r="BG24" s="73" t="s">
        <v>291</v>
      </c>
      <c r="BH24" s="56" t="s">
        <v>126</v>
      </c>
      <c r="BI24" s="56">
        <v>435000</v>
      </c>
      <c r="BJ24" s="56">
        <f t="shared" si="0"/>
        <v>43.5</v>
      </c>
      <c r="BK24" s="56">
        <v>1E-3</v>
      </c>
      <c r="BL24" s="56" t="s">
        <v>117</v>
      </c>
      <c r="BM24" s="56" t="s">
        <v>116</v>
      </c>
      <c r="BN24" s="56" t="s">
        <v>119</v>
      </c>
      <c r="BO24" s="56" t="s">
        <v>118</v>
      </c>
      <c r="BP24" s="56" t="s">
        <v>116</v>
      </c>
      <c r="BQ24" s="56" t="s">
        <v>117</v>
      </c>
      <c r="BR24" s="56" t="s">
        <v>114</v>
      </c>
      <c r="BS24" s="56" t="s">
        <v>116</v>
      </c>
      <c r="BT24" s="56" t="s">
        <v>114</v>
      </c>
      <c r="BU24" s="56" t="s">
        <v>116</v>
      </c>
      <c r="BV24" s="56" t="s">
        <v>116</v>
      </c>
      <c r="BW24" s="56" t="s">
        <v>124</v>
      </c>
      <c r="BX24" s="56" t="s">
        <v>124</v>
      </c>
      <c r="BY24" s="56" t="s">
        <v>123</v>
      </c>
      <c r="BZ24" s="56">
        <v>52.5</v>
      </c>
      <c r="CA24" s="56" t="s">
        <v>123</v>
      </c>
      <c r="CB24" s="56">
        <v>246</v>
      </c>
      <c r="CC24" s="56">
        <v>64</v>
      </c>
      <c r="CD24" s="56">
        <v>180</v>
      </c>
      <c r="CE24" s="56" t="s">
        <v>114</v>
      </c>
    </row>
    <row r="25" spans="1:83" ht="24.75" x14ac:dyDescent="0.25">
      <c r="A25" s="34">
        <v>42983</v>
      </c>
      <c r="B25" s="1" t="s">
        <v>16</v>
      </c>
      <c r="C25" s="1" t="s">
        <v>104</v>
      </c>
      <c r="D25">
        <v>2</v>
      </c>
      <c r="E25" s="13">
        <v>-113.797814</v>
      </c>
      <c r="F25" s="13">
        <v>40.82305496</v>
      </c>
      <c r="G25" s="14" t="s">
        <v>108</v>
      </c>
      <c r="H25">
        <v>15</v>
      </c>
      <c r="I25">
        <v>80</v>
      </c>
      <c r="J25" s="14">
        <v>4.75</v>
      </c>
      <c r="K25" s="14"/>
      <c r="L25" s="1" t="s">
        <v>110</v>
      </c>
      <c r="M25" s="1" t="s">
        <v>30</v>
      </c>
      <c r="N25" s="85" t="s">
        <v>109</v>
      </c>
      <c r="O25" s="92" t="s">
        <v>31</v>
      </c>
      <c r="P25" s="95" t="s">
        <v>32</v>
      </c>
      <c r="Q25" s="96" t="s">
        <v>33</v>
      </c>
      <c r="R25" s="89" t="s">
        <v>26</v>
      </c>
      <c r="S25" s="89" t="s">
        <v>26</v>
      </c>
      <c r="T25" s="90" t="s">
        <v>227</v>
      </c>
      <c r="U25" s="85" t="s">
        <v>219</v>
      </c>
      <c r="V25" s="85" t="s">
        <v>246</v>
      </c>
      <c r="W25" s="90" t="s">
        <v>219</v>
      </c>
      <c r="X25" s="91" t="s">
        <v>288</v>
      </c>
      <c r="Y25" s="87" t="s">
        <v>314</v>
      </c>
      <c r="Z25" s="106" t="s">
        <v>320</v>
      </c>
      <c r="AA25" s="107" t="s">
        <v>332</v>
      </c>
      <c r="AB25" s="124" t="s">
        <v>353</v>
      </c>
      <c r="AC25" s="70" t="s">
        <v>348</v>
      </c>
      <c r="AD25" s="57" t="s">
        <v>134</v>
      </c>
      <c r="AE25" s="56" t="s">
        <v>121</v>
      </c>
      <c r="AF25" s="56" t="s">
        <v>120</v>
      </c>
      <c r="AG25" s="56" t="s">
        <v>116</v>
      </c>
      <c r="AH25" s="56">
        <v>16</v>
      </c>
      <c r="AI25" s="56" t="s">
        <v>116</v>
      </c>
      <c r="AJ25" s="56" t="s">
        <v>116</v>
      </c>
      <c r="AK25" s="56" t="s">
        <v>117</v>
      </c>
      <c r="AL25" s="56">
        <v>2</v>
      </c>
      <c r="AN25" s="56" t="s">
        <v>117</v>
      </c>
      <c r="AO25" s="56" t="s">
        <v>114</v>
      </c>
      <c r="AP25" s="56">
        <v>20</v>
      </c>
      <c r="AQ25" s="56" t="s">
        <v>120</v>
      </c>
      <c r="AR25" s="56" t="s">
        <v>117</v>
      </c>
      <c r="AS25" s="56">
        <v>8.58</v>
      </c>
      <c r="AT25" s="56" t="s">
        <v>116</v>
      </c>
      <c r="AU25" s="56" t="s">
        <v>116</v>
      </c>
      <c r="AV25" s="56">
        <v>7.68</v>
      </c>
      <c r="AX25" s="56">
        <v>526</v>
      </c>
      <c r="AY25" s="56">
        <v>32.299999999999997</v>
      </c>
      <c r="AZ25" s="56">
        <v>7.0000000000000007E-2</v>
      </c>
      <c r="BA25" s="56">
        <v>0.06</v>
      </c>
      <c r="BB25" s="56" t="s">
        <v>114</v>
      </c>
      <c r="BC25" s="56" t="s">
        <v>116</v>
      </c>
      <c r="BD25" s="56">
        <v>0.13</v>
      </c>
      <c r="BE25" s="56" t="s">
        <v>114</v>
      </c>
      <c r="BF25" s="56">
        <v>0.17</v>
      </c>
      <c r="BG25" s="71" t="s">
        <v>288</v>
      </c>
      <c r="BH25" s="56">
        <v>7.16</v>
      </c>
      <c r="BI25" s="56">
        <v>145000</v>
      </c>
      <c r="BJ25" s="56">
        <f t="shared" si="0"/>
        <v>14.5</v>
      </c>
      <c r="BK25" s="56">
        <v>3.0000000000000001E-3</v>
      </c>
      <c r="BL25" s="56" t="s">
        <v>117</v>
      </c>
      <c r="BM25" s="56" t="s">
        <v>116</v>
      </c>
      <c r="BN25" s="56" t="s">
        <v>119</v>
      </c>
      <c r="BO25" s="56" t="s">
        <v>118</v>
      </c>
      <c r="BP25" s="56" t="s">
        <v>116</v>
      </c>
      <c r="BQ25" s="56" t="s">
        <v>117</v>
      </c>
      <c r="BR25" s="56" t="s">
        <v>114</v>
      </c>
      <c r="BS25" s="56">
        <v>2</v>
      </c>
      <c r="BT25" s="56" t="s">
        <v>114</v>
      </c>
      <c r="BU25" s="56" t="s">
        <v>116</v>
      </c>
      <c r="BV25" s="56" t="s">
        <v>116</v>
      </c>
      <c r="BW25" s="56" t="s">
        <v>114</v>
      </c>
      <c r="BX25" s="56" t="s">
        <v>114</v>
      </c>
      <c r="BY25" s="56" t="s">
        <v>133</v>
      </c>
      <c r="BZ25" s="56">
        <v>11.7</v>
      </c>
      <c r="CA25" s="56" t="s">
        <v>118</v>
      </c>
      <c r="CB25" s="56">
        <v>130</v>
      </c>
      <c r="CC25" s="56" t="s">
        <v>114</v>
      </c>
      <c r="CD25" s="56">
        <v>130</v>
      </c>
      <c r="CE25" s="56" t="s">
        <v>114</v>
      </c>
    </row>
    <row r="26" spans="1:83" s="67" customFormat="1" ht="48.75" x14ac:dyDescent="0.25">
      <c r="A26" s="61">
        <v>42983</v>
      </c>
      <c r="B26" s="62" t="s">
        <v>16</v>
      </c>
      <c r="C26" s="62" t="s">
        <v>104</v>
      </c>
      <c r="D26">
        <v>3</v>
      </c>
      <c r="E26" s="63">
        <v>-113.797814</v>
      </c>
      <c r="F26" s="63">
        <v>40.82305496</v>
      </c>
      <c r="G26" s="64" t="s">
        <v>111</v>
      </c>
      <c r="H26">
        <v>80</v>
      </c>
      <c r="I26"/>
      <c r="J26" s="64">
        <v>8</v>
      </c>
      <c r="K26" s="64"/>
      <c r="L26" s="62" t="s">
        <v>113</v>
      </c>
      <c r="M26" s="62" t="s">
        <v>37</v>
      </c>
      <c r="N26" s="85" t="s">
        <v>112</v>
      </c>
      <c r="O26" s="94" t="s">
        <v>56</v>
      </c>
      <c r="P26" s="86"/>
      <c r="Q26" s="86"/>
      <c r="R26" s="89" t="s">
        <v>26</v>
      </c>
      <c r="S26" s="89" t="s">
        <v>26</v>
      </c>
      <c r="T26" s="90" t="s">
        <v>229</v>
      </c>
      <c r="U26" s="85" t="s">
        <v>219</v>
      </c>
      <c r="V26" s="85" t="s">
        <v>247</v>
      </c>
      <c r="W26" s="90" t="s">
        <v>219</v>
      </c>
      <c r="X26" s="101" t="s">
        <v>288</v>
      </c>
      <c r="Y26" s="87" t="s">
        <v>313</v>
      </c>
      <c r="Z26" s="129" t="s">
        <v>342</v>
      </c>
      <c r="AA26" s="130" t="s">
        <v>343</v>
      </c>
      <c r="AB26" s="131" t="s">
        <v>354</v>
      </c>
      <c r="AC26" t="s">
        <v>350</v>
      </c>
      <c r="AD26" s="65" t="s">
        <v>132</v>
      </c>
      <c r="AE26" s="66" t="s">
        <v>121</v>
      </c>
      <c r="AF26" s="66" t="s">
        <v>120</v>
      </c>
      <c r="AG26" s="66" t="s">
        <v>116</v>
      </c>
      <c r="AH26" s="66">
        <v>7</v>
      </c>
      <c r="AI26" s="66" t="s">
        <v>116</v>
      </c>
      <c r="AJ26" s="66" t="s">
        <v>116</v>
      </c>
      <c r="AK26" s="66" t="s">
        <v>117</v>
      </c>
      <c r="AL26" s="66">
        <v>5</v>
      </c>
      <c r="AN26" s="66" t="s">
        <v>117</v>
      </c>
      <c r="AO26" s="66" t="s">
        <v>114</v>
      </c>
      <c r="AP26" s="66">
        <v>12</v>
      </c>
      <c r="AQ26" s="66" t="s">
        <v>120</v>
      </c>
      <c r="AR26" s="66" t="s">
        <v>117</v>
      </c>
      <c r="AS26" s="66">
        <v>6.45</v>
      </c>
      <c r="AT26" s="66" t="s">
        <v>116</v>
      </c>
      <c r="AU26" s="66" t="s">
        <v>116</v>
      </c>
      <c r="AV26" s="66">
        <v>5.64</v>
      </c>
      <c r="AX26" s="66">
        <v>260</v>
      </c>
      <c r="AY26" s="66">
        <v>46.8</v>
      </c>
      <c r="AZ26" s="66">
        <v>0.03</v>
      </c>
      <c r="BA26" s="66">
        <v>0.03</v>
      </c>
      <c r="BB26" s="66" t="s">
        <v>114</v>
      </c>
      <c r="BC26" s="66" t="s">
        <v>116</v>
      </c>
      <c r="BD26" s="66">
        <v>7.0000000000000007E-2</v>
      </c>
      <c r="BE26" s="66" t="s">
        <v>114</v>
      </c>
      <c r="BF26" s="66">
        <v>7.0000000000000007E-2</v>
      </c>
      <c r="BG26" s="74" t="s">
        <v>288</v>
      </c>
      <c r="BH26" s="66" t="s">
        <v>126</v>
      </c>
      <c r="BI26" s="66">
        <v>402000</v>
      </c>
      <c r="BJ26" s="56">
        <f t="shared" si="0"/>
        <v>40.200000000000003</v>
      </c>
      <c r="BK26" s="66">
        <v>2E-3</v>
      </c>
      <c r="BL26" s="66" t="s">
        <v>117</v>
      </c>
      <c r="BM26" s="66" t="s">
        <v>116</v>
      </c>
      <c r="BN26" s="66" t="s">
        <v>119</v>
      </c>
      <c r="BO26" s="66" t="s">
        <v>118</v>
      </c>
      <c r="BP26" s="66" t="s">
        <v>116</v>
      </c>
      <c r="BQ26" s="66" t="s">
        <v>117</v>
      </c>
      <c r="BR26" s="66" t="s">
        <v>114</v>
      </c>
      <c r="BS26" s="66" t="s">
        <v>116</v>
      </c>
      <c r="BT26" s="66" t="s">
        <v>114</v>
      </c>
      <c r="BU26" s="66" t="s">
        <v>116</v>
      </c>
      <c r="BV26" s="66" t="s">
        <v>116</v>
      </c>
      <c r="BW26" s="66" t="s">
        <v>131</v>
      </c>
      <c r="BX26" s="66" t="s">
        <v>131</v>
      </c>
      <c r="BY26" s="66" t="s">
        <v>123</v>
      </c>
      <c r="BZ26" s="66" t="s">
        <v>131</v>
      </c>
      <c r="CA26" s="66" t="s">
        <v>130</v>
      </c>
      <c r="CB26" s="66">
        <v>122</v>
      </c>
      <c r="CC26" s="66" t="s">
        <v>114</v>
      </c>
      <c r="CD26" s="66">
        <v>122</v>
      </c>
      <c r="CE26" s="66" t="s">
        <v>114</v>
      </c>
    </row>
    <row r="27" spans="1:83" ht="24.75" x14ac:dyDescent="0.25">
      <c r="A27" s="34">
        <v>42983</v>
      </c>
      <c r="B27" s="1" t="s">
        <v>16</v>
      </c>
      <c r="C27" s="1" t="s">
        <v>85</v>
      </c>
      <c r="D27">
        <v>1</v>
      </c>
      <c r="E27" s="13">
        <v>-113.901557</v>
      </c>
      <c r="F27" s="13">
        <v>40.759349839999999</v>
      </c>
      <c r="G27" s="14" t="s">
        <v>86</v>
      </c>
      <c r="H27">
        <v>0</v>
      </c>
      <c r="I27">
        <v>10</v>
      </c>
      <c r="J27" s="14">
        <v>0.5</v>
      </c>
      <c r="K27" s="14"/>
      <c r="L27" s="1" t="s">
        <v>88</v>
      </c>
      <c r="M27" s="1" t="s">
        <v>21</v>
      </c>
      <c r="N27" s="85" t="s">
        <v>87</v>
      </c>
      <c r="O27" s="88" t="s">
        <v>23</v>
      </c>
      <c r="P27" s="86"/>
      <c r="Q27" s="86"/>
      <c r="R27" s="89" t="s">
        <v>26</v>
      </c>
      <c r="S27" s="89" t="s">
        <v>26</v>
      </c>
      <c r="T27" s="90" t="s">
        <v>223</v>
      </c>
      <c r="U27" s="85" t="s">
        <v>219</v>
      </c>
      <c r="V27" s="85" t="s">
        <v>248</v>
      </c>
      <c r="W27" s="90" t="s">
        <v>26</v>
      </c>
      <c r="X27" s="84" t="s">
        <v>292</v>
      </c>
      <c r="Y27" s="87" t="s">
        <v>309</v>
      </c>
      <c r="Z27" s="102" t="s">
        <v>317</v>
      </c>
      <c r="AA27" s="103" t="s">
        <v>331</v>
      </c>
      <c r="AB27" s="123" t="s">
        <v>23</v>
      </c>
      <c r="AC27" s="70" t="s">
        <v>348</v>
      </c>
      <c r="AD27" s="57" t="s">
        <v>129</v>
      </c>
      <c r="AE27" s="56" t="s">
        <v>121</v>
      </c>
      <c r="AF27" s="56" t="s">
        <v>120</v>
      </c>
      <c r="AG27" s="56" t="s">
        <v>116</v>
      </c>
      <c r="AH27" s="56">
        <v>17</v>
      </c>
      <c r="AI27" s="56" t="s">
        <v>116</v>
      </c>
      <c r="AJ27" s="56" t="s">
        <v>116</v>
      </c>
      <c r="AK27" s="56" t="s">
        <v>117</v>
      </c>
      <c r="AL27" s="56">
        <v>351</v>
      </c>
      <c r="AN27" s="56" t="s">
        <v>117</v>
      </c>
      <c r="AO27" s="56" t="s">
        <v>114</v>
      </c>
      <c r="AP27" s="56" t="s">
        <v>114</v>
      </c>
      <c r="AQ27" s="56" t="s">
        <v>120</v>
      </c>
      <c r="AR27" s="56" t="s">
        <v>117</v>
      </c>
      <c r="AS27" s="56">
        <v>1.31</v>
      </c>
      <c r="AT27" s="56" t="s">
        <v>116</v>
      </c>
      <c r="AU27" s="56" t="s">
        <v>116</v>
      </c>
      <c r="AV27" s="56">
        <v>0.8</v>
      </c>
      <c r="AX27" s="56">
        <v>83</v>
      </c>
      <c r="AY27" s="56">
        <v>27.5</v>
      </c>
      <c r="AZ27" s="56">
        <v>0.03</v>
      </c>
      <c r="BA27" s="56">
        <v>0.03</v>
      </c>
      <c r="BB27" s="56" t="s">
        <v>114</v>
      </c>
      <c r="BC27" s="56" t="s">
        <v>116</v>
      </c>
      <c r="BD27" s="56">
        <v>0.11</v>
      </c>
      <c r="BE27" s="56" t="s">
        <v>114</v>
      </c>
      <c r="BF27" s="56">
        <v>0.08</v>
      </c>
      <c r="BG27" s="73" t="s">
        <v>292</v>
      </c>
      <c r="BH27" s="56" t="s">
        <v>126</v>
      </c>
      <c r="BI27" s="56">
        <v>586000</v>
      </c>
      <c r="BJ27" s="56">
        <f t="shared" si="0"/>
        <v>58.6</v>
      </c>
      <c r="BK27" s="56" t="s">
        <v>125</v>
      </c>
      <c r="BL27" s="56" t="s">
        <v>117</v>
      </c>
      <c r="BM27" s="56" t="s">
        <v>116</v>
      </c>
      <c r="BN27" s="56" t="s">
        <v>119</v>
      </c>
      <c r="BO27" s="56" t="s">
        <v>118</v>
      </c>
      <c r="BP27" s="56" t="s">
        <v>116</v>
      </c>
      <c r="BQ27" s="56" t="s">
        <v>117</v>
      </c>
      <c r="BR27" s="56" t="s">
        <v>114</v>
      </c>
      <c r="BS27" s="56" t="s">
        <v>116</v>
      </c>
      <c r="BT27" s="56" t="s">
        <v>114</v>
      </c>
      <c r="BU27" s="56" t="s">
        <v>116</v>
      </c>
      <c r="BV27" s="56" t="s">
        <v>116</v>
      </c>
      <c r="BW27" s="56" t="s">
        <v>124</v>
      </c>
      <c r="BX27" s="56" t="s">
        <v>124</v>
      </c>
      <c r="BY27" s="56" t="s">
        <v>123</v>
      </c>
      <c r="BZ27" s="56" t="s">
        <v>124</v>
      </c>
      <c r="CA27" s="56" t="s">
        <v>123</v>
      </c>
      <c r="CB27" s="56">
        <v>154</v>
      </c>
      <c r="CC27" s="56" t="s">
        <v>114</v>
      </c>
      <c r="CD27" s="56">
        <v>154</v>
      </c>
      <c r="CE27" s="56" t="s">
        <v>114</v>
      </c>
    </row>
    <row r="28" spans="1:83" ht="72.75" x14ac:dyDescent="0.25">
      <c r="A28" s="34">
        <v>42983</v>
      </c>
      <c r="B28" s="1" t="s">
        <v>16</v>
      </c>
      <c r="C28" s="1" t="s">
        <v>85</v>
      </c>
      <c r="D28">
        <v>2</v>
      </c>
      <c r="E28" s="13">
        <v>-113.901557</v>
      </c>
      <c r="F28" s="13">
        <v>40.759349839999999</v>
      </c>
      <c r="G28" s="14" t="s">
        <v>89</v>
      </c>
      <c r="H28">
        <v>10</v>
      </c>
      <c r="I28" t="s">
        <v>407</v>
      </c>
      <c r="J28" s="14">
        <v>4</v>
      </c>
      <c r="K28" s="14"/>
      <c r="L28" s="1" t="s">
        <v>91</v>
      </c>
      <c r="M28" s="1" t="s">
        <v>30</v>
      </c>
      <c r="N28" s="85" t="s">
        <v>90</v>
      </c>
      <c r="O28" s="92" t="s">
        <v>31</v>
      </c>
      <c r="P28" s="95" t="s">
        <v>32</v>
      </c>
      <c r="Q28" s="97" t="s">
        <v>38</v>
      </c>
      <c r="R28" s="89" t="s">
        <v>26</v>
      </c>
      <c r="S28" s="89" t="s">
        <v>26</v>
      </c>
      <c r="T28" s="90" t="s">
        <v>227</v>
      </c>
      <c r="U28" s="85" t="s">
        <v>219</v>
      </c>
      <c r="V28" s="85" t="s">
        <v>44</v>
      </c>
      <c r="W28" s="90" t="s">
        <v>26</v>
      </c>
      <c r="X28" s="91" t="s">
        <v>298</v>
      </c>
      <c r="Y28" s="87" t="s">
        <v>311</v>
      </c>
      <c r="Z28" s="110" t="s">
        <v>324</v>
      </c>
      <c r="AA28" s="111" t="s">
        <v>344</v>
      </c>
      <c r="AB28" s="124" t="s">
        <v>353</v>
      </c>
      <c r="AD28" s="57" t="s">
        <v>128</v>
      </c>
      <c r="AE28" s="56" t="s">
        <v>121</v>
      </c>
      <c r="AF28" s="56" t="s">
        <v>120</v>
      </c>
      <c r="AG28" s="56">
        <v>6</v>
      </c>
      <c r="AH28" s="56">
        <v>79</v>
      </c>
      <c r="AI28" s="56">
        <v>4</v>
      </c>
      <c r="AJ28" s="56">
        <v>2</v>
      </c>
      <c r="AK28" s="56">
        <v>9</v>
      </c>
      <c r="AL28" s="56">
        <v>11</v>
      </c>
      <c r="AN28" s="56">
        <v>5</v>
      </c>
      <c r="AO28" s="56">
        <v>23</v>
      </c>
      <c r="AP28" s="56">
        <v>51</v>
      </c>
      <c r="AQ28" s="56" t="s">
        <v>120</v>
      </c>
      <c r="AR28" s="56" t="s">
        <v>117</v>
      </c>
      <c r="AS28" s="56" t="s">
        <v>126</v>
      </c>
      <c r="AT28" s="56" t="s">
        <v>116</v>
      </c>
      <c r="AU28" s="56">
        <v>3</v>
      </c>
      <c r="AV28" s="56">
        <v>4.28</v>
      </c>
      <c r="AX28" s="56">
        <v>928</v>
      </c>
      <c r="AY28" s="56">
        <v>22.6</v>
      </c>
      <c r="AZ28" s="56">
        <v>0.36</v>
      </c>
      <c r="BA28" s="56">
        <v>0.32</v>
      </c>
      <c r="BB28" s="56" t="s">
        <v>114</v>
      </c>
      <c r="BC28" s="56" t="s">
        <v>116</v>
      </c>
      <c r="BD28" s="56">
        <v>0.28000000000000003</v>
      </c>
      <c r="BE28" s="56" t="s">
        <v>114</v>
      </c>
      <c r="BF28" s="56">
        <v>0.98</v>
      </c>
      <c r="BG28" s="72" t="s">
        <v>298</v>
      </c>
      <c r="BH28" s="56">
        <v>2.29</v>
      </c>
      <c r="BI28" s="56">
        <v>40000</v>
      </c>
      <c r="BJ28" s="56">
        <f t="shared" si="0"/>
        <v>4</v>
      </c>
      <c r="BK28" s="69">
        <v>1.6E-2</v>
      </c>
      <c r="BL28" s="56" t="s">
        <v>117</v>
      </c>
      <c r="BM28" s="56" t="s">
        <v>116</v>
      </c>
      <c r="BN28" s="56">
        <v>0.01</v>
      </c>
      <c r="BO28" s="56" t="s">
        <v>118</v>
      </c>
      <c r="BP28" s="56" t="s">
        <v>116</v>
      </c>
      <c r="BQ28" s="56" t="s">
        <v>117</v>
      </c>
      <c r="BR28" s="56" t="s">
        <v>114</v>
      </c>
      <c r="BS28" s="69">
        <v>7</v>
      </c>
      <c r="BT28" s="56" t="s">
        <v>114</v>
      </c>
      <c r="BU28" s="56">
        <v>2</v>
      </c>
      <c r="BV28" s="56">
        <v>4</v>
      </c>
      <c r="BW28" s="56" t="s">
        <v>115</v>
      </c>
      <c r="BX28" s="56" t="s">
        <v>115</v>
      </c>
      <c r="BY28" s="56" t="s">
        <v>114</v>
      </c>
      <c r="BZ28" s="56" t="s">
        <v>115</v>
      </c>
      <c r="CA28" s="56" t="s">
        <v>114</v>
      </c>
      <c r="CB28" s="56">
        <v>151</v>
      </c>
      <c r="CC28" s="56" t="s">
        <v>114</v>
      </c>
      <c r="CD28" s="56">
        <v>151</v>
      </c>
      <c r="CE28" s="56" t="s">
        <v>114</v>
      </c>
    </row>
    <row r="29" spans="1:83" ht="24.75" x14ac:dyDescent="0.25">
      <c r="A29" s="2">
        <v>42983</v>
      </c>
      <c r="B29" s="3" t="s">
        <v>16</v>
      </c>
      <c r="C29" s="3" t="s">
        <v>78</v>
      </c>
      <c r="D29">
        <v>1</v>
      </c>
      <c r="E29" s="4">
        <v>-113.8709456</v>
      </c>
      <c r="F29" s="4">
        <v>40.77659723</v>
      </c>
      <c r="G29" s="5" t="s">
        <v>79</v>
      </c>
      <c r="H29">
        <v>0</v>
      </c>
      <c r="I29">
        <v>25</v>
      </c>
      <c r="J29" s="60">
        <v>1.25</v>
      </c>
      <c r="K29" s="5"/>
      <c r="L29" s="3" t="s">
        <v>81</v>
      </c>
      <c r="M29" s="3" t="s">
        <v>21</v>
      </c>
      <c r="N29" s="85" t="s">
        <v>80</v>
      </c>
      <c r="O29" s="88" t="s">
        <v>23</v>
      </c>
      <c r="P29" s="86" t="s">
        <v>24</v>
      </c>
      <c r="Q29" s="86"/>
      <c r="R29" s="89" t="s">
        <v>26</v>
      </c>
      <c r="S29" s="89" t="s">
        <v>26</v>
      </c>
      <c r="T29" s="90" t="s">
        <v>223</v>
      </c>
      <c r="U29" s="85" t="s">
        <v>219</v>
      </c>
      <c r="V29" s="85" t="s">
        <v>249</v>
      </c>
      <c r="W29" s="90" t="s">
        <v>26</v>
      </c>
      <c r="X29" s="91" t="s">
        <v>293</v>
      </c>
      <c r="Y29" s="87" t="s">
        <v>309</v>
      </c>
      <c r="Z29" s="102" t="s">
        <v>317</v>
      </c>
      <c r="AA29" s="103" t="s">
        <v>331</v>
      </c>
      <c r="AB29" s="123" t="s">
        <v>23</v>
      </c>
      <c r="AD29" s="57" t="s">
        <v>127</v>
      </c>
      <c r="AE29" s="56" t="s">
        <v>121</v>
      </c>
      <c r="AF29" s="56" t="s">
        <v>120</v>
      </c>
      <c r="AG29" s="56" t="s">
        <v>116</v>
      </c>
      <c r="AH29" s="56" t="s">
        <v>115</v>
      </c>
      <c r="AI29" s="56" t="s">
        <v>116</v>
      </c>
      <c r="AJ29" s="56" t="s">
        <v>116</v>
      </c>
      <c r="AK29" s="56" t="s">
        <v>117</v>
      </c>
      <c r="AL29" s="56" t="s">
        <v>117</v>
      </c>
      <c r="AN29" s="56" t="s">
        <v>117</v>
      </c>
      <c r="AO29" s="56" t="s">
        <v>114</v>
      </c>
      <c r="AP29" s="56" t="s">
        <v>114</v>
      </c>
      <c r="AQ29" s="56" t="s">
        <v>120</v>
      </c>
      <c r="AR29" s="56" t="s">
        <v>117</v>
      </c>
      <c r="AS29" s="56">
        <v>1.31</v>
      </c>
      <c r="AT29" s="56" t="s">
        <v>116</v>
      </c>
      <c r="AU29" s="56" t="s">
        <v>116</v>
      </c>
      <c r="AV29" s="56">
        <v>0.86</v>
      </c>
      <c r="AX29" s="56">
        <v>85</v>
      </c>
      <c r="AY29" s="56">
        <v>27.8</v>
      </c>
      <c r="AZ29" s="56" t="s">
        <v>119</v>
      </c>
      <c r="BA29" s="56">
        <v>0.02</v>
      </c>
      <c r="BB29" s="56" t="s">
        <v>114</v>
      </c>
      <c r="BC29" s="56" t="s">
        <v>116</v>
      </c>
      <c r="BD29" s="56">
        <v>0.16</v>
      </c>
      <c r="BE29" s="56" t="s">
        <v>114</v>
      </c>
      <c r="BF29" s="56">
        <v>0.1</v>
      </c>
      <c r="BG29" s="72" t="s">
        <v>293</v>
      </c>
      <c r="BH29" s="56" t="s">
        <v>126</v>
      </c>
      <c r="BI29" s="56">
        <v>566000</v>
      </c>
      <c r="BJ29" s="56">
        <f t="shared" si="0"/>
        <v>56.6</v>
      </c>
      <c r="BK29" s="56" t="s">
        <v>125</v>
      </c>
      <c r="BL29" s="56" t="s">
        <v>117</v>
      </c>
      <c r="BM29" s="56" t="s">
        <v>116</v>
      </c>
      <c r="BN29" s="56" t="s">
        <v>119</v>
      </c>
      <c r="BO29" s="56" t="s">
        <v>118</v>
      </c>
      <c r="BP29" s="56" t="s">
        <v>116</v>
      </c>
      <c r="BQ29" s="56" t="s">
        <v>117</v>
      </c>
      <c r="BR29" s="56" t="s">
        <v>114</v>
      </c>
      <c r="BS29" s="56" t="s">
        <v>116</v>
      </c>
      <c r="BT29" s="56" t="s">
        <v>114</v>
      </c>
      <c r="BU29" s="56" t="s">
        <v>116</v>
      </c>
      <c r="BV29" s="56" t="s">
        <v>116</v>
      </c>
      <c r="BW29" s="56" t="s">
        <v>124</v>
      </c>
      <c r="BX29" s="56" t="s">
        <v>124</v>
      </c>
      <c r="BY29" s="56" t="s">
        <v>123</v>
      </c>
      <c r="BZ29" s="56" t="s">
        <v>124</v>
      </c>
      <c r="CA29" s="56" t="s">
        <v>123</v>
      </c>
      <c r="CB29" s="56">
        <v>203</v>
      </c>
      <c r="CC29" s="56" t="s">
        <v>114</v>
      </c>
      <c r="CD29" s="56">
        <v>203</v>
      </c>
      <c r="CE29" s="56" t="s">
        <v>114</v>
      </c>
    </row>
    <row r="30" spans="1:83" ht="60.75" x14ac:dyDescent="0.25">
      <c r="A30" s="24">
        <v>42983</v>
      </c>
      <c r="B30" s="46" t="s">
        <v>16</v>
      </c>
      <c r="C30" s="46" t="s">
        <v>78</v>
      </c>
      <c r="D30">
        <v>2</v>
      </c>
      <c r="E30" s="26">
        <v>-113.8709456</v>
      </c>
      <c r="F30" s="26">
        <v>40.77659723</v>
      </c>
      <c r="G30" s="27" t="s">
        <v>82</v>
      </c>
      <c r="H30">
        <v>25</v>
      </c>
      <c r="I30">
        <v>90</v>
      </c>
      <c r="J30" s="31">
        <v>5.75</v>
      </c>
      <c r="K30" s="27"/>
      <c r="L30" s="46" t="s">
        <v>84</v>
      </c>
      <c r="M30" s="46" t="s">
        <v>30</v>
      </c>
      <c r="N30" s="85" t="s">
        <v>83</v>
      </c>
      <c r="O30" s="92" t="s">
        <v>31</v>
      </c>
      <c r="P30" s="93" t="s">
        <v>52</v>
      </c>
      <c r="Q30" s="95" t="s">
        <v>32</v>
      </c>
      <c r="R30" s="95" t="s">
        <v>39</v>
      </c>
      <c r="S30" s="89" t="s">
        <v>26</v>
      </c>
      <c r="T30" s="90" t="s">
        <v>233</v>
      </c>
      <c r="U30" s="85" t="s">
        <v>219</v>
      </c>
      <c r="V30" s="85" t="s">
        <v>250</v>
      </c>
      <c r="W30" s="90" t="s">
        <v>26</v>
      </c>
      <c r="X30" s="84" t="s">
        <v>299</v>
      </c>
      <c r="Y30" s="87" t="s">
        <v>312</v>
      </c>
      <c r="Z30" s="110" t="s">
        <v>324</v>
      </c>
      <c r="AA30" s="111" t="s">
        <v>344</v>
      </c>
      <c r="AB30" s="124" t="s">
        <v>353</v>
      </c>
      <c r="AC30" s="70" t="s">
        <v>348</v>
      </c>
      <c r="AD30" s="57" t="s">
        <v>122</v>
      </c>
      <c r="AE30" s="56" t="s">
        <v>121</v>
      </c>
      <c r="AF30" s="56" t="s">
        <v>120</v>
      </c>
      <c r="AG30" s="56">
        <v>1</v>
      </c>
      <c r="AH30" s="56">
        <v>20</v>
      </c>
      <c r="AI30" s="56" t="s">
        <v>116</v>
      </c>
      <c r="AJ30" s="56" t="s">
        <v>116</v>
      </c>
      <c r="AK30" s="56" t="s">
        <v>117</v>
      </c>
      <c r="AL30" s="56">
        <v>3</v>
      </c>
      <c r="AN30" s="56">
        <v>2</v>
      </c>
      <c r="AO30" s="56" t="s">
        <v>114</v>
      </c>
      <c r="AP30" s="56">
        <v>25</v>
      </c>
      <c r="AQ30" s="56" t="s">
        <v>120</v>
      </c>
      <c r="AR30" s="56" t="s">
        <v>117</v>
      </c>
      <c r="AS30" s="56">
        <v>7.74</v>
      </c>
      <c r="AT30" s="56" t="s">
        <v>116</v>
      </c>
      <c r="AU30" s="56">
        <v>1</v>
      </c>
      <c r="AV30" s="56">
        <v>6.44</v>
      </c>
      <c r="AX30" s="56">
        <v>451</v>
      </c>
      <c r="AY30" s="56">
        <v>23.6</v>
      </c>
      <c r="AZ30" s="56">
        <v>0.11</v>
      </c>
      <c r="BA30" s="56">
        <v>0.09</v>
      </c>
      <c r="BB30" s="56" t="s">
        <v>114</v>
      </c>
      <c r="BC30" s="56" t="s">
        <v>116</v>
      </c>
      <c r="BD30" s="56">
        <v>0.18</v>
      </c>
      <c r="BE30" s="56" t="s">
        <v>114</v>
      </c>
      <c r="BF30" s="56">
        <v>0.28999999999999998</v>
      </c>
      <c r="BG30" s="73" t="s">
        <v>299</v>
      </c>
      <c r="BH30" s="56">
        <v>2.21</v>
      </c>
      <c r="BI30" s="56">
        <v>46400</v>
      </c>
      <c r="BJ30" s="56">
        <f t="shared" si="0"/>
        <v>4.6399999999999997</v>
      </c>
      <c r="BK30" s="56">
        <v>5.0000000000000001E-3</v>
      </c>
      <c r="BL30" s="56" t="s">
        <v>117</v>
      </c>
      <c r="BM30" s="56" t="s">
        <v>116</v>
      </c>
      <c r="BN30" s="56" t="s">
        <v>119</v>
      </c>
      <c r="BO30" s="56" t="s">
        <v>118</v>
      </c>
      <c r="BP30" s="56" t="s">
        <v>116</v>
      </c>
      <c r="BQ30" s="56" t="s">
        <v>117</v>
      </c>
      <c r="BR30" s="56" t="s">
        <v>114</v>
      </c>
      <c r="BS30" s="56">
        <v>3</v>
      </c>
      <c r="BT30" s="56" t="s">
        <v>114</v>
      </c>
      <c r="BU30" s="56" t="s">
        <v>116</v>
      </c>
      <c r="BV30" s="56">
        <v>1</v>
      </c>
      <c r="BW30" s="56" t="s">
        <v>115</v>
      </c>
      <c r="BX30" s="56" t="s">
        <v>115</v>
      </c>
      <c r="BY30" s="56" t="s">
        <v>114</v>
      </c>
      <c r="BZ30" s="56">
        <v>9.35</v>
      </c>
      <c r="CA30" s="56" t="s">
        <v>114</v>
      </c>
      <c r="CB30" s="56">
        <v>119</v>
      </c>
      <c r="CC30" s="56" t="s">
        <v>114</v>
      </c>
      <c r="CD30" s="56">
        <v>119</v>
      </c>
      <c r="CE30" s="56" t="s">
        <v>114</v>
      </c>
    </row>
    <row r="31" spans="1:83" x14ac:dyDescent="0.25">
      <c r="Y31" s="76"/>
      <c r="AC31" s="145" t="s">
        <v>277</v>
      </c>
    </row>
    <row r="32" spans="1:83" x14ac:dyDescent="0.25">
      <c r="X32" s="81" t="s">
        <v>277</v>
      </c>
      <c r="Y32" s="76"/>
      <c r="BG32" s="71" t="s">
        <v>277</v>
      </c>
    </row>
    <row r="34" spans="1:64" s="67" customFormat="1" x14ac:dyDescent="0.25">
      <c r="A34" s="74"/>
      <c r="B34" s="155"/>
      <c r="C34" s="155"/>
      <c r="D34" s="156"/>
      <c r="E34" s="155"/>
      <c r="F34" s="155"/>
      <c r="G34" s="155"/>
      <c r="H34" s="155"/>
      <c r="I34" s="155"/>
      <c r="J34" s="155"/>
      <c r="K34" s="155"/>
      <c r="L34" s="155"/>
      <c r="M34" s="155"/>
      <c r="N34" s="157"/>
      <c r="O34" s="157"/>
      <c r="P34" s="155"/>
      <c r="Q34" s="155"/>
      <c r="R34" s="155"/>
      <c r="S34" s="155"/>
      <c r="T34" s="157"/>
      <c r="U34" s="157"/>
      <c r="V34" s="157"/>
      <c r="W34" s="157"/>
      <c r="X34" s="158"/>
      <c r="Y34" s="159"/>
      <c r="Z34" s="158"/>
      <c r="AA34" s="156" t="s">
        <v>389</v>
      </c>
      <c r="AB34" s="159"/>
      <c r="AC34" s="156"/>
      <c r="AD34" s="155"/>
      <c r="AE34" s="155"/>
      <c r="AF34" s="155"/>
      <c r="AG34" s="155"/>
      <c r="AH34" s="155"/>
      <c r="AI34" s="155"/>
      <c r="AJ34" s="155"/>
      <c r="AK34" s="155"/>
      <c r="AL34" s="155"/>
      <c r="AM34" s="156"/>
      <c r="AN34" s="155"/>
      <c r="AO34" s="155"/>
      <c r="AP34" s="155"/>
      <c r="AQ34" s="155"/>
      <c r="AR34" s="155"/>
      <c r="AS34" s="155"/>
      <c r="AT34" s="155"/>
      <c r="AU34" s="155"/>
      <c r="AV34" s="155"/>
      <c r="AW34" s="156"/>
      <c r="AZ34" s="155"/>
      <c r="BA34" s="155"/>
      <c r="BB34" s="155"/>
      <c r="BC34" s="155"/>
      <c r="BD34" s="155"/>
      <c r="BE34" s="155"/>
      <c r="BF34" s="155"/>
      <c r="BG34" s="160"/>
      <c r="BH34" s="155"/>
      <c r="BK34" s="155"/>
      <c r="BL34" s="155"/>
    </row>
    <row r="35" spans="1:64" ht="45" x14ac:dyDescent="0.25">
      <c r="AA35" t="s">
        <v>23</v>
      </c>
      <c r="AB35" s="82" t="s">
        <v>393</v>
      </c>
      <c r="AC35" s="82"/>
      <c r="AD35" s="77" t="str">
        <f>AD7&amp;", "&amp;AD10&amp;", "&amp;AD14&amp;", "&amp;AD17&amp;", "&amp;AD24&amp;", "&amp;AD27&amp;", and "&amp;AD29</f>
        <v xml:space="preserve">16-D29-1 , 16-D12B-1 , 16-D33-1 , 16-D35-1 , 16-D67B-1 , 16-D46-1 , and 16-D41-1 </v>
      </c>
    </row>
    <row r="36" spans="1:64" ht="45" x14ac:dyDescent="0.25">
      <c r="AA36" t="s">
        <v>23</v>
      </c>
      <c r="AB36" s="82" t="s">
        <v>394</v>
      </c>
      <c r="AC36" s="82" t="s">
        <v>277</v>
      </c>
      <c r="AD36" s="77" t="str">
        <f>AD35</f>
        <v xml:space="preserve">16-D29-1 , 16-D12B-1 , 16-D33-1 , 16-D35-1 , 16-D67B-1 , 16-D46-1 , and 16-D41-1 </v>
      </c>
    </row>
    <row r="37" spans="1:64" x14ac:dyDescent="0.25">
      <c r="AA37" t="s">
        <v>391</v>
      </c>
      <c r="AB37" s="82" t="s">
        <v>393</v>
      </c>
      <c r="AD37" s="54" t="str">
        <f>AD8&amp;", "&amp;AD11&amp;", "&amp;AD15&amp;", "&amp;AD21&amp;", "&amp;AD25&amp;", "&amp;AD28&amp;", "&amp;AD30</f>
        <v xml:space="preserve">16-D29-2 , 16-D12B-2 , 16-D33-2 , 16-D56-2 , 16-D67B-2 , 16-D46-2 , 16-D41-2 </v>
      </c>
    </row>
    <row r="38" spans="1:64" x14ac:dyDescent="0.25">
      <c r="AA38" t="s">
        <v>391</v>
      </c>
      <c r="AB38" s="82" t="s">
        <v>394</v>
      </c>
      <c r="AD38" s="54" t="str">
        <f>AD37</f>
        <v xml:space="preserve">16-D29-2 , 16-D12B-2 , 16-D33-2 , 16-D56-2 , 16-D67B-2 , 16-D46-2 , 16-D41-2 </v>
      </c>
    </row>
    <row r="39" spans="1:64" x14ac:dyDescent="0.25">
      <c r="AA39" t="s">
        <v>351</v>
      </c>
      <c r="AB39" s="82" t="s">
        <v>393</v>
      </c>
      <c r="AD39" s="54" t="str">
        <f>AD9&amp;", "&amp;AD18&amp;", "&amp;AD19&amp;", &amp; "&amp;AD22</f>
        <v xml:space="preserve">16-D29-3 , 16-D35-2 , 16-D35-3 , &amp; 16-D56-3 </v>
      </c>
    </row>
    <row r="40" spans="1:64" x14ac:dyDescent="0.25">
      <c r="AA40" t="s">
        <v>351</v>
      </c>
      <c r="AB40" s="82" t="s">
        <v>394</v>
      </c>
      <c r="AD40" s="54" t="str">
        <f>AD39</f>
        <v xml:space="preserve">16-D29-3 , 16-D35-2 , 16-D35-3 , &amp; 16-D56-3 </v>
      </c>
    </row>
    <row r="41" spans="1:64" x14ac:dyDescent="0.25">
      <c r="AA41" t="s">
        <v>354</v>
      </c>
      <c r="AB41" s="82" t="s">
        <v>393</v>
      </c>
      <c r="AD41" s="54" t="str">
        <f>AD13&amp;", "&amp;AD16&amp;", "&amp;AD26</f>
        <v xml:space="preserve">16-D12B-4 , 16-D33-3 , 16-D67B-3 </v>
      </c>
    </row>
    <row r="42" spans="1:64" x14ac:dyDescent="0.25">
      <c r="AA42" t="s">
        <v>354</v>
      </c>
      <c r="AB42" s="82" t="s">
        <v>394</v>
      </c>
      <c r="AD42" s="54" t="str">
        <f>AD41</f>
        <v xml:space="preserve">16-D12B-4 , 16-D33-3 , 16-D67B-3 </v>
      </c>
    </row>
    <row r="43" spans="1:64" x14ac:dyDescent="0.25">
      <c r="AA43" t="s">
        <v>390</v>
      </c>
      <c r="AB43" s="82" t="s">
        <v>393</v>
      </c>
      <c r="AD43" s="54" t="str">
        <f>AD12&amp;", "&amp;AD23</f>
        <v xml:space="preserve">16-D12B-3 , 16-D56-4 </v>
      </c>
    </row>
    <row r="44" spans="1:64" s="67" customFormat="1" x14ac:dyDescent="0.25">
      <c r="A44" s="74"/>
      <c r="B44" s="155"/>
      <c r="C44" s="155"/>
      <c r="D44" s="156"/>
      <c r="E44" s="155"/>
      <c r="F44" s="155"/>
      <c r="G44" s="155"/>
      <c r="H44" s="155"/>
      <c r="I44" s="155"/>
      <c r="J44" s="155"/>
      <c r="K44" s="155"/>
      <c r="L44" s="155"/>
      <c r="M44" s="155"/>
      <c r="N44" s="157"/>
      <c r="O44" s="157"/>
      <c r="P44" s="155"/>
      <c r="Q44" s="155"/>
      <c r="R44" s="155"/>
      <c r="S44" s="155"/>
      <c r="T44" s="157"/>
      <c r="U44" s="157"/>
      <c r="V44" s="157"/>
      <c r="W44" s="157"/>
      <c r="X44" s="158"/>
      <c r="Y44" s="159"/>
      <c r="Z44" s="158"/>
      <c r="AA44" s="156" t="s">
        <v>390</v>
      </c>
      <c r="AB44" s="82" t="s">
        <v>394</v>
      </c>
      <c r="AC44" s="156"/>
      <c r="AD44" s="155" t="str">
        <f>AD43</f>
        <v xml:space="preserve">16-D12B-3 , 16-D56-4 </v>
      </c>
      <c r="AE44" s="155"/>
      <c r="AF44" s="155"/>
      <c r="AG44" s="155"/>
      <c r="AH44" s="155"/>
      <c r="AI44" s="155"/>
      <c r="AJ44" s="155"/>
      <c r="AK44" s="155"/>
      <c r="AL44" s="155"/>
      <c r="AM44" s="156"/>
      <c r="AN44" s="155"/>
      <c r="AO44" s="155"/>
      <c r="AP44" s="155"/>
      <c r="AQ44" s="155"/>
      <c r="AR44" s="155"/>
      <c r="AS44" s="155"/>
      <c r="AT44" s="155"/>
      <c r="AU44" s="155"/>
      <c r="AV44" s="155"/>
      <c r="AW44" s="156"/>
      <c r="AZ44" s="155"/>
      <c r="BA44" s="155"/>
      <c r="BB44" s="155"/>
      <c r="BC44" s="155"/>
      <c r="BD44" s="155"/>
      <c r="BE44" s="155"/>
      <c r="BF44" s="155"/>
      <c r="BG44" s="160"/>
      <c r="BH44" s="155"/>
      <c r="BK44" s="155"/>
      <c r="BL44" s="155"/>
    </row>
    <row r="45" spans="1:64" x14ac:dyDescent="0.25">
      <c r="AA45" t="s">
        <v>392</v>
      </c>
    </row>
  </sheetData>
  <sheetProtection formatCells="0" formatColumns="0" formatRows="0" insertColumns="0" insertRows="0" insertHyperlinks="0" deleteColumns="0" deleteRows="0" sort="0" autoFilter="0" pivotTables="0"/>
  <conditionalFormatting sqref="BH1 BH3:BH1048576">
    <cfRule type="cellIs" dxfId="70" priority="20" operator="greaterThan">
      <formula>10</formula>
    </cfRule>
  </conditionalFormatting>
  <conditionalFormatting sqref="BA1:BA1048576">
    <cfRule type="cellIs" dxfId="69" priority="17" operator="greaterThan">
      <formula>0.1</formula>
    </cfRule>
    <cfRule type="cellIs" dxfId="68" priority="18" operator="greaterThan">
      <formula>"&gt;1.5"</formula>
    </cfRule>
    <cfRule type="cellIs" dxfId="67" priority="19" operator="greaterThan">
      <formula>0.165</formula>
    </cfRule>
  </conditionalFormatting>
  <conditionalFormatting sqref="AS1:AS1048576">
    <cfRule type="cellIs" dxfId="66" priority="1" operator="lessThan">
      <formula>1</formula>
    </cfRule>
    <cfRule type="cellIs" dxfId="65" priority="16" operator="greaterThan">
      <formula>4.365</formula>
    </cfRule>
  </conditionalFormatting>
  <conditionalFormatting sqref="AV1 AV3:AV1048576">
    <cfRule type="cellIs" dxfId="64" priority="15" operator="greaterThan">
      <formula>3.845</formula>
    </cfRule>
  </conditionalFormatting>
  <conditionalFormatting sqref="AV2">
    <cfRule type="cellIs" dxfId="63" priority="13" operator="greaterThan">
      <formula>4.365</formula>
    </cfRule>
  </conditionalFormatting>
  <conditionalFormatting sqref="BF1:BF1048576">
    <cfRule type="cellIs" dxfId="62" priority="10" operator="greaterThan">
      <formula>0.25</formula>
    </cfRule>
  </conditionalFormatting>
  <conditionalFormatting sqref="AZ1:AZ13 AZ18:AZ19 AZ15:AZ16 AZ30:AZ1048576 AZ21 AZ23:AZ28">
    <cfRule type="cellIs" dxfId="61" priority="9" operator="greaterThan">
      <formula>0.1</formula>
    </cfRule>
  </conditionalFormatting>
  <conditionalFormatting sqref="BS1:BV1048576">
    <cfRule type="cellIs" dxfId="60" priority="8" operator="lessThan">
      <formula>5.5</formula>
    </cfRule>
  </conditionalFormatting>
  <conditionalFormatting sqref="BY1:BY1048576">
    <cfRule type="cellIs" dxfId="59" priority="7" operator="lessThan">
      <formula>100</formula>
    </cfRule>
  </conditionalFormatting>
  <conditionalFormatting sqref="BK1:BK1048576">
    <cfRule type="cellIs" dxfId="58" priority="6" operator="lessThan">
      <formula>0.01</formula>
    </cfRule>
  </conditionalFormatting>
  <conditionalFormatting sqref="BJ1:BJ1048576">
    <cfRule type="cellIs" dxfId="57" priority="3" operator="lessThan">
      <formula>10</formula>
    </cfRule>
    <cfRule type="cellIs" dxfId="56" priority="4" operator="greaterThan">
      <formula>50</formula>
    </cfRule>
  </conditionalFormatting>
  <conditionalFormatting sqref="AV1:AV1048576">
    <cfRule type="cellIs" dxfId="55" priority="2" operator="lessThan">
      <formula>1</formula>
    </cfRule>
  </conditionalFormatting>
  <pageMargins left="0.51" right="0.51" top="0.51" bottom="0.51" header="0.3" footer="0.3"/>
  <pageSetup orientation="landscape"/>
  <headerFooter>
    <oddHeader>&amp;12&amp;BFinal Report
Activation Laboratories</oddHeader>
    <oddFooter>&amp;C&amp;"Arial,Normal"Page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A72B-4D6C-451A-BC08-815600BF4485}">
  <dimension ref="A1:DD30"/>
  <sheetViews>
    <sheetView tabSelected="1" topLeftCell="B34" zoomScale="80" zoomScaleNormal="80" workbookViewId="0">
      <pane xSplit="1" topLeftCell="CS1" activePane="topRight" state="frozen"/>
      <selection activeCell="B3" sqref="B3"/>
      <selection pane="topRight" activeCell="CW11" sqref="CW11"/>
    </sheetView>
  </sheetViews>
  <sheetFormatPr defaultRowHeight="12.75" x14ac:dyDescent="0.2"/>
  <cols>
    <col min="1" max="1" width="0" hidden="1" customWidth="1"/>
    <col min="2" max="2" width="30" customWidth="1"/>
    <col min="3" max="3" width="14.42578125" customWidth="1"/>
    <col min="4" max="4" width="27" customWidth="1"/>
    <col min="21" max="21" width="9.140625" customWidth="1"/>
    <col min="25" max="28" width="13.42578125" customWidth="1"/>
    <col min="67" max="67" width="9.140625" customWidth="1"/>
    <col min="70" max="71" width="18" customWidth="1"/>
    <col min="78" max="78" width="12.28515625" customWidth="1"/>
    <col min="90" max="90" width="16.85546875" customWidth="1"/>
    <col min="109" max="110" width="23.5703125" customWidth="1"/>
    <col min="111" max="111" width="25.42578125" customWidth="1"/>
    <col min="112" max="112" width="24.140625" customWidth="1"/>
    <col min="113" max="113" width="24.7109375" customWidth="1"/>
  </cols>
  <sheetData>
    <row r="1" spans="1:108" hidden="1" x14ac:dyDescent="0.2">
      <c r="A1" s="176">
        <v>1</v>
      </c>
      <c r="B1" s="176" t="s">
        <v>356</v>
      </c>
      <c r="C1" s="176" t="s">
        <v>216</v>
      </c>
      <c r="D1" s="176"/>
      <c r="E1" s="176"/>
      <c r="F1" s="176"/>
      <c r="G1" s="176" t="s">
        <v>378</v>
      </c>
      <c r="H1" s="176" t="s">
        <v>377</v>
      </c>
      <c r="I1" s="176"/>
      <c r="J1" s="176"/>
      <c r="K1" s="176"/>
      <c r="L1" s="176" t="s">
        <v>377</v>
      </c>
      <c r="M1" s="176"/>
      <c r="N1" s="176"/>
      <c r="O1" s="176" t="s">
        <v>375</v>
      </c>
      <c r="P1" s="176"/>
      <c r="Q1" s="176" t="s">
        <v>375</v>
      </c>
      <c r="R1" s="176"/>
      <c r="S1" s="176"/>
      <c r="T1" s="135"/>
      <c r="U1" s="176"/>
      <c r="V1" s="176"/>
      <c r="W1" s="176"/>
      <c r="X1" s="176"/>
      <c r="Y1" t="s">
        <v>376</v>
      </c>
      <c r="AA1" t="s">
        <v>283</v>
      </c>
      <c r="AC1" t="s">
        <v>281</v>
      </c>
      <c r="AG1" t="s">
        <v>282</v>
      </c>
      <c r="AJ1" t="s">
        <v>282</v>
      </c>
      <c r="AQ1" t="s">
        <v>285</v>
      </c>
      <c r="BA1" t="s">
        <v>375</v>
      </c>
      <c r="BD1" t="s">
        <v>375</v>
      </c>
      <c r="BE1" t="s">
        <v>375</v>
      </c>
      <c r="BF1" t="s">
        <v>375</v>
      </c>
      <c r="BG1" t="s">
        <v>375</v>
      </c>
      <c r="BH1" t="s">
        <v>375</v>
      </c>
      <c r="CM1" t="s">
        <v>283</v>
      </c>
      <c r="CN1" t="s">
        <v>281</v>
      </c>
      <c r="CO1" t="s">
        <v>282</v>
      </c>
      <c r="CP1" t="s">
        <v>282</v>
      </c>
      <c r="CR1" t="s">
        <v>285</v>
      </c>
    </row>
    <row r="2" spans="1:108" hidden="1" x14ac:dyDescent="0.2">
      <c r="A2" s="176">
        <v>1</v>
      </c>
      <c r="B2" s="176" t="s">
        <v>356</v>
      </c>
      <c r="C2" s="176" t="s">
        <v>215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35"/>
      <c r="U2" s="176" t="s">
        <v>279</v>
      </c>
      <c r="V2" s="176"/>
      <c r="W2" s="176" t="s">
        <v>279</v>
      </c>
      <c r="X2" s="176"/>
      <c r="Z2" t="s">
        <v>275</v>
      </c>
      <c r="AC2" t="s">
        <v>278</v>
      </c>
      <c r="AG2" t="s">
        <v>280</v>
      </c>
      <c r="AL2" t="s">
        <v>277</v>
      </c>
      <c r="AM2" t="s">
        <v>276</v>
      </c>
      <c r="AO2" t="s">
        <v>360</v>
      </c>
      <c r="AQ2" t="s">
        <v>276</v>
      </c>
      <c r="BA2" t="s">
        <v>284</v>
      </c>
      <c r="BK2" t="s">
        <v>275</v>
      </c>
      <c r="BX2" t="s">
        <v>360</v>
      </c>
      <c r="CN2" t="s">
        <v>278</v>
      </c>
      <c r="CO2" t="s">
        <v>280</v>
      </c>
      <c r="CQ2" t="s">
        <v>276</v>
      </c>
      <c r="CR2" t="s">
        <v>276</v>
      </c>
      <c r="DA2" t="s">
        <v>400</v>
      </c>
    </row>
    <row r="3" spans="1:108" ht="15" x14ac:dyDescent="0.25">
      <c r="A3" s="176">
        <v>1</v>
      </c>
      <c r="B3" s="176" t="s">
        <v>356</v>
      </c>
      <c r="C3" s="176" t="s">
        <v>214</v>
      </c>
      <c r="D3" s="176"/>
      <c r="E3" s="176" t="s">
        <v>213</v>
      </c>
      <c r="F3" s="176" t="s">
        <v>212</v>
      </c>
      <c r="G3" s="176" t="s">
        <v>211</v>
      </c>
      <c r="H3" s="176" t="s">
        <v>210</v>
      </c>
      <c r="I3" s="176" t="s">
        <v>209</v>
      </c>
      <c r="J3" s="176" t="s">
        <v>208</v>
      </c>
      <c r="K3" s="176" t="s">
        <v>207</v>
      </c>
      <c r="L3" s="176" t="s">
        <v>206</v>
      </c>
      <c r="M3" s="176" t="s">
        <v>198</v>
      </c>
      <c r="N3" s="176" t="s">
        <v>197</v>
      </c>
      <c r="O3" s="176" t="s">
        <v>204</v>
      </c>
      <c r="P3" s="176" t="s">
        <v>203</v>
      </c>
      <c r="Q3" s="176" t="s">
        <v>202</v>
      </c>
      <c r="R3" s="176" t="s">
        <v>201</v>
      </c>
      <c r="S3" s="176" t="s">
        <v>200</v>
      </c>
      <c r="T3" s="176" t="s">
        <v>199</v>
      </c>
      <c r="U3" s="176" t="s">
        <v>199</v>
      </c>
      <c r="V3" s="176" t="s">
        <v>199</v>
      </c>
      <c r="W3" s="176" t="s">
        <v>188</v>
      </c>
      <c r="X3" s="176" t="s">
        <v>188</v>
      </c>
      <c r="Y3" t="s">
        <v>185</v>
      </c>
      <c r="Z3" t="s">
        <v>169</v>
      </c>
      <c r="AA3" s="134" t="s">
        <v>205</v>
      </c>
      <c r="AB3" s="134" t="s">
        <v>205</v>
      </c>
      <c r="AC3" s="134" t="s">
        <v>196</v>
      </c>
      <c r="AD3" s="134" t="s">
        <v>196</v>
      </c>
      <c r="AE3" t="s">
        <v>195</v>
      </c>
      <c r="AF3" t="s">
        <v>194</v>
      </c>
      <c r="AG3" s="134" t="s">
        <v>193</v>
      </c>
      <c r="AH3" t="s">
        <v>361</v>
      </c>
      <c r="AI3" t="s">
        <v>192</v>
      </c>
      <c r="AJ3" s="134" t="s">
        <v>191</v>
      </c>
      <c r="AK3" s="134" t="s">
        <v>191</v>
      </c>
      <c r="AM3" t="s">
        <v>190</v>
      </c>
      <c r="AN3" t="s">
        <v>190</v>
      </c>
      <c r="AO3" t="s">
        <v>359</v>
      </c>
      <c r="AP3" t="s">
        <v>174</v>
      </c>
      <c r="AQ3" t="s">
        <v>174</v>
      </c>
      <c r="AR3" t="s">
        <v>174</v>
      </c>
      <c r="AS3" t="s">
        <v>189</v>
      </c>
      <c r="AT3" t="s">
        <v>187</v>
      </c>
      <c r="AU3" t="s">
        <v>186</v>
      </c>
      <c r="AV3" t="s">
        <v>184</v>
      </c>
      <c r="AW3" t="s">
        <v>183</v>
      </c>
      <c r="AX3" t="s">
        <v>182</v>
      </c>
      <c r="AY3" t="s">
        <v>181</v>
      </c>
      <c r="AZ3" t="s">
        <v>180</v>
      </c>
      <c r="BA3" t="s">
        <v>179</v>
      </c>
      <c r="BB3" t="s">
        <v>178</v>
      </c>
      <c r="BC3" t="s">
        <v>177</v>
      </c>
      <c r="BD3" t="s">
        <v>176</v>
      </c>
      <c r="BE3" t="s">
        <v>175</v>
      </c>
      <c r="BF3" t="s">
        <v>172</v>
      </c>
      <c r="BG3" t="s">
        <v>173</v>
      </c>
      <c r="BH3" t="s">
        <v>170</v>
      </c>
      <c r="BJ3" t="s">
        <v>171</v>
      </c>
      <c r="BK3" t="s">
        <v>169</v>
      </c>
      <c r="BL3" t="s">
        <v>168</v>
      </c>
      <c r="BM3" t="s">
        <v>167</v>
      </c>
      <c r="BN3" t="s">
        <v>166</v>
      </c>
      <c r="BO3" t="s">
        <v>165</v>
      </c>
      <c r="BP3" t="s">
        <v>199</v>
      </c>
      <c r="BQ3" t="s">
        <v>188</v>
      </c>
      <c r="BR3" s="134" t="s">
        <v>205</v>
      </c>
      <c r="BS3" s="134" t="s">
        <v>196</v>
      </c>
      <c r="BT3" t="s">
        <v>361</v>
      </c>
      <c r="BU3" s="134" t="s">
        <v>191</v>
      </c>
      <c r="BV3" t="s">
        <v>359</v>
      </c>
      <c r="BW3" t="s">
        <v>174</v>
      </c>
      <c r="BX3" t="s">
        <v>366</v>
      </c>
      <c r="CF3" t="s">
        <v>277</v>
      </c>
      <c r="CG3" t="s">
        <v>188</v>
      </c>
      <c r="CH3" t="s">
        <v>199</v>
      </c>
      <c r="CI3" t="s">
        <v>362</v>
      </c>
      <c r="CJ3" t="s">
        <v>399</v>
      </c>
      <c r="CK3" s="134" t="s">
        <v>205</v>
      </c>
      <c r="CL3" s="134" t="s">
        <v>196</v>
      </c>
      <c r="CM3" s="134" t="s">
        <v>193</v>
      </c>
      <c r="CN3" s="134" t="s">
        <v>191</v>
      </c>
      <c r="CO3" t="s">
        <v>190</v>
      </c>
      <c r="CP3" t="s">
        <v>174</v>
      </c>
      <c r="CQ3" t="s">
        <v>189</v>
      </c>
    </row>
    <row r="4" spans="1:108" x14ac:dyDescent="0.2">
      <c r="A4" s="176">
        <v>1</v>
      </c>
      <c r="B4" s="176" t="s">
        <v>356</v>
      </c>
      <c r="C4" s="176" t="s">
        <v>164</v>
      </c>
      <c r="D4" s="176" t="s">
        <v>417</v>
      </c>
      <c r="E4" s="176" t="s">
        <v>162</v>
      </c>
      <c r="F4" s="176" t="s">
        <v>162</v>
      </c>
      <c r="G4" s="176" t="s">
        <v>162</v>
      </c>
      <c r="H4" s="176" t="s">
        <v>162</v>
      </c>
      <c r="I4" s="176" t="s">
        <v>162</v>
      </c>
      <c r="J4" s="176" t="s">
        <v>162</v>
      </c>
      <c r="K4" s="176" t="s">
        <v>162</v>
      </c>
      <c r="L4" s="176" t="s">
        <v>162</v>
      </c>
      <c r="M4" s="176" t="s">
        <v>162</v>
      </c>
      <c r="N4" s="176" t="s">
        <v>162</v>
      </c>
      <c r="O4" s="176" t="s">
        <v>162</v>
      </c>
      <c r="P4" s="176" t="s">
        <v>162</v>
      </c>
      <c r="Q4" s="176" t="s">
        <v>162</v>
      </c>
      <c r="R4" s="176" t="s">
        <v>162</v>
      </c>
      <c r="S4" s="176" t="s">
        <v>162</v>
      </c>
      <c r="T4" s="176" t="s">
        <v>163</v>
      </c>
      <c r="U4" s="145" t="s">
        <v>163</v>
      </c>
      <c r="V4" s="176" t="s">
        <v>358</v>
      </c>
      <c r="W4" s="176" t="s">
        <v>163</v>
      </c>
      <c r="X4" s="176" t="s">
        <v>355</v>
      </c>
      <c r="Y4" t="s">
        <v>162</v>
      </c>
      <c r="Z4" t="s">
        <v>274</v>
      </c>
      <c r="AA4" t="s">
        <v>163</v>
      </c>
      <c r="AB4" t="s">
        <v>358</v>
      </c>
      <c r="AC4" t="s">
        <v>163</v>
      </c>
      <c r="AD4" t="s">
        <v>358</v>
      </c>
      <c r="AE4" t="s">
        <v>162</v>
      </c>
      <c r="AF4" t="s">
        <v>162</v>
      </c>
      <c r="AG4" t="s">
        <v>163</v>
      </c>
      <c r="AH4" t="s">
        <v>358</v>
      </c>
      <c r="AI4" t="s">
        <v>162</v>
      </c>
      <c r="AJ4" t="s">
        <v>163</v>
      </c>
      <c r="AK4" t="s">
        <v>358</v>
      </c>
      <c r="AM4" t="s">
        <v>163</v>
      </c>
      <c r="AN4" t="s">
        <v>358</v>
      </c>
      <c r="AO4" t="s">
        <v>358</v>
      </c>
      <c r="AP4" t="s">
        <v>161</v>
      </c>
      <c r="AQ4" t="s">
        <v>163</v>
      </c>
      <c r="AR4" t="s">
        <v>358</v>
      </c>
      <c r="AS4" t="s">
        <v>163</v>
      </c>
      <c r="AT4" t="s">
        <v>162</v>
      </c>
      <c r="AU4" t="s">
        <v>162</v>
      </c>
      <c r="AV4" t="s">
        <v>163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  <c r="BB4" t="s">
        <v>162</v>
      </c>
      <c r="BC4" t="s">
        <v>162</v>
      </c>
      <c r="BD4" t="s">
        <v>162</v>
      </c>
      <c r="BE4" t="s">
        <v>161</v>
      </c>
      <c r="BF4" t="s">
        <v>161</v>
      </c>
      <c r="BG4" t="s">
        <v>161</v>
      </c>
      <c r="BH4" t="s">
        <v>161</v>
      </c>
      <c r="BJ4" t="s">
        <v>161</v>
      </c>
      <c r="BK4" t="s">
        <v>274</v>
      </c>
      <c r="BL4" t="s">
        <v>160</v>
      </c>
      <c r="BM4" t="s">
        <v>160</v>
      </c>
      <c r="BN4" t="s">
        <v>160</v>
      </c>
      <c r="BO4" t="s">
        <v>160</v>
      </c>
      <c r="BP4" t="s">
        <v>355</v>
      </c>
      <c r="BQ4" t="s">
        <v>355</v>
      </c>
      <c r="BR4" t="s">
        <v>358</v>
      </c>
      <c r="BS4" t="s">
        <v>358</v>
      </c>
      <c r="BT4" t="s">
        <v>358</v>
      </c>
      <c r="BU4" t="s">
        <v>358</v>
      </c>
      <c r="BV4" t="s">
        <v>358</v>
      </c>
      <c r="BW4" t="s">
        <v>358</v>
      </c>
      <c r="CG4" t="s">
        <v>163</v>
      </c>
      <c r="CH4" t="s">
        <v>163</v>
      </c>
      <c r="CI4" t="s">
        <v>367</v>
      </c>
      <c r="CJ4" t="s">
        <v>163</v>
      </c>
      <c r="CK4" t="s">
        <v>163</v>
      </c>
      <c r="CL4" t="s">
        <v>163</v>
      </c>
      <c r="CM4" t="s">
        <v>163</v>
      </c>
      <c r="CN4" t="s">
        <v>163</v>
      </c>
      <c r="CO4" t="s">
        <v>163</v>
      </c>
      <c r="CP4" t="s">
        <v>163</v>
      </c>
      <c r="CQ4" t="s">
        <v>163</v>
      </c>
    </row>
    <row r="5" spans="1:108" hidden="1" x14ac:dyDescent="0.2">
      <c r="A5" s="176">
        <v>1</v>
      </c>
      <c r="B5" s="176" t="s">
        <v>356</v>
      </c>
      <c r="C5" s="176" t="s">
        <v>159</v>
      </c>
      <c r="D5" s="176"/>
      <c r="E5" s="176">
        <v>0.2</v>
      </c>
      <c r="F5" s="176">
        <v>0.5</v>
      </c>
      <c r="G5" s="176">
        <v>1</v>
      </c>
      <c r="H5" s="176">
        <v>5</v>
      </c>
      <c r="I5" s="176">
        <v>1</v>
      </c>
      <c r="J5" s="176">
        <v>1</v>
      </c>
      <c r="K5" s="176">
        <v>2</v>
      </c>
      <c r="L5" s="176">
        <v>2</v>
      </c>
      <c r="M5" s="176">
        <v>1</v>
      </c>
      <c r="N5" s="176">
        <v>1</v>
      </c>
      <c r="O5" s="176">
        <v>2</v>
      </c>
      <c r="P5" s="176">
        <v>10</v>
      </c>
      <c r="Q5" s="176">
        <v>10</v>
      </c>
      <c r="R5" s="176">
        <v>0.5</v>
      </c>
      <c r="S5" s="176">
        <v>2</v>
      </c>
      <c r="T5" s="176">
        <v>0.01</v>
      </c>
      <c r="U5" s="176">
        <v>0.01</v>
      </c>
      <c r="V5" s="176"/>
      <c r="W5" s="176">
        <v>0.01</v>
      </c>
      <c r="X5" s="176"/>
      <c r="Y5">
        <v>1</v>
      </c>
      <c r="Z5">
        <v>0.03</v>
      </c>
      <c r="AA5">
        <v>0.01</v>
      </c>
      <c r="AC5">
        <v>0.01</v>
      </c>
      <c r="AE5">
        <v>10</v>
      </c>
      <c r="AF5">
        <v>1</v>
      </c>
      <c r="AG5">
        <v>0.01</v>
      </c>
      <c r="AI5">
        <v>10</v>
      </c>
      <c r="AJ5">
        <v>0.01</v>
      </c>
      <c r="AM5">
        <v>1E-3</v>
      </c>
      <c r="AP5">
        <v>0.03</v>
      </c>
      <c r="AS5">
        <v>1E-3</v>
      </c>
      <c r="AT5">
        <v>2</v>
      </c>
      <c r="AU5">
        <v>1</v>
      </c>
      <c r="AV5">
        <v>0.01</v>
      </c>
      <c r="AW5">
        <v>20</v>
      </c>
      <c r="AX5">
        <v>1</v>
      </c>
      <c r="AY5">
        <v>2</v>
      </c>
      <c r="AZ5">
        <v>10</v>
      </c>
      <c r="BA5">
        <v>1</v>
      </c>
      <c r="BB5">
        <v>10</v>
      </c>
      <c r="BC5">
        <v>1</v>
      </c>
      <c r="BD5">
        <v>1</v>
      </c>
      <c r="BE5">
        <v>0.01</v>
      </c>
      <c r="BF5">
        <v>0.03</v>
      </c>
      <c r="BG5">
        <v>0.01</v>
      </c>
      <c r="BH5">
        <v>0.02</v>
      </c>
      <c r="BJ5">
        <v>0.01</v>
      </c>
      <c r="BK5">
        <v>0.03</v>
      </c>
      <c r="BL5">
        <v>2</v>
      </c>
      <c r="BM5">
        <v>1</v>
      </c>
      <c r="BN5">
        <v>1</v>
      </c>
      <c r="BO5">
        <v>1</v>
      </c>
      <c r="CG5">
        <v>0.01</v>
      </c>
      <c r="CH5">
        <v>0.01</v>
      </c>
      <c r="CK5">
        <v>0.01</v>
      </c>
      <c r="CL5">
        <v>0.01</v>
      </c>
      <c r="CM5">
        <v>0.01</v>
      </c>
      <c r="CN5">
        <v>0.01</v>
      </c>
      <c r="CO5">
        <v>1E-3</v>
      </c>
      <c r="CQ5">
        <v>1E-3</v>
      </c>
      <c r="CW5" t="s">
        <v>412</v>
      </c>
      <c r="CX5" t="s">
        <v>414</v>
      </c>
      <c r="CY5" t="s">
        <v>416</v>
      </c>
    </row>
    <row r="6" spans="1:108" ht="31.5" customHeight="1" x14ac:dyDescent="0.25">
      <c r="A6" s="176">
        <v>1</v>
      </c>
      <c r="B6" s="176" t="s">
        <v>357</v>
      </c>
      <c r="C6" s="176" t="s">
        <v>158</v>
      </c>
      <c r="E6" s="176" t="s">
        <v>157</v>
      </c>
      <c r="F6" s="176" t="s">
        <v>157</v>
      </c>
      <c r="G6" s="176" t="s">
        <v>157</v>
      </c>
      <c r="H6" s="176" t="s">
        <v>157</v>
      </c>
      <c r="I6" s="176" t="s">
        <v>157</v>
      </c>
      <c r="J6" s="176" t="s">
        <v>157</v>
      </c>
      <c r="K6" s="176" t="s">
        <v>157</v>
      </c>
      <c r="L6" s="176" t="s">
        <v>157</v>
      </c>
      <c r="M6" s="176" t="s">
        <v>157</v>
      </c>
      <c r="N6" s="176" t="s">
        <v>157</v>
      </c>
      <c r="O6" s="176" t="s">
        <v>157</v>
      </c>
      <c r="P6" s="176" t="s">
        <v>157</v>
      </c>
      <c r="Q6" s="176" t="s">
        <v>157</v>
      </c>
      <c r="R6" s="176" t="s">
        <v>157</v>
      </c>
      <c r="S6" s="176" t="s">
        <v>157</v>
      </c>
      <c r="T6" s="176" t="s">
        <v>157</v>
      </c>
      <c r="U6" s="176" t="s">
        <v>418</v>
      </c>
      <c r="V6" s="145" t="s">
        <v>418</v>
      </c>
      <c r="W6" s="176" t="s">
        <v>157</v>
      </c>
      <c r="X6" s="176" t="s">
        <v>418</v>
      </c>
      <c r="Y6" t="s">
        <v>157</v>
      </c>
      <c r="Z6" t="s">
        <v>156</v>
      </c>
      <c r="AA6" t="s">
        <v>157</v>
      </c>
      <c r="AB6" s="176" t="s">
        <v>418</v>
      </c>
      <c r="AC6" t="s">
        <v>157</v>
      </c>
      <c r="AD6" s="176" t="s">
        <v>418</v>
      </c>
      <c r="AE6" t="s">
        <v>157</v>
      </c>
      <c r="AF6" t="s">
        <v>157</v>
      </c>
      <c r="AG6" t="s">
        <v>157</v>
      </c>
      <c r="AH6" t="s">
        <v>418</v>
      </c>
      <c r="AI6" t="s">
        <v>157</v>
      </c>
      <c r="AJ6" t="s">
        <v>157</v>
      </c>
      <c r="AK6" t="s">
        <v>418</v>
      </c>
      <c r="AL6" t="s">
        <v>300</v>
      </c>
      <c r="AM6" t="s">
        <v>157</v>
      </c>
      <c r="AP6" t="s">
        <v>156</v>
      </c>
      <c r="AS6" t="s">
        <v>157</v>
      </c>
      <c r="AT6" t="s">
        <v>157</v>
      </c>
      <c r="AU6" t="s">
        <v>157</v>
      </c>
      <c r="AV6" t="s">
        <v>157</v>
      </c>
      <c r="AW6" t="s">
        <v>157</v>
      </c>
      <c r="AX6" t="s">
        <v>157</v>
      </c>
      <c r="AY6" t="s">
        <v>157</v>
      </c>
      <c r="AZ6" t="s">
        <v>157</v>
      </c>
      <c r="BA6" t="s">
        <v>157</v>
      </c>
      <c r="BB6" t="s">
        <v>157</v>
      </c>
      <c r="BC6" t="s">
        <v>157</v>
      </c>
      <c r="BD6" t="s">
        <v>157</v>
      </c>
      <c r="BE6" t="s">
        <v>156</v>
      </c>
      <c r="BF6" t="s">
        <v>156</v>
      </c>
      <c r="BG6" t="s">
        <v>156</v>
      </c>
      <c r="BH6" t="s">
        <v>170</v>
      </c>
      <c r="BJ6" t="s">
        <v>171</v>
      </c>
      <c r="BK6" t="s">
        <v>169</v>
      </c>
      <c r="BL6" t="s">
        <v>168</v>
      </c>
      <c r="BM6" t="s">
        <v>167</v>
      </c>
      <c r="BN6" t="s">
        <v>166</v>
      </c>
      <c r="BO6" t="s">
        <v>155</v>
      </c>
      <c r="BP6" t="s">
        <v>199</v>
      </c>
      <c r="BQ6" t="s">
        <v>188</v>
      </c>
      <c r="BR6" s="134" t="s">
        <v>205</v>
      </c>
      <c r="BS6" s="134" t="s">
        <v>196</v>
      </c>
      <c r="BT6" t="s">
        <v>361</v>
      </c>
      <c r="BU6" s="134" t="s">
        <v>191</v>
      </c>
      <c r="BV6" t="s">
        <v>365</v>
      </c>
      <c r="BW6" t="s">
        <v>174</v>
      </c>
      <c r="BX6" t="s">
        <v>362</v>
      </c>
      <c r="BY6" t="s">
        <v>399</v>
      </c>
      <c r="BZ6" t="s">
        <v>363</v>
      </c>
      <c r="CA6" t="s">
        <v>371</v>
      </c>
      <c r="CB6" t="s">
        <v>372</v>
      </c>
      <c r="CC6" s="70" t="s">
        <v>370</v>
      </c>
      <c r="CD6" s="70" t="s">
        <v>369</v>
      </c>
      <c r="CE6" s="70" t="s">
        <v>374</v>
      </c>
      <c r="CF6" s="145" t="s">
        <v>373</v>
      </c>
      <c r="CG6" t="s">
        <v>188</v>
      </c>
      <c r="CH6" t="s">
        <v>199</v>
      </c>
      <c r="CI6" t="s">
        <v>368</v>
      </c>
      <c r="CJ6" t="s">
        <v>399</v>
      </c>
      <c r="CK6" s="134" t="s">
        <v>205</v>
      </c>
      <c r="CL6" s="134" t="s">
        <v>196</v>
      </c>
      <c r="CM6" s="134" t="s">
        <v>193</v>
      </c>
      <c r="CN6" s="134" t="s">
        <v>191</v>
      </c>
      <c r="CO6" t="s">
        <v>190</v>
      </c>
      <c r="CP6" t="s">
        <v>174</v>
      </c>
      <c r="CQ6" t="s">
        <v>189</v>
      </c>
      <c r="CR6" t="s">
        <v>364</v>
      </c>
      <c r="CS6" t="s">
        <v>363</v>
      </c>
      <c r="CT6" t="s">
        <v>364</v>
      </c>
      <c r="CW6" s="82" t="s">
        <v>411</v>
      </c>
      <c r="CX6" s="82" t="s">
        <v>413</v>
      </c>
      <c r="CY6" s="82" t="s">
        <v>415</v>
      </c>
      <c r="CZ6" s="82" t="s">
        <v>402</v>
      </c>
      <c r="DA6" s="82" t="s">
        <v>401</v>
      </c>
      <c r="DB6" s="82" t="s">
        <v>404</v>
      </c>
      <c r="DC6" s="82" t="s">
        <v>403</v>
      </c>
      <c r="DD6" s="82" t="s">
        <v>404</v>
      </c>
    </row>
    <row r="7" spans="1:108" s="135" customFormat="1" ht="13.5" customHeight="1" x14ac:dyDescent="0.25">
      <c r="A7" s="135">
        <v>1.1000000000000001</v>
      </c>
      <c r="B7" s="135" t="s">
        <v>23</v>
      </c>
      <c r="C7" s="135" t="s">
        <v>419</v>
      </c>
      <c r="D7" s="135" t="str">
        <f t="shared" ref="D7:D30" si="0">B7&amp;" "&amp;C7</f>
        <v xml:space="preserve">surface halite 29-1 </v>
      </c>
      <c r="E7" s="135" t="s">
        <v>121</v>
      </c>
      <c r="F7" s="135" t="s">
        <v>120</v>
      </c>
      <c r="G7" s="135">
        <v>2</v>
      </c>
      <c r="H7" s="135" t="s">
        <v>115</v>
      </c>
      <c r="I7" s="135" t="s">
        <v>116</v>
      </c>
      <c r="J7" s="135" t="s">
        <v>116</v>
      </c>
      <c r="K7" s="135" t="s">
        <v>117</v>
      </c>
      <c r="L7" s="135" t="s">
        <v>117</v>
      </c>
      <c r="M7" s="135" t="s">
        <v>116</v>
      </c>
      <c r="N7" s="135" t="s">
        <v>116</v>
      </c>
      <c r="O7" s="135" t="s">
        <v>117</v>
      </c>
      <c r="P7" s="135" t="s">
        <v>114</v>
      </c>
      <c r="Q7" s="135" t="s">
        <v>114</v>
      </c>
      <c r="R7" s="135" t="s">
        <v>120</v>
      </c>
      <c r="S7" s="135" t="s">
        <v>117</v>
      </c>
      <c r="T7" s="135">
        <v>2.09</v>
      </c>
      <c r="U7" s="135">
        <v>2.09</v>
      </c>
      <c r="V7" s="135">
        <f t="shared" ref="V7:V16" si="1">U7/40.078</f>
        <v>5.214831079395179E-2</v>
      </c>
      <c r="W7" s="135">
        <v>1.67</v>
      </c>
      <c r="X7" s="135">
        <f t="shared" ref="X7:X30" si="2">W7/32.066</f>
        <v>5.2080084825048334E-2</v>
      </c>
      <c r="Y7" s="135">
        <v>105</v>
      </c>
      <c r="Z7" s="135">
        <v>49.2</v>
      </c>
      <c r="AA7" s="135">
        <v>0.01</v>
      </c>
      <c r="AB7" s="135">
        <f>AA7/26.982</f>
        <v>3.7061744866948335E-4</v>
      </c>
      <c r="AC7" s="135">
        <v>0.01</v>
      </c>
      <c r="AD7" s="135">
        <f>AC7/55.845</f>
        <v>1.7906706061420003E-4</v>
      </c>
      <c r="AE7" s="135" t="s">
        <v>114</v>
      </c>
      <c r="AF7" s="135" t="s">
        <v>116</v>
      </c>
      <c r="AG7" s="135">
        <v>0.17</v>
      </c>
      <c r="AH7" s="135">
        <f t="shared" ref="AH7:AH30" si="3">AG7/39.098</f>
        <v>4.3480484935290815E-3</v>
      </c>
      <c r="AI7" s="135" t="s">
        <v>114</v>
      </c>
      <c r="AJ7" s="135">
        <v>0.11</v>
      </c>
      <c r="AK7" s="135">
        <f t="shared" ref="AK7:AK30" si="4">AJ7/24.305</f>
        <v>4.5258177329767536E-3</v>
      </c>
      <c r="AL7" s="135" t="s">
        <v>294</v>
      </c>
      <c r="AM7" s="143">
        <f t="shared" ref="AM7:AM14" si="5">AO7*22.99</f>
        <v>26.106063225255973</v>
      </c>
      <c r="AN7" s="143"/>
      <c r="AO7" s="143">
        <f t="shared" ref="AO7:AO14" si="6">0.7406*AR7+0.0075</f>
        <v>1.1355399402025217</v>
      </c>
      <c r="AP7" s="135">
        <v>540000</v>
      </c>
      <c r="AQ7" s="135">
        <f t="shared" ref="AQ7:AQ30" si="7">AP7*0.0001</f>
        <v>54</v>
      </c>
      <c r="AR7" s="135">
        <f t="shared" ref="AR7:AR30" si="8">AQ7/35.453</f>
        <v>1.5231433165035397</v>
      </c>
      <c r="AS7" s="135" t="s">
        <v>125</v>
      </c>
      <c r="AT7" s="135" t="s">
        <v>117</v>
      </c>
      <c r="AU7" s="135" t="s">
        <v>116</v>
      </c>
      <c r="AV7" s="135" t="s">
        <v>119</v>
      </c>
      <c r="AW7" s="135" t="s">
        <v>118</v>
      </c>
      <c r="AX7" s="135" t="s">
        <v>116</v>
      </c>
      <c r="AY7" s="135" t="s">
        <v>117</v>
      </c>
      <c r="AZ7" s="135" t="s">
        <v>114</v>
      </c>
      <c r="BA7" s="135" t="s">
        <v>116</v>
      </c>
      <c r="BB7" s="135" t="s">
        <v>114</v>
      </c>
      <c r="BC7" s="135" t="s">
        <v>116</v>
      </c>
      <c r="BD7" s="135" t="s">
        <v>116</v>
      </c>
      <c r="BE7" s="135" t="s">
        <v>124</v>
      </c>
      <c r="BF7" s="135" t="s">
        <v>123</v>
      </c>
      <c r="BG7" s="135" t="s">
        <v>124</v>
      </c>
      <c r="BH7" s="135" t="s">
        <v>123</v>
      </c>
      <c r="BI7" s="135" t="s">
        <v>154</v>
      </c>
      <c r="BJ7" s="135">
        <v>126</v>
      </c>
      <c r="BK7" s="135">
        <v>49.2</v>
      </c>
      <c r="BL7" s="135">
        <v>205</v>
      </c>
      <c r="BM7" s="135">
        <v>31</v>
      </c>
      <c r="BN7" s="135">
        <v>173</v>
      </c>
      <c r="BO7" s="135" t="s">
        <v>114</v>
      </c>
      <c r="BP7" s="135">
        <v>5.214831079395179E-2</v>
      </c>
      <c r="BQ7" s="135">
        <v>5.2080084825048334E-2</v>
      </c>
      <c r="BR7" s="135">
        <v>3.7061744866948335E-4</v>
      </c>
      <c r="BS7" s="135">
        <v>1.7906706061420003E-4</v>
      </c>
      <c r="BT7" s="135">
        <v>4.3480484935290815E-3</v>
      </c>
      <c r="BU7" s="135">
        <v>4.5258177329767536E-3</v>
      </c>
      <c r="BV7" s="143">
        <v>1.1355399402025217</v>
      </c>
      <c r="BW7" s="135">
        <v>1.5231433165035397</v>
      </c>
      <c r="BX7" s="135">
        <f t="shared" ref="BX7:BX30" si="9">(AVERAGE(BP7:BQ7))*6 +BR7*3</f>
        <v>0.31379703920300889</v>
      </c>
      <c r="BY7" s="135">
        <f t="shared" ref="BY7:BY30" si="10">(AVERAGE(BP7:BQ7)*4)</f>
        <v>0.20845679123800026</v>
      </c>
      <c r="BZ7" s="135">
        <f t="shared" ref="BZ7:BZ30" si="11">SUM(BP7:BY7)</f>
        <v>3.2945890335018602</v>
      </c>
      <c r="CA7" s="135">
        <f t="shared" ref="CA7:CA30" si="12">(AVERAGE(BP7:BQ7))*6</f>
        <v>0.31268518685700042</v>
      </c>
      <c r="CB7" s="135">
        <f t="shared" ref="CB7:CB30" si="13">BR7*3</f>
        <v>1.1118523460084502E-3</v>
      </c>
      <c r="CC7" s="135">
        <f t="shared" ref="CC7:CC30" si="14">BP7+BQ7</f>
        <v>0.10422839561900013</v>
      </c>
      <c r="CD7" s="135">
        <f t="shared" ref="CD7:CD30" si="15">BW7+BV7</f>
        <v>2.6586832567060616</v>
      </c>
      <c r="CE7" s="135">
        <f t="shared" ref="CE7:CE30" si="16">BR7+BS7+BU7+CB7</f>
        <v>6.1873545882688875E-3</v>
      </c>
      <c r="CF7" s="135">
        <f t="shared" ref="CF7:CF30" si="17">BT7</f>
        <v>4.3480484935290815E-3</v>
      </c>
      <c r="CG7" s="135">
        <v>1.67</v>
      </c>
      <c r="CH7" s="135">
        <v>2.09</v>
      </c>
      <c r="CI7" s="135">
        <f t="shared" ref="CI7:CI30" si="18">BX7*15.999</f>
        <v>5.0204388302089393</v>
      </c>
      <c r="CJ7" s="135">
        <f t="shared" ref="CJ7:CJ30" si="19">BY7*1.007</f>
        <v>0.20991598877666623</v>
      </c>
      <c r="CK7" s="135">
        <v>0.01</v>
      </c>
      <c r="CL7" s="135">
        <v>0.01</v>
      </c>
      <c r="CM7" s="135">
        <v>0.17</v>
      </c>
      <c r="CN7" s="135">
        <v>0.11</v>
      </c>
      <c r="CO7" s="143">
        <v>26.106063225255973</v>
      </c>
      <c r="CP7" s="135">
        <v>54</v>
      </c>
      <c r="CQ7" s="135" t="s">
        <v>125</v>
      </c>
      <c r="CR7" s="135">
        <f t="shared" ref="CR7:CR30" si="20">CT7</f>
        <v>10.603581955758415</v>
      </c>
      <c r="CS7" s="135">
        <f t="shared" ref="CS7:CS30" si="21">SUM(CG7:CQ7)</f>
        <v>89.396418044241585</v>
      </c>
      <c r="CT7" s="135">
        <f t="shared" ref="CT7:CT30" si="22">100-CS7</f>
        <v>10.603581955758415</v>
      </c>
      <c r="CU7" s="135" t="str">
        <f t="shared" ref="CU7:CU30" si="23">D7</f>
        <v xml:space="preserve">surface halite 29-1 </v>
      </c>
      <c r="CV7" s="135" t="str">
        <f t="shared" ref="CV7:CV30" si="24">C7</f>
        <v xml:space="preserve">29-1 </v>
      </c>
      <c r="CW7" s="135">
        <f t="shared" ref="CW7:CW30" si="25">CG7+CH7+CI7+CJ7</f>
        <v>8.9903548189856064</v>
      </c>
      <c r="CX7" s="135">
        <f t="shared" ref="CX7:CX30" si="26">CK7+CN7+CL7</f>
        <v>0.13</v>
      </c>
      <c r="CY7" s="135">
        <f t="shared" ref="CY7:CY30" si="27">CO7+CP7</f>
        <v>80.10606322525598</v>
      </c>
      <c r="CZ7" s="135">
        <f t="shared" ref="CZ7:CZ30" si="28">CM7</f>
        <v>0.17</v>
      </c>
      <c r="DA7" s="135" t="str">
        <f t="shared" ref="DA7:DA30" si="29">CQ7</f>
        <v>&lt; 0.001</v>
      </c>
      <c r="DC7" s="135">
        <f t="shared" ref="DC7:DC30" si="30">SUM(CW7:DA7)</f>
        <v>89.396418044241585</v>
      </c>
      <c r="DD7" s="135">
        <f t="shared" ref="DD7:DD30" si="31">100-DC7</f>
        <v>10.603581955758415</v>
      </c>
    </row>
    <row r="8" spans="1:108" s="135" customFormat="1" ht="15" x14ac:dyDescent="0.25">
      <c r="A8" s="135">
        <v>1.1000000000000001</v>
      </c>
      <c r="B8" s="135" t="s">
        <v>23</v>
      </c>
      <c r="C8" s="135" t="s">
        <v>420</v>
      </c>
      <c r="D8" s="135" t="str">
        <f t="shared" si="0"/>
        <v xml:space="preserve">surface halite 12B-1 </v>
      </c>
      <c r="E8" s="135" t="s">
        <v>121</v>
      </c>
      <c r="F8" s="135" t="s">
        <v>120</v>
      </c>
      <c r="G8" s="135">
        <v>3</v>
      </c>
      <c r="H8" s="135">
        <v>42</v>
      </c>
      <c r="I8" s="135" t="s">
        <v>116</v>
      </c>
      <c r="J8" s="135" t="s">
        <v>116</v>
      </c>
      <c r="K8" s="135">
        <v>2</v>
      </c>
      <c r="L8" s="135">
        <v>13</v>
      </c>
      <c r="M8" s="135" t="s">
        <v>116</v>
      </c>
      <c r="N8" s="135" t="s">
        <v>116</v>
      </c>
      <c r="O8" s="135" t="s">
        <v>117</v>
      </c>
      <c r="P8" s="135" t="s">
        <v>114</v>
      </c>
      <c r="Q8" s="135">
        <v>14</v>
      </c>
      <c r="R8" s="135" t="s">
        <v>120</v>
      </c>
      <c r="S8" s="135" t="s">
        <v>117</v>
      </c>
      <c r="T8" s="135">
        <v>6.18</v>
      </c>
      <c r="U8" s="135">
        <v>6.18</v>
      </c>
      <c r="V8" s="135">
        <f t="shared" si="1"/>
        <v>0.15419931134288137</v>
      </c>
      <c r="W8" s="135">
        <v>5.04</v>
      </c>
      <c r="X8" s="135">
        <f t="shared" si="2"/>
        <v>0.15717582486122372</v>
      </c>
      <c r="Y8" s="135">
        <v>260</v>
      </c>
      <c r="Z8" s="135">
        <v>47.3</v>
      </c>
      <c r="AA8" s="135">
        <v>0.05</v>
      </c>
      <c r="AB8" s="135">
        <f>AA8/26.982</f>
        <v>1.8530872433474169E-3</v>
      </c>
      <c r="AC8" s="135">
        <v>0.05</v>
      </c>
      <c r="AD8" s="135">
        <f>AC8/55.845</f>
        <v>8.9533530307100019E-4</v>
      </c>
      <c r="AE8" s="135" t="s">
        <v>114</v>
      </c>
      <c r="AF8" s="135" t="s">
        <v>116</v>
      </c>
      <c r="AG8" s="135">
        <v>0.26</v>
      </c>
      <c r="AH8" s="135">
        <f t="shared" si="3"/>
        <v>6.6499565195150649E-3</v>
      </c>
      <c r="AI8" s="135" t="s">
        <v>114</v>
      </c>
      <c r="AJ8" s="135">
        <v>0.25</v>
      </c>
      <c r="AK8" s="135">
        <f t="shared" si="4"/>
        <v>1.0285949393128987E-2</v>
      </c>
      <c r="AL8" s="135" t="s">
        <v>287</v>
      </c>
      <c r="AM8" s="143">
        <f t="shared" si="5"/>
        <v>20.150931484641635</v>
      </c>
      <c r="AN8" s="143"/>
      <c r="AO8" s="143">
        <f t="shared" si="6"/>
        <v>0.87650854652638699</v>
      </c>
      <c r="AP8" s="135">
        <v>416000</v>
      </c>
      <c r="AQ8" s="135">
        <f t="shared" si="7"/>
        <v>41.6</v>
      </c>
      <c r="AR8" s="135">
        <f t="shared" si="8"/>
        <v>1.1733844808619862</v>
      </c>
      <c r="AS8" s="135">
        <v>3.0000000000000001E-3</v>
      </c>
      <c r="AT8" s="135" t="s">
        <v>117</v>
      </c>
      <c r="AU8" s="135" t="s">
        <v>116</v>
      </c>
      <c r="AV8" s="135" t="s">
        <v>119</v>
      </c>
      <c r="AW8" s="135" t="s">
        <v>118</v>
      </c>
      <c r="AX8" s="135" t="s">
        <v>116</v>
      </c>
      <c r="AY8" s="135" t="s">
        <v>117</v>
      </c>
      <c r="AZ8" s="135" t="s">
        <v>114</v>
      </c>
      <c r="BA8" s="135">
        <v>1</v>
      </c>
      <c r="BB8" s="135" t="s">
        <v>114</v>
      </c>
      <c r="BC8" s="135" t="s">
        <v>116</v>
      </c>
      <c r="BD8" s="135" t="s">
        <v>116</v>
      </c>
      <c r="BE8" s="135" t="s">
        <v>131</v>
      </c>
      <c r="BF8" s="135" t="s">
        <v>123</v>
      </c>
      <c r="BG8" s="143" t="s">
        <v>131</v>
      </c>
      <c r="BH8" s="143" t="s">
        <v>130</v>
      </c>
      <c r="BI8" s="135" t="s">
        <v>151</v>
      </c>
      <c r="BJ8" s="135">
        <v>69.2</v>
      </c>
      <c r="BK8" s="135">
        <v>47.3</v>
      </c>
      <c r="BL8" s="135">
        <v>310</v>
      </c>
      <c r="BM8" s="135">
        <v>174</v>
      </c>
      <c r="BN8" s="135">
        <v>132</v>
      </c>
      <c r="BO8" s="135" t="s">
        <v>114</v>
      </c>
      <c r="BP8" s="135">
        <v>0.15419931134288137</v>
      </c>
      <c r="BQ8" s="135">
        <v>0.15717582486122372</v>
      </c>
      <c r="BR8" s="135">
        <v>1.8530872433474169E-3</v>
      </c>
      <c r="BS8" s="135">
        <v>8.9533530307100019E-4</v>
      </c>
      <c r="BT8" s="135">
        <v>6.6499565195150649E-3</v>
      </c>
      <c r="BU8" s="135">
        <v>1.0285949393128987E-2</v>
      </c>
      <c r="BV8" s="143">
        <v>0.87650854652638699</v>
      </c>
      <c r="BW8" s="135">
        <v>1.1733844808619862</v>
      </c>
      <c r="BX8" s="135">
        <f t="shared" si="9"/>
        <v>0.93968467034235748</v>
      </c>
      <c r="BY8" s="135">
        <f t="shared" si="10"/>
        <v>0.62275027240821013</v>
      </c>
      <c r="BZ8" s="135">
        <f t="shared" si="11"/>
        <v>3.9433874348021081</v>
      </c>
      <c r="CA8" s="135">
        <f t="shared" si="12"/>
        <v>0.93412540861231519</v>
      </c>
      <c r="CB8" s="135">
        <f t="shared" si="13"/>
        <v>5.5592617300422508E-3</v>
      </c>
      <c r="CC8" s="135">
        <f t="shared" si="14"/>
        <v>0.31137513620410506</v>
      </c>
      <c r="CD8" s="135">
        <f t="shared" si="15"/>
        <v>2.0498930273883733</v>
      </c>
      <c r="CE8" s="135">
        <f t="shared" si="16"/>
        <v>1.8593633669589656E-2</v>
      </c>
      <c r="CF8" s="135">
        <f t="shared" si="17"/>
        <v>6.6499565195150649E-3</v>
      </c>
      <c r="CG8" s="135">
        <v>5.04</v>
      </c>
      <c r="CH8" s="135">
        <v>6.18</v>
      </c>
      <c r="CI8" s="135">
        <f t="shared" si="18"/>
        <v>15.034015040807377</v>
      </c>
      <c r="CJ8" s="135">
        <f t="shared" si="19"/>
        <v>0.6271095243150675</v>
      </c>
      <c r="CK8" s="135">
        <v>0.05</v>
      </c>
      <c r="CL8" s="135">
        <v>0.05</v>
      </c>
      <c r="CM8" s="135">
        <v>0.26</v>
      </c>
      <c r="CN8" s="135">
        <v>0.25</v>
      </c>
      <c r="CO8" s="143">
        <v>20.150931484641635</v>
      </c>
      <c r="CP8" s="135">
        <v>41.6</v>
      </c>
      <c r="CQ8" s="135">
        <v>3.0000000000000001E-3</v>
      </c>
      <c r="CR8" s="135">
        <f t="shared" si="20"/>
        <v>10.754943950235926</v>
      </c>
      <c r="CS8" s="135">
        <f t="shared" si="21"/>
        <v>89.245056049764074</v>
      </c>
      <c r="CT8" s="135">
        <f t="shared" si="22"/>
        <v>10.754943950235926</v>
      </c>
      <c r="CU8" s="135" t="str">
        <f t="shared" si="23"/>
        <v xml:space="preserve">surface halite 12B-1 </v>
      </c>
      <c r="CV8" s="135" t="str">
        <f t="shared" si="24"/>
        <v xml:space="preserve">12B-1 </v>
      </c>
      <c r="CW8" s="135">
        <f t="shared" si="25"/>
        <v>26.881124565122441</v>
      </c>
      <c r="CX8" s="135">
        <f t="shared" si="26"/>
        <v>0.35</v>
      </c>
      <c r="CY8" s="135">
        <f t="shared" si="27"/>
        <v>61.75093148464164</v>
      </c>
      <c r="CZ8" s="135">
        <f t="shared" si="28"/>
        <v>0.26</v>
      </c>
      <c r="DA8" s="135">
        <f t="shared" si="29"/>
        <v>3.0000000000000001E-3</v>
      </c>
      <c r="DC8" s="135">
        <f t="shared" si="30"/>
        <v>89.245056049764088</v>
      </c>
      <c r="DD8" s="135">
        <f t="shared" si="31"/>
        <v>10.754943950235912</v>
      </c>
    </row>
    <row r="9" spans="1:108" s="135" customFormat="1" ht="15" x14ac:dyDescent="0.25">
      <c r="A9" s="135">
        <v>1.1000000000000001</v>
      </c>
      <c r="B9" s="135" t="s">
        <v>23</v>
      </c>
      <c r="C9" t="s">
        <v>421</v>
      </c>
      <c r="D9" s="135" t="str">
        <f t="shared" si="0"/>
        <v xml:space="preserve">surface halite 33-1 </v>
      </c>
      <c r="E9" s="135" t="s">
        <v>121</v>
      </c>
      <c r="F9" s="135" t="s">
        <v>120</v>
      </c>
      <c r="G9" s="135">
        <v>2</v>
      </c>
      <c r="H9" s="135" t="s">
        <v>115</v>
      </c>
      <c r="I9" s="135" t="s">
        <v>116</v>
      </c>
      <c r="J9" s="135">
        <v>1</v>
      </c>
      <c r="K9" s="135" t="s">
        <v>117</v>
      </c>
      <c r="L9" s="135">
        <v>7</v>
      </c>
      <c r="M9" s="135" t="s">
        <v>116</v>
      </c>
      <c r="N9" s="135">
        <v>2</v>
      </c>
      <c r="O9" s="135" t="s">
        <v>117</v>
      </c>
      <c r="P9" s="135" t="s">
        <v>114</v>
      </c>
      <c r="Q9" s="135" t="s">
        <v>114</v>
      </c>
      <c r="R9" s="135" t="s">
        <v>120</v>
      </c>
      <c r="S9" s="135" t="s">
        <v>117</v>
      </c>
      <c r="T9" s="135">
        <v>0.44</v>
      </c>
      <c r="U9" s="135">
        <v>0.44</v>
      </c>
      <c r="V9" s="135">
        <f t="shared" si="1"/>
        <v>1.0978591746095114E-2</v>
      </c>
      <c r="W9" s="135">
        <v>0.34</v>
      </c>
      <c r="X9" s="135">
        <f t="shared" si="2"/>
        <v>1.0603131042225411E-2</v>
      </c>
      <c r="Y9" s="135">
        <v>39</v>
      </c>
      <c r="Z9" s="135">
        <v>11.2</v>
      </c>
      <c r="AA9" s="135" t="s">
        <v>119</v>
      </c>
      <c r="AC9" s="135">
        <v>0.01</v>
      </c>
      <c r="AD9" s="135">
        <f>AC9/55.845</f>
        <v>1.7906706061420003E-4</v>
      </c>
      <c r="AE9" s="135" t="s">
        <v>114</v>
      </c>
      <c r="AF9" s="135" t="s">
        <v>116</v>
      </c>
      <c r="AG9" s="135">
        <v>0.12</v>
      </c>
      <c r="AH9" s="135">
        <f t="shared" si="3"/>
        <v>3.0692107013146454E-3</v>
      </c>
      <c r="AI9" s="135" t="s">
        <v>114</v>
      </c>
      <c r="AJ9" s="135">
        <v>0.06</v>
      </c>
      <c r="AK9" s="135">
        <f t="shared" si="4"/>
        <v>2.4686278543509564E-3</v>
      </c>
      <c r="AL9" s="135" t="s">
        <v>286</v>
      </c>
      <c r="AM9" s="143">
        <f t="shared" si="5"/>
        <v>29.6119069112628</v>
      </c>
      <c r="AN9" s="143"/>
      <c r="AO9" s="143">
        <f t="shared" si="6"/>
        <v>1.288034228415085</v>
      </c>
      <c r="AP9" s="135">
        <v>613000</v>
      </c>
      <c r="AQ9" s="135">
        <f t="shared" si="7"/>
        <v>61.300000000000004</v>
      </c>
      <c r="AR9" s="135">
        <f t="shared" si="8"/>
        <v>1.7290497278086481</v>
      </c>
      <c r="AS9" s="135" t="s">
        <v>125</v>
      </c>
      <c r="AT9" s="135" t="s">
        <v>117</v>
      </c>
      <c r="AU9" s="135" t="s">
        <v>116</v>
      </c>
      <c r="AV9" s="135" t="s">
        <v>119</v>
      </c>
      <c r="AW9" s="135" t="s">
        <v>118</v>
      </c>
      <c r="AX9" s="135" t="s">
        <v>116</v>
      </c>
      <c r="AY9" s="135" t="s">
        <v>117</v>
      </c>
      <c r="AZ9" s="135" t="s">
        <v>114</v>
      </c>
      <c r="BA9" s="135" t="s">
        <v>116</v>
      </c>
      <c r="BB9" s="135" t="s">
        <v>114</v>
      </c>
      <c r="BC9" s="135" t="s">
        <v>116</v>
      </c>
      <c r="BD9" s="135" t="s">
        <v>116</v>
      </c>
      <c r="BE9" s="135" t="s">
        <v>124</v>
      </c>
      <c r="BF9" s="135" t="s">
        <v>123</v>
      </c>
      <c r="BG9" s="135" t="s">
        <v>124</v>
      </c>
      <c r="BH9" s="135" t="s">
        <v>123</v>
      </c>
      <c r="BI9" s="135" t="s">
        <v>147</v>
      </c>
      <c r="BJ9" s="135">
        <v>127</v>
      </c>
      <c r="BK9" s="135">
        <v>11.2</v>
      </c>
      <c r="BL9" s="135">
        <v>118</v>
      </c>
      <c r="BM9" s="135" t="s">
        <v>114</v>
      </c>
      <c r="BN9" s="135">
        <v>118</v>
      </c>
      <c r="BO9" s="135" t="s">
        <v>114</v>
      </c>
      <c r="BP9" s="135">
        <v>1.0978591746095114E-2</v>
      </c>
      <c r="BQ9" s="135">
        <v>1.0603131042225411E-2</v>
      </c>
      <c r="BS9" s="135">
        <v>1.7906706061420003E-4</v>
      </c>
      <c r="BT9" s="135">
        <v>3.0692107013146454E-3</v>
      </c>
      <c r="BU9" s="135">
        <v>2.4686278543509564E-3</v>
      </c>
      <c r="BV9" s="143">
        <v>1.288034228415085</v>
      </c>
      <c r="BW9" s="135">
        <v>1.7290497278086481</v>
      </c>
      <c r="BX9" s="135">
        <f t="shared" si="9"/>
        <v>6.4745168364961581E-2</v>
      </c>
      <c r="BY9" s="135">
        <f t="shared" si="10"/>
        <v>4.3163445576641049E-2</v>
      </c>
      <c r="BZ9" s="135">
        <f t="shared" si="11"/>
        <v>3.1522911985699364</v>
      </c>
      <c r="CA9" s="135">
        <f t="shared" si="12"/>
        <v>6.4745168364961581E-2</v>
      </c>
      <c r="CB9" s="135">
        <f t="shared" si="13"/>
        <v>0</v>
      </c>
      <c r="CC9" s="135">
        <f t="shared" si="14"/>
        <v>2.1581722788320525E-2</v>
      </c>
      <c r="CD9" s="135">
        <f t="shared" si="15"/>
        <v>3.017083956223733</v>
      </c>
      <c r="CE9" s="135">
        <f t="shared" si="16"/>
        <v>2.6476949149651565E-3</v>
      </c>
      <c r="CF9" s="135">
        <f t="shared" si="17"/>
        <v>3.0692107013146454E-3</v>
      </c>
      <c r="CG9" s="135">
        <v>0.34</v>
      </c>
      <c r="CH9" s="135">
        <v>0.44</v>
      </c>
      <c r="CI9" s="135">
        <f t="shared" si="18"/>
        <v>1.0358579486710204</v>
      </c>
      <c r="CJ9" s="135">
        <f t="shared" si="19"/>
        <v>4.3465589695677535E-2</v>
      </c>
      <c r="CK9" s="135">
        <v>0</v>
      </c>
      <c r="CL9" s="135">
        <v>0.01</v>
      </c>
      <c r="CM9" s="135">
        <v>0.12</v>
      </c>
      <c r="CN9" s="135">
        <v>0.06</v>
      </c>
      <c r="CO9" s="143">
        <v>29.6119069112628</v>
      </c>
      <c r="CP9" s="135">
        <v>61.300000000000004</v>
      </c>
      <c r="CQ9" s="135" t="s">
        <v>125</v>
      </c>
      <c r="CR9" s="135">
        <f t="shared" si="20"/>
        <v>7.038769550370489</v>
      </c>
      <c r="CS9" s="135">
        <f t="shared" si="21"/>
        <v>92.961230449629511</v>
      </c>
      <c r="CT9" s="135">
        <f t="shared" si="22"/>
        <v>7.038769550370489</v>
      </c>
      <c r="CU9" s="135" t="str">
        <f t="shared" si="23"/>
        <v xml:space="preserve">surface halite 33-1 </v>
      </c>
      <c r="CV9" s="135" t="str">
        <f t="shared" si="24"/>
        <v xml:space="preserve">33-1 </v>
      </c>
      <c r="CW9" s="135">
        <f t="shared" si="25"/>
        <v>1.8593235383666979</v>
      </c>
      <c r="CX9" s="135">
        <f t="shared" si="26"/>
        <v>6.9999999999999993E-2</v>
      </c>
      <c r="CY9" s="135">
        <f t="shared" si="27"/>
        <v>90.911906911262804</v>
      </c>
      <c r="CZ9" s="135">
        <f t="shared" si="28"/>
        <v>0.12</v>
      </c>
      <c r="DA9" s="135" t="str">
        <f t="shared" si="29"/>
        <v>&lt; 0.001</v>
      </c>
      <c r="DC9" s="135">
        <f t="shared" si="30"/>
        <v>92.961230449629511</v>
      </c>
      <c r="DD9" s="135">
        <f t="shared" si="31"/>
        <v>7.038769550370489</v>
      </c>
    </row>
    <row r="10" spans="1:108" s="135" customFormat="1" ht="15" x14ac:dyDescent="0.25">
      <c r="A10" s="135">
        <v>1.1000000000000001</v>
      </c>
      <c r="B10" s="135" t="s">
        <v>23</v>
      </c>
      <c r="C10" t="s">
        <v>422</v>
      </c>
      <c r="D10" s="135" t="str">
        <f t="shared" si="0"/>
        <v xml:space="preserve">surface halite 35-1 </v>
      </c>
      <c r="E10" s="135" t="s">
        <v>121</v>
      </c>
      <c r="F10" s="135" t="s">
        <v>120</v>
      </c>
      <c r="G10" s="135" t="s">
        <v>116</v>
      </c>
      <c r="H10" s="135" t="s">
        <v>115</v>
      </c>
      <c r="I10" s="135" t="s">
        <v>116</v>
      </c>
      <c r="J10" s="135" t="s">
        <v>116</v>
      </c>
      <c r="K10" s="135" t="s">
        <v>117</v>
      </c>
      <c r="L10" s="135">
        <v>9</v>
      </c>
      <c r="M10" s="135" t="s">
        <v>116</v>
      </c>
      <c r="N10" s="135" t="s">
        <v>116</v>
      </c>
      <c r="O10" s="135" t="s">
        <v>117</v>
      </c>
      <c r="P10" s="135" t="s">
        <v>114</v>
      </c>
      <c r="Q10" s="135" t="s">
        <v>114</v>
      </c>
      <c r="R10" s="135" t="s">
        <v>120</v>
      </c>
      <c r="S10" s="135" t="s">
        <v>117</v>
      </c>
      <c r="T10" s="135">
        <v>0.48</v>
      </c>
      <c r="U10" s="135">
        <v>0.48</v>
      </c>
      <c r="V10" s="135">
        <f t="shared" si="1"/>
        <v>1.1976645541194668E-2</v>
      </c>
      <c r="W10" s="135">
        <v>0.36</v>
      </c>
      <c r="X10" s="135">
        <f t="shared" si="2"/>
        <v>1.1226844632944551E-2</v>
      </c>
      <c r="Y10" s="135">
        <v>55</v>
      </c>
      <c r="Z10" s="135">
        <v>12.5</v>
      </c>
      <c r="AA10" s="135" t="s">
        <v>119</v>
      </c>
      <c r="AC10" s="135" t="s">
        <v>119</v>
      </c>
      <c r="AE10" s="135" t="s">
        <v>114</v>
      </c>
      <c r="AF10" s="135" t="s">
        <v>116</v>
      </c>
      <c r="AG10" s="135">
        <v>0.28999999999999998</v>
      </c>
      <c r="AH10" s="135">
        <f t="shared" si="3"/>
        <v>7.4172591948437261E-3</v>
      </c>
      <c r="AI10" s="135" t="s">
        <v>114</v>
      </c>
      <c r="AJ10" s="135">
        <v>0.14000000000000001</v>
      </c>
      <c r="AK10" s="135">
        <f t="shared" si="4"/>
        <v>5.7601316601522323E-3</v>
      </c>
      <c r="AL10" s="135" t="s">
        <v>286</v>
      </c>
      <c r="AM10" s="143">
        <f t="shared" si="5"/>
        <v>28.891528071672354</v>
      </c>
      <c r="AN10" s="143"/>
      <c r="AO10" s="143">
        <f t="shared" si="6"/>
        <v>1.2566997856316815</v>
      </c>
      <c r="AP10" s="135">
        <v>598000</v>
      </c>
      <c r="AQ10" s="135">
        <f t="shared" si="7"/>
        <v>59.800000000000004</v>
      </c>
      <c r="AR10" s="135">
        <f t="shared" si="8"/>
        <v>1.6867401912391053</v>
      </c>
      <c r="AS10" s="135" t="s">
        <v>125</v>
      </c>
      <c r="AT10" s="135" t="s">
        <v>117</v>
      </c>
      <c r="AU10" s="135" t="s">
        <v>116</v>
      </c>
      <c r="AV10" s="135" t="s">
        <v>119</v>
      </c>
      <c r="AW10" s="135" t="s">
        <v>118</v>
      </c>
      <c r="AX10" s="135" t="s">
        <v>116</v>
      </c>
      <c r="AY10" s="135" t="s">
        <v>117</v>
      </c>
      <c r="AZ10" s="135" t="s">
        <v>114</v>
      </c>
      <c r="BA10" s="135" t="s">
        <v>116</v>
      </c>
      <c r="BB10" s="135" t="s">
        <v>114</v>
      </c>
      <c r="BC10" s="135" t="s">
        <v>116</v>
      </c>
      <c r="BD10" s="135" t="s">
        <v>116</v>
      </c>
      <c r="BE10" s="135" t="s">
        <v>124</v>
      </c>
      <c r="BF10" s="135" t="s">
        <v>123</v>
      </c>
      <c r="BG10" s="135" t="s">
        <v>124</v>
      </c>
      <c r="BH10" s="135" t="s">
        <v>123</v>
      </c>
      <c r="BI10" s="135" t="s">
        <v>144</v>
      </c>
      <c r="BJ10" s="135" t="s">
        <v>124</v>
      </c>
      <c r="BK10" s="135">
        <v>12.5</v>
      </c>
      <c r="BL10" s="135">
        <v>131</v>
      </c>
      <c r="BM10" s="135" t="s">
        <v>114</v>
      </c>
      <c r="BN10" s="135">
        <v>131</v>
      </c>
      <c r="BO10" s="135" t="s">
        <v>114</v>
      </c>
      <c r="BP10" s="135">
        <v>1.1976645541194668E-2</v>
      </c>
      <c r="BQ10" s="135">
        <v>1.1226844632944551E-2</v>
      </c>
      <c r="BT10" s="135">
        <v>7.4172591948437261E-3</v>
      </c>
      <c r="BU10" s="135">
        <v>5.7601316601522323E-3</v>
      </c>
      <c r="BV10" s="143">
        <v>1.2566997856316815</v>
      </c>
      <c r="BW10" s="135">
        <v>1.6867401912391053</v>
      </c>
      <c r="BX10" s="135">
        <f t="shared" si="9"/>
        <v>6.9610470522417645E-2</v>
      </c>
      <c r="BY10" s="135">
        <f t="shared" si="10"/>
        <v>4.6406980348278434E-2</v>
      </c>
      <c r="BZ10" s="135">
        <f t="shared" si="11"/>
        <v>3.0958383087706176</v>
      </c>
      <c r="CA10" s="135">
        <f t="shared" si="12"/>
        <v>6.9610470522417645E-2</v>
      </c>
      <c r="CB10" s="135">
        <f t="shared" si="13"/>
        <v>0</v>
      </c>
      <c r="CC10" s="135">
        <f t="shared" si="14"/>
        <v>2.3203490174139217E-2</v>
      </c>
      <c r="CD10" s="135">
        <f t="shared" si="15"/>
        <v>2.9434399768707866</v>
      </c>
      <c r="CE10" s="135">
        <f t="shared" si="16"/>
        <v>5.7601316601522323E-3</v>
      </c>
      <c r="CF10" s="135">
        <f t="shared" si="17"/>
        <v>7.4172591948437261E-3</v>
      </c>
      <c r="CG10" s="135">
        <v>0.36</v>
      </c>
      <c r="CH10" s="135">
        <v>0.48</v>
      </c>
      <c r="CI10" s="135">
        <f t="shared" si="18"/>
        <v>1.1136979178881599</v>
      </c>
      <c r="CJ10" s="135">
        <f t="shared" si="19"/>
        <v>4.6731829210716377E-2</v>
      </c>
      <c r="CK10" s="135">
        <v>0</v>
      </c>
      <c r="CL10" s="135">
        <v>0</v>
      </c>
      <c r="CM10" s="135">
        <v>0.28999999999999998</v>
      </c>
      <c r="CN10" s="135">
        <v>0.14000000000000001</v>
      </c>
      <c r="CO10" s="143">
        <v>28.891528071672354</v>
      </c>
      <c r="CP10" s="135">
        <v>59.800000000000004</v>
      </c>
      <c r="CQ10" s="135" t="s">
        <v>125</v>
      </c>
      <c r="CR10" s="135">
        <f t="shared" si="20"/>
        <v>8.8780421812287642</v>
      </c>
      <c r="CS10" s="135">
        <f t="shared" si="21"/>
        <v>91.121957818771236</v>
      </c>
      <c r="CT10" s="135">
        <f t="shared" si="22"/>
        <v>8.8780421812287642</v>
      </c>
      <c r="CU10" s="135" t="str">
        <f t="shared" si="23"/>
        <v xml:space="preserve">surface halite 35-1 </v>
      </c>
      <c r="CV10" s="135" t="str">
        <f t="shared" si="24"/>
        <v xml:space="preserve">35-1 </v>
      </c>
      <c r="CW10" s="135">
        <f t="shared" si="25"/>
        <v>2.0004297470988761</v>
      </c>
      <c r="CX10" s="135">
        <f t="shared" si="26"/>
        <v>0.14000000000000001</v>
      </c>
      <c r="CY10" s="135">
        <f t="shared" si="27"/>
        <v>88.691528071672366</v>
      </c>
      <c r="CZ10" s="135">
        <f t="shared" si="28"/>
        <v>0.28999999999999998</v>
      </c>
      <c r="DA10" s="135" t="str">
        <f t="shared" si="29"/>
        <v>&lt; 0.001</v>
      </c>
      <c r="DC10" s="135">
        <f t="shared" si="30"/>
        <v>91.12195781877125</v>
      </c>
      <c r="DD10" s="135">
        <f t="shared" si="31"/>
        <v>8.87804218122875</v>
      </c>
    </row>
    <row r="11" spans="1:108" s="135" customFormat="1" ht="15" x14ac:dyDescent="0.25">
      <c r="A11" s="135">
        <v>1.1000000000000001</v>
      </c>
      <c r="B11" s="135" t="s">
        <v>23</v>
      </c>
      <c r="C11" t="s">
        <v>423</v>
      </c>
      <c r="D11" s="135" t="str">
        <f t="shared" si="0"/>
        <v xml:space="preserve">surface halite 56-1 </v>
      </c>
      <c r="E11" s="135" t="s">
        <v>121</v>
      </c>
      <c r="F11" s="135" t="s">
        <v>120</v>
      </c>
      <c r="G11" s="135" t="s">
        <v>116</v>
      </c>
      <c r="H11" s="135">
        <v>5</v>
      </c>
      <c r="I11" s="135" t="s">
        <v>116</v>
      </c>
      <c r="J11" s="135" t="s">
        <v>116</v>
      </c>
      <c r="K11" s="135" t="s">
        <v>117</v>
      </c>
      <c r="L11" s="135" t="s">
        <v>117</v>
      </c>
      <c r="M11" s="135" t="s">
        <v>116</v>
      </c>
      <c r="N11" s="135" t="s">
        <v>116</v>
      </c>
      <c r="O11" s="135" t="s">
        <v>117</v>
      </c>
      <c r="P11" s="135" t="s">
        <v>114</v>
      </c>
      <c r="Q11" s="135" t="s">
        <v>114</v>
      </c>
      <c r="R11" s="135" t="s">
        <v>120</v>
      </c>
      <c r="S11" s="135" t="s">
        <v>117</v>
      </c>
      <c r="T11" s="135">
        <v>0.59</v>
      </c>
      <c r="U11" s="135">
        <v>0.59</v>
      </c>
      <c r="V11" s="135">
        <f t="shared" si="1"/>
        <v>1.4721293477718448E-2</v>
      </c>
      <c r="W11" s="135">
        <v>0.44</v>
      </c>
      <c r="X11" s="135">
        <f t="shared" si="2"/>
        <v>1.3721698995821117E-2</v>
      </c>
      <c r="Y11" s="135">
        <v>57</v>
      </c>
      <c r="Z11" s="135">
        <v>14.9</v>
      </c>
      <c r="AA11" s="135" t="s">
        <v>119</v>
      </c>
      <c r="AC11" s="135">
        <v>0.01</v>
      </c>
      <c r="AD11" s="135">
        <f t="shared" ref="AD11:AD30" si="32">AC11/55.845</f>
        <v>1.7906706061420003E-4</v>
      </c>
      <c r="AE11" s="135" t="s">
        <v>114</v>
      </c>
      <c r="AF11" s="135" t="s">
        <v>116</v>
      </c>
      <c r="AG11" s="135">
        <v>0.25</v>
      </c>
      <c r="AH11" s="135">
        <f t="shared" si="3"/>
        <v>6.3941889610721779E-3</v>
      </c>
      <c r="AI11" s="135" t="s">
        <v>114</v>
      </c>
      <c r="AJ11" s="135">
        <v>0.12</v>
      </c>
      <c r="AK11" s="135">
        <f t="shared" si="4"/>
        <v>4.9372557087019129E-3</v>
      </c>
      <c r="AL11" s="135" t="s">
        <v>286</v>
      </c>
      <c r="AM11" s="143">
        <f t="shared" si="5"/>
        <v>27.786947184300345</v>
      </c>
      <c r="AN11" s="143"/>
      <c r="AO11" s="143">
        <f t="shared" si="6"/>
        <v>1.2086536400304631</v>
      </c>
      <c r="AP11" s="135">
        <v>575000</v>
      </c>
      <c r="AQ11" s="135">
        <f t="shared" si="7"/>
        <v>57.5</v>
      </c>
      <c r="AR11" s="135">
        <f t="shared" si="8"/>
        <v>1.6218655684991397</v>
      </c>
      <c r="AS11" s="135" t="s">
        <v>125</v>
      </c>
      <c r="AT11" s="135" t="s">
        <v>117</v>
      </c>
      <c r="AU11" s="135" t="s">
        <v>116</v>
      </c>
      <c r="AV11" s="135" t="s">
        <v>119</v>
      </c>
      <c r="AW11" s="135" t="s">
        <v>118</v>
      </c>
      <c r="AX11" s="135" t="s">
        <v>116</v>
      </c>
      <c r="AY11" s="135" t="s">
        <v>117</v>
      </c>
      <c r="AZ11" s="135" t="s">
        <v>114</v>
      </c>
      <c r="BA11" s="135" t="s">
        <v>116</v>
      </c>
      <c r="BB11" s="135" t="s">
        <v>114</v>
      </c>
      <c r="BC11" s="135" t="s">
        <v>116</v>
      </c>
      <c r="BD11" s="135" t="s">
        <v>116</v>
      </c>
      <c r="BE11" s="135" t="s">
        <v>124</v>
      </c>
      <c r="BF11" s="135" t="s">
        <v>123</v>
      </c>
      <c r="BG11" s="135" t="s">
        <v>124</v>
      </c>
      <c r="BH11" s="135" t="s">
        <v>123</v>
      </c>
      <c r="BI11" s="135" t="s">
        <v>141</v>
      </c>
      <c r="BJ11" s="135">
        <v>322</v>
      </c>
      <c r="BK11" s="135">
        <v>14.9</v>
      </c>
      <c r="BL11" s="135">
        <v>118</v>
      </c>
      <c r="BM11" s="135" t="s">
        <v>114</v>
      </c>
      <c r="BN11" s="135">
        <v>118</v>
      </c>
      <c r="BO11" s="135" t="s">
        <v>114</v>
      </c>
      <c r="BP11" s="135">
        <v>1.4721293477718448E-2</v>
      </c>
      <c r="BQ11" s="135">
        <v>1.3721698995821117E-2</v>
      </c>
      <c r="BS11" s="135">
        <v>1.7906706061420003E-4</v>
      </c>
      <c r="BT11" s="135">
        <v>6.3941889610721779E-3</v>
      </c>
      <c r="BU11" s="135">
        <v>4.9372557087019129E-3</v>
      </c>
      <c r="BV11" s="143">
        <v>1.2086536400304631</v>
      </c>
      <c r="BW11" s="135">
        <v>1.6218655684991397</v>
      </c>
      <c r="BX11" s="135">
        <f t="shared" si="9"/>
        <v>8.5328977420618693E-2</v>
      </c>
      <c r="BY11" s="135">
        <f t="shared" si="10"/>
        <v>5.6885984947079131E-2</v>
      </c>
      <c r="BZ11" s="135">
        <f t="shared" si="11"/>
        <v>3.0126876751012284</v>
      </c>
      <c r="CA11" s="135">
        <f t="shared" si="12"/>
        <v>8.5328977420618693E-2</v>
      </c>
      <c r="CB11" s="135">
        <f t="shared" si="13"/>
        <v>0</v>
      </c>
      <c r="CC11" s="135">
        <f t="shared" si="14"/>
        <v>2.8442992473539565E-2</v>
      </c>
      <c r="CD11" s="135">
        <f t="shared" si="15"/>
        <v>2.8305192085296027</v>
      </c>
      <c r="CE11" s="135">
        <f t="shared" si="16"/>
        <v>5.116322769316113E-3</v>
      </c>
      <c r="CF11" s="135">
        <f t="shared" si="17"/>
        <v>6.3941889610721779E-3</v>
      </c>
      <c r="CG11" s="135">
        <v>0.44</v>
      </c>
      <c r="CH11" s="135">
        <v>0.59</v>
      </c>
      <c r="CI11" s="135">
        <f t="shared" si="18"/>
        <v>1.3651783097524786</v>
      </c>
      <c r="CJ11" s="135">
        <f t="shared" si="19"/>
        <v>5.7284186841708676E-2</v>
      </c>
      <c r="CK11" s="135">
        <v>0</v>
      </c>
      <c r="CL11" s="135">
        <v>0.01</v>
      </c>
      <c r="CM11" s="135">
        <v>0.25</v>
      </c>
      <c r="CN11" s="135">
        <v>0.12</v>
      </c>
      <c r="CO11" s="143">
        <v>27.786947184300345</v>
      </c>
      <c r="CP11" s="135">
        <v>57.5</v>
      </c>
      <c r="CQ11" s="135" t="s">
        <v>125</v>
      </c>
      <c r="CR11" s="135">
        <f t="shared" si="20"/>
        <v>11.880590319105465</v>
      </c>
      <c r="CS11" s="135">
        <f t="shared" si="21"/>
        <v>88.119409680894535</v>
      </c>
      <c r="CT11" s="135">
        <f t="shared" si="22"/>
        <v>11.880590319105465</v>
      </c>
      <c r="CU11" s="135" t="str">
        <f t="shared" si="23"/>
        <v xml:space="preserve">surface halite 56-1 </v>
      </c>
      <c r="CV11" s="135" t="str">
        <f t="shared" si="24"/>
        <v xml:space="preserve">56-1 </v>
      </c>
      <c r="CW11" s="135">
        <f t="shared" si="25"/>
        <v>2.4524624965941872</v>
      </c>
      <c r="CX11" s="135">
        <f t="shared" si="26"/>
        <v>0.13</v>
      </c>
      <c r="CY11" s="135">
        <f t="shared" si="27"/>
        <v>85.286947184300345</v>
      </c>
      <c r="CZ11" s="135">
        <f t="shared" si="28"/>
        <v>0.25</v>
      </c>
      <c r="DA11" s="135" t="str">
        <f t="shared" si="29"/>
        <v>&lt; 0.001</v>
      </c>
      <c r="DC11" s="135">
        <f t="shared" si="30"/>
        <v>88.119409680894535</v>
      </c>
      <c r="DD11" s="135">
        <f t="shared" si="31"/>
        <v>11.880590319105465</v>
      </c>
    </row>
    <row r="12" spans="1:108" s="135" customFormat="1" ht="15" x14ac:dyDescent="0.25">
      <c r="A12" s="135">
        <v>1.1000000000000001</v>
      </c>
      <c r="B12" s="135" t="s">
        <v>23</v>
      </c>
      <c r="C12" t="s">
        <v>424</v>
      </c>
      <c r="D12" s="135" t="str">
        <f t="shared" si="0"/>
        <v xml:space="preserve">surface halite 67B-1 </v>
      </c>
      <c r="E12" s="135" t="s">
        <v>121</v>
      </c>
      <c r="F12" s="135" t="s">
        <v>120</v>
      </c>
      <c r="G12" s="135">
        <v>1</v>
      </c>
      <c r="H12" s="135">
        <v>18</v>
      </c>
      <c r="I12" s="135" t="s">
        <v>116</v>
      </c>
      <c r="J12" s="135" t="s">
        <v>116</v>
      </c>
      <c r="K12" s="135" t="s">
        <v>117</v>
      </c>
      <c r="L12" s="135" t="s">
        <v>117</v>
      </c>
      <c r="M12" s="135" t="s">
        <v>116</v>
      </c>
      <c r="N12" s="135" t="s">
        <v>116</v>
      </c>
      <c r="O12" s="135" t="s">
        <v>117</v>
      </c>
      <c r="P12" s="135" t="s">
        <v>114</v>
      </c>
      <c r="Q12" s="135" t="s">
        <v>114</v>
      </c>
      <c r="R12" s="135" t="s">
        <v>120</v>
      </c>
      <c r="S12" s="135" t="s">
        <v>117</v>
      </c>
      <c r="T12" s="135">
        <v>3.54</v>
      </c>
      <c r="U12" s="135">
        <v>3.54</v>
      </c>
      <c r="V12" s="135">
        <f t="shared" si="1"/>
        <v>8.8327760866310695E-2</v>
      </c>
      <c r="W12" s="135">
        <v>2.79</v>
      </c>
      <c r="X12" s="135">
        <f t="shared" si="2"/>
        <v>8.7008045905320269E-2</v>
      </c>
      <c r="Y12" s="135">
        <v>167</v>
      </c>
      <c r="Z12" s="135">
        <v>42.2</v>
      </c>
      <c r="AA12" s="135">
        <v>0.02</v>
      </c>
      <c r="AB12" s="135">
        <f>AA12/26.982</f>
        <v>7.4123489733896671E-4</v>
      </c>
      <c r="AC12" s="135">
        <v>0.03</v>
      </c>
      <c r="AD12" s="135">
        <f t="shared" si="32"/>
        <v>5.3720118184260007E-4</v>
      </c>
      <c r="AE12" s="135" t="s">
        <v>114</v>
      </c>
      <c r="AF12" s="135" t="s">
        <v>116</v>
      </c>
      <c r="AG12" s="135">
        <v>0.21</v>
      </c>
      <c r="AH12" s="135">
        <f t="shared" si="3"/>
        <v>5.3711187273006288E-3</v>
      </c>
      <c r="AI12" s="135" t="s">
        <v>114</v>
      </c>
      <c r="AJ12" s="135">
        <v>0.15</v>
      </c>
      <c r="AK12" s="135">
        <f t="shared" si="4"/>
        <v>6.1715696358773916E-3</v>
      </c>
      <c r="AL12" s="135" t="s">
        <v>291</v>
      </c>
      <c r="AM12" s="143">
        <f t="shared" si="5"/>
        <v>21.063411348122866</v>
      </c>
      <c r="AN12" s="143"/>
      <c r="AO12" s="143">
        <f t="shared" si="6"/>
        <v>0.91619884071869795</v>
      </c>
      <c r="AP12" s="135">
        <v>435000</v>
      </c>
      <c r="AQ12" s="135">
        <f t="shared" si="7"/>
        <v>43.5</v>
      </c>
      <c r="AR12" s="135">
        <f t="shared" si="8"/>
        <v>1.2269765605167404</v>
      </c>
      <c r="AS12" s="135">
        <v>1E-3</v>
      </c>
      <c r="AT12" s="135" t="s">
        <v>117</v>
      </c>
      <c r="AU12" s="135" t="s">
        <v>116</v>
      </c>
      <c r="AV12" s="135" t="s">
        <v>119</v>
      </c>
      <c r="AW12" s="135" t="s">
        <v>118</v>
      </c>
      <c r="AX12" s="135" t="s">
        <v>116</v>
      </c>
      <c r="AY12" s="135" t="s">
        <v>117</v>
      </c>
      <c r="AZ12" s="135" t="s">
        <v>114</v>
      </c>
      <c r="BA12" s="135" t="s">
        <v>116</v>
      </c>
      <c r="BB12" s="135" t="s">
        <v>114</v>
      </c>
      <c r="BC12" s="135" t="s">
        <v>116</v>
      </c>
      <c r="BD12" s="135" t="s">
        <v>116</v>
      </c>
      <c r="BE12" s="135" t="s">
        <v>124</v>
      </c>
      <c r="BF12" s="135" t="s">
        <v>123</v>
      </c>
      <c r="BG12" s="135" t="s">
        <v>124</v>
      </c>
      <c r="BH12" s="135" t="s">
        <v>123</v>
      </c>
      <c r="BI12" s="135" t="s">
        <v>135</v>
      </c>
      <c r="BJ12" s="135">
        <v>52.5</v>
      </c>
      <c r="BK12" s="135">
        <v>42.2</v>
      </c>
      <c r="BL12" s="135">
        <v>246</v>
      </c>
      <c r="BM12" s="135">
        <v>64</v>
      </c>
      <c r="BN12" s="135">
        <v>180</v>
      </c>
      <c r="BO12" s="135" t="s">
        <v>114</v>
      </c>
      <c r="BP12" s="135">
        <v>8.8327760866310695E-2</v>
      </c>
      <c r="BQ12" s="135">
        <v>8.7008045905320269E-2</v>
      </c>
      <c r="BR12" s="135">
        <v>7.4123489733896671E-4</v>
      </c>
      <c r="BS12" s="135">
        <v>5.3720118184260007E-4</v>
      </c>
      <c r="BT12" s="135">
        <v>5.3711187273006288E-3</v>
      </c>
      <c r="BU12" s="135">
        <v>6.1715696358773916E-3</v>
      </c>
      <c r="BV12" s="143">
        <v>0.91619884071869795</v>
      </c>
      <c r="BW12" s="135">
        <v>1.2269765605167404</v>
      </c>
      <c r="BX12" s="135">
        <f t="shared" si="9"/>
        <v>0.52823112500690983</v>
      </c>
      <c r="BY12" s="135">
        <f t="shared" si="10"/>
        <v>0.35067161354326193</v>
      </c>
      <c r="BZ12" s="135">
        <f t="shared" si="11"/>
        <v>3.2102350709995999</v>
      </c>
      <c r="CA12" s="135">
        <f t="shared" si="12"/>
        <v>0.52600742031489289</v>
      </c>
      <c r="CB12" s="135">
        <f t="shared" si="13"/>
        <v>2.2237046920169003E-3</v>
      </c>
      <c r="CC12" s="135">
        <f t="shared" si="14"/>
        <v>0.17533580677163096</v>
      </c>
      <c r="CD12" s="135">
        <f t="shared" si="15"/>
        <v>2.1431754012354385</v>
      </c>
      <c r="CE12" s="135">
        <f t="shared" si="16"/>
        <v>9.6737104070758577E-3</v>
      </c>
      <c r="CF12" s="135">
        <f t="shared" si="17"/>
        <v>5.3711187273006288E-3</v>
      </c>
      <c r="CG12" s="135">
        <v>2.79</v>
      </c>
      <c r="CH12" s="135">
        <v>3.54</v>
      </c>
      <c r="CI12" s="135">
        <f t="shared" si="18"/>
        <v>8.4511697689855509</v>
      </c>
      <c r="CJ12" s="135">
        <f t="shared" si="19"/>
        <v>0.35312631483806473</v>
      </c>
      <c r="CK12" s="135">
        <v>0.02</v>
      </c>
      <c r="CL12" s="135">
        <v>0.03</v>
      </c>
      <c r="CM12" s="135">
        <v>0.21</v>
      </c>
      <c r="CN12" s="135">
        <v>0.15</v>
      </c>
      <c r="CO12" s="143">
        <v>21.063411348122866</v>
      </c>
      <c r="CP12" s="135">
        <v>43.5</v>
      </c>
      <c r="CQ12" s="135">
        <v>1E-3</v>
      </c>
      <c r="CR12" s="135">
        <f t="shared" si="20"/>
        <v>19.891292568053515</v>
      </c>
      <c r="CS12" s="135">
        <f t="shared" si="21"/>
        <v>80.108707431946485</v>
      </c>
      <c r="CT12" s="135">
        <f t="shared" si="22"/>
        <v>19.891292568053515</v>
      </c>
      <c r="CU12" s="135" t="str">
        <f t="shared" si="23"/>
        <v xml:space="preserve">surface halite 67B-1 </v>
      </c>
      <c r="CV12" s="135" t="str">
        <f t="shared" si="24"/>
        <v xml:space="preserve">67B-1 </v>
      </c>
      <c r="CW12" s="135">
        <f t="shared" si="25"/>
        <v>15.134296083823616</v>
      </c>
      <c r="CX12" s="135">
        <f t="shared" si="26"/>
        <v>0.19999999999999998</v>
      </c>
      <c r="CY12" s="135">
        <f t="shared" si="27"/>
        <v>64.56341134812287</v>
      </c>
      <c r="CZ12" s="135">
        <f t="shared" si="28"/>
        <v>0.21</v>
      </c>
      <c r="DA12" s="135">
        <f t="shared" si="29"/>
        <v>1E-3</v>
      </c>
      <c r="DC12" s="135">
        <f t="shared" si="30"/>
        <v>80.108707431946485</v>
      </c>
      <c r="DD12" s="135">
        <f t="shared" si="31"/>
        <v>19.891292568053515</v>
      </c>
    </row>
    <row r="13" spans="1:108" s="135" customFormat="1" ht="15" x14ac:dyDescent="0.25">
      <c r="A13" s="135">
        <v>1.1000000000000001</v>
      </c>
      <c r="B13" s="135" t="s">
        <v>23</v>
      </c>
      <c r="C13" t="s">
        <v>425</v>
      </c>
      <c r="D13" s="135" t="str">
        <f t="shared" si="0"/>
        <v xml:space="preserve">surface halite 46-1 </v>
      </c>
      <c r="E13" s="135" t="s">
        <v>121</v>
      </c>
      <c r="F13" s="135" t="s">
        <v>120</v>
      </c>
      <c r="G13" s="135" t="s">
        <v>116</v>
      </c>
      <c r="H13" s="135">
        <v>17</v>
      </c>
      <c r="I13" s="135" t="s">
        <v>116</v>
      </c>
      <c r="J13" s="135" t="s">
        <v>116</v>
      </c>
      <c r="K13" s="135" t="s">
        <v>117</v>
      </c>
      <c r="L13" s="135">
        <v>351</v>
      </c>
      <c r="M13" s="135" t="s">
        <v>116</v>
      </c>
      <c r="N13" s="135" t="s">
        <v>116</v>
      </c>
      <c r="O13" s="135" t="s">
        <v>117</v>
      </c>
      <c r="P13" s="135" t="s">
        <v>114</v>
      </c>
      <c r="Q13" s="135" t="s">
        <v>114</v>
      </c>
      <c r="R13" s="135" t="s">
        <v>120</v>
      </c>
      <c r="S13" s="135" t="s">
        <v>117</v>
      </c>
      <c r="T13" s="135">
        <v>1.31</v>
      </c>
      <c r="U13" s="135">
        <v>1.31</v>
      </c>
      <c r="V13" s="135">
        <f t="shared" si="1"/>
        <v>3.2686261789510451E-2</v>
      </c>
      <c r="W13" s="135">
        <v>0.8</v>
      </c>
      <c r="X13" s="135">
        <f t="shared" si="2"/>
        <v>2.4948543628765672E-2</v>
      </c>
      <c r="Y13" s="135">
        <v>83</v>
      </c>
      <c r="Z13" s="135">
        <v>27.5</v>
      </c>
      <c r="AA13" s="135">
        <v>0.03</v>
      </c>
      <c r="AB13" s="135">
        <f>AA13/26.982</f>
        <v>1.1118523460084502E-3</v>
      </c>
      <c r="AC13" s="135">
        <v>0.03</v>
      </c>
      <c r="AD13" s="135">
        <f t="shared" si="32"/>
        <v>5.3720118184260007E-4</v>
      </c>
      <c r="AE13" s="135" t="s">
        <v>114</v>
      </c>
      <c r="AF13" s="135" t="s">
        <v>116</v>
      </c>
      <c r="AG13" s="135">
        <v>0.11</v>
      </c>
      <c r="AH13" s="135">
        <f t="shared" si="3"/>
        <v>2.8134431428717584E-3</v>
      </c>
      <c r="AI13" s="135" t="s">
        <v>114</v>
      </c>
      <c r="AJ13" s="135">
        <v>0.08</v>
      </c>
      <c r="AK13" s="135">
        <f t="shared" si="4"/>
        <v>3.2915038058012754E-3</v>
      </c>
      <c r="AL13" s="135" t="s">
        <v>292</v>
      </c>
      <c r="AM13" s="143">
        <f t="shared" si="5"/>
        <v>28.315224999999995</v>
      </c>
      <c r="AN13" s="143"/>
      <c r="AO13" s="143">
        <f t="shared" si="6"/>
        <v>1.2316322314049586</v>
      </c>
      <c r="AP13" s="135">
        <v>586000</v>
      </c>
      <c r="AQ13" s="135">
        <f t="shared" si="7"/>
        <v>58.6</v>
      </c>
      <c r="AR13" s="135">
        <f t="shared" si="8"/>
        <v>1.6528925619834709</v>
      </c>
      <c r="AS13" s="135" t="s">
        <v>125</v>
      </c>
      <c r="AT13" s="135" t="s">
        <v>117</v>
      </c>
      <c r="AU13" s="135" t="s">
        <v>116</v>
      </c>
      <c r="AV13" s="135" t="s">
        <v>119</v>
      </c>
      <c r="AW13" s="135" t="s">
        <v>118</v>
      </c>
      <c r="AX13" s="135" t="s">
        <v>116</v>
      </c>
      <c r="AY13" s="135" t="s">
        <v>117</v>
      </c>
      <c r="AZ13" s="135" t="s">
        <v>114</v>
      </c>
      <c r="BA13" s="135" t="s">
        <v>116</v>
      </c>
      <c r="BB13" s="135" t="s">
        <v>114</v>
      </c>
      <c r="BC13" s="135" t="s">
        <v>116</v>
      </c>
      <c r="BD13" s="135" t="s">
        <v>116</v>
      </c>
      <c r="BE13" s="135" t="s">
        <v>124</v>
      </c>
      <c r="BF13" s="135" t="s">
        <v>123</v>
      </c>
      <c r="BG13" s="135" t="s">
        <v>124</v>
      </c>
      <c r="BH13" s="135" t="s">
        <v>123</v>
      </c>
      <c r="BI13" s="135" t="s">
        <v>129</v>
      </c>
      <c r="BJ13" s="135" t="s">
        <v>124</v>
      </c>
      <c r="BK13" s="135">
        <v>27.5</v>
      </c>
      <c r="BL13" s="135">
        <v>154</v>
      </c>
      <c r="BM13" s="135" t="s">
        <v>114</v>
      </c>
      <c r="BN13" s="135">
        <v>154</v>
      </c>
      <c r="BO13" s="135" t="s">
        <v>114</v>
      </c>
      <c r="BP13" s="135">
        <v>3.2686261789510451E-2</v>
      </c>
      <c r="BQ13" s="135">
        <v>2.4948543628765672E-2</v>
      </c>
      <c r="BR13" s="135">
        <v>1.1118523460084502E-3</v>
      </c>
      <c r="BS13" s="135">
        <v>5.3720118184260007E-4</v>
      </c>
      <c r="BT13" s="135">
        <v>2.8134431428717584E-3</v>
      </c>
      <c r="BU13" s="135">
        <v>3.2915038058012754E-3</v>
      </c>
      <c r="BV13" s="143">
        <v>1.2316322314049586</v>
      </c>
      <c r="BW13" s="135">
        <v>1.6528925619834709</v>
      </c>
      <c r="BX13" s="135">
        <f t="shared" si="9"/>
        <v>0.17623997329285371</v>
      </c>
      <c r="BY13" s="135">
        <f t="shared" si="10"/>
        <v>0.11526961083655224</v>
      </c>
      <c r="BZ13" s="135">
        <f t="shared" si="11"/>
        <v>3.2414231834126355</v>
      </c>
      <c r="CA13" s="135">
        <f t="shared" si="12"/>
        <v>0.17290441625482836</v>
      </c>
      <c r="CB13" s="135">
        <f t="shared" si="13"/>
        <v>3.3355570380253505E-3</v>
      </c>
      <c r="CC13" s="135">
        <f t="shared" si="14"/>
        <v>5.7634805418276119E-2</v>
      </c>
      <c r="CD13" s="135">
        <f t="shared" si="15"/>
        <v>2.8845247933884295</v>
      </c>
      <c r="CE13" s="135">
        <f t="shared" si="16"/>
        <v>8.2761143716776758E-3</v>
      </c>
      <c r="CF13" s="135">
        <f t="shared" si="17"/>
        <v>2.8134431428717584E-3</v>
      </c>
      <c r="CG13" s="135">
        <v>0.8</v>
      </c>
      <c r="CH13" s="135">
        <v>1.31</v>
      </c>
      <c r="CI13" s="135">
        <f t="shared" si="18"/>
        <v>2.8196633327123664</v>
      </c>
      <c r="CJ13" s="135">
        <f t="shared" si="19"/>
        <v>0.1160764981124081</v>
      </c>
      <c r="CK13" s="135">
        <v>0.03</v>
      </c>
      <c r="CL13" s="135">
        <v>0.03</v>
      </c>
      <c r="CM13" s="135">
        <v>0.11</v>
      </c>
      <c r="CN13" s="135">
        <v>0.08</v>
      </c>
      <c r="CO13" s="143">
        <v>28.315224999999995</v>
      </c>
      <c r="CP13" s="135">
        <v>58.6</v>
      </c>
      <c r="CQ13" s="135" t="s">
        <v>125</v>
      </c>
      <c r="CR13" s="135">
        <f t="shared" si="20"/>
        <v>7.7890351691752358</v>
      </c>
      <c r="CS13" s="135">
        <f t="shared" si="21"/>
        <v>92.210964830824764</v>
      </c>
      <c r="CT13" s="135">
        <f t="shared" si="22"/>
        <v>7.7890351691752358</v>
      </c>
      <c r="CU13" s="135" t="str">
        <f t="shared" si="23"/>
        <v xml:space="preserve">surface halite 46-1 </v>
      </c>
      <c r="CV13" s="135" t="str">
        <f t="shared" si="24"/>
        <v xml:space="preserve">46-1 </v>
      </c>
      <c r="CW13" s="135">
        <f t="shared" si="25"/>
        <v>5.0457398308247745</v>
      </c>
      <c r="CX13" s="135">
        <f t="shared" si="26"/>
        <v>0.14000000000000001</v>
      </c>
      <c r="CY13" s="135">
        <f t="shared" si="27"/>
        <v>86.915224999999992</v>
      </c>
      <c r="CZ13" s="135">
        <f t="shared" si="28"/>
        <v>0.11</v>
      </c>
      <c r="DA13" s="135" t="str">
        <f t="shared" si="29"/>
        <v>&lt; 0.001</v>
      </c>
      <c r="DC13" s="135">
        <f t="shared" si="30"/>
        <v>92.210964830824764</v>
      </c>
      <c r="DD13" s="135">
        <f t="shared" si="31"/>
        <v>7.7890351691752358</v>
      </c>
    </row>
    <row r="14" spans="1:108" s="135" customFormat="1" ht="15" x14ac:dyDescent="0.25">
      <c r="A14" s="135">
        <v>1.1000000000000001</v>
      </c>
      <c r="B14" s="135" t="s">
        <v>23</v>
      </c>
      <c r="C14" t="s">
        <v>426</v>
      </c>
      <c r="D14" s="135" t="str">
        <f t="shared" si="0"/>
        <v xml:space="preserve">surface halite 41-1 </v>
      </c>
      <c r="E14" s="135" t="s">
        <v>121</v>
      </c>
      <c r="F14" s="135" t="s">
        <v>120</v>
      </c>
      <c r="G14" s="135" t="s">
        <v>116</v>
      </c>
      <c r="H14" s="135" t="s">
        <v>115</v>
      </c>
      <c r="I14" s="135" t="s">
        <v>116</v>
      </c>
      <c r="J14" s="135" t="s">
        <v>116</v>
      </c>
      <c r="K14" s="135" t="s">
        <v>117</v>
      </c>
      <c r="L14" s="135" t="s">
        <v>117</v>
      </c>
      <c r="M14" s="135" t="s">
        <v>116</v>
      </c>
      <c r="N14" s="135" t="s">
        <v>116</v>
      </c>
      <c r="O14" s="135" t="s">
        <v>117</v>
      </c>
      <c r="P14" s="135" t="s">
        <v>114</v>
      </c>
      <c r="Q14" s="135" t="s">
        <v>114</v>
      </c>
      <c r="R14" s="135" t="s">
        <v>120</v>
      </c>
      <c r="S14" s="135" t="s">
        <v>117</v>
      </c>
      <c r="T14" s="135">
        <v>1.31</v>
      </c>
      <c r="U14" s="135">
        <v>1.31</v>
      </c>
      <c r="V14" s="135">
        <f t="shared" si="1"/>
        <v>3.2686261789510451E-2</v>
      </c>
      <c r="W14" s="135">
        <v>0.86</v>
      </c>
      <c r="X14" s="135">
        <f t="shared" si="2"/>
        <v>2.6819684400923093E-2</v>
      </c>
      <c r="Y14" s="135">
        <v>85</v>
      </c>
      <c r="Z14" s="135">
        <v>27.8</v>
      </c>
      <c r="AA14" s="135" t="s">
        <v>119</v>
      </c>
      <c r="AC14" s="135">
        <v>0.02</v>
      </c>
      <c r="AD14" s="135">
        <f t="shared" si="32"/>
        <v>3.5813412122840006E-4</v>
      </c>
      <c r="AE14" s="135" t="s">
        <v>114</v>
      </c>
      <c r="AF14" s="135" t="s">
        <v>116</v>
      </c>
      <c r="AG14" s="135">
        <v>0.16</v>
      </c>
      <c r="AH14" s="135">
        <f t="shared" si="3"/>
        <v>4.0922809350861936E-3</v>
      </c>
      <c r="AI14" s="135" t="s">
        <v>114</v>
      </c>
      <c r="AJ14" s="135">
        <v>0.1</v>
      </c>
      <c r="AK14" s="135">
        <f t="shared" si="4"/>
        <v>4.1143797572515944E-3</v>
      </c>
      <c r="AL14" s="135" t="s">
        <v>293</v>
      </c>
      <c r="AM14" s="143">
        <f t="shared" si="5"/>
        <v>27.354719880546075</v>
      </c>
      <c r="AN14" s="143"/>
      <c r="AO14" s="143">
        <f t="shared" si="6"/>
        <v>1.1898529743604209</v>
      </c>
      <c r="AP14" s="135">
        <v>566000</v>
      </c>
      <c r="AQ14" s="135">
        <f t="shared" si="7"/>
        <v>56.6</v>
      </c>
      <c r="AR14" s="135">
        <f t="shared" si="8"/>
        <v>1.5964798465574139</v>
      </c>
      <c r="AS14" s="135" t="s">
        <v>125</v>
      </c>
      <c r="AT14" s="135" t="s">
        <v>117</v>
      </c>
      <c r="AU14" s="135" t="s">
        <v>116</v>
      </c>
      <c r="AV14" s="135" t="s">
        <v>119</v>
      </c>
      <c r="AW14" s="135" t="s">
        <v>118</v>
      </c>
      <c r="AX14" s="135" t="s">
        <v>116</v>
      </c>
      <c r="AY14" s="135" t="s">
        <v>117</v>
      </c>
      <c r="AZ14" s="135" t="s">
        <v>114</v>
      </c>
      <c r="BA14" s="135" t="s">
        <v>116</v>
      </c>
      <c r="BB14" s="135" t="s">
        <v>114</v>
      </c>
      <c r="BC14" s="135" t="s">
        <v>116</v>
      </c>
      <c r="BD14" s="135" t="s">
        <v>116</v>
      </c>
      <c r="BE14" s="135" t="s">
        <v>124</v>
      </c>
      <c r="BF14" s="135" t="s">
        <v>123</v>
      </c>
      <c r="BG14" s="135" t="s">
        <v>124</v>
      </c>
      <c r="BH14" s="135" t="s">
        <v>123</v>
      </c>
      <c r="BI14" s="135" t="s">
        <v>127</v>
      </c>
      <c r="BJ14" s="135" t="s">
        <v>124</v>
      </c>
      <c r="BK14" s="135">
        <v>27.8</v>
      </c>
      <c r="BL14" s="135">
        <v>203</v>
      </c>
      <c r="BM14" s="135" t="s">
        <v>114</v>
      </c>
      <c r="BN14" s="135">
        <v>203</v>
      </c>
      <c r="BO14" s="135" t="s">
        <v>114</v>
      </c>
      <c r="BP14" s="135">
        <v>3.2686261789510451E-2</v>
      </c>
      <c r="BQ14" s="135">
        <v>2.6819684400923093E-2</v>
      </c>
      <c r="BS14" s="135">
        <v>3.5813412122840006E-4</v>
      </c>
      <c r="BT14" s="135">
        <v>4.0922809350861936E-3</v>
      </c>
      <c r="BU14" s="135">
        <v>4.1143797572515944E-3</v>
      </c>
      <c r="BV14" s="143">
        <v>1.1898529743604209</v>
      </c>
      <c r="BW14" s="135">
        <v>1.5964798465574139</v>
      </c>
      <c r="BX14" s="135">
        <f t="shared" si="9"/>
        <v>0.17851783857130066</v>
      </c>
      <c r="BY14" s="135">
        <f t="shared" si="10"/>
        <v>0.1190118923808671</v>
      </c>
      <c r="BZ14" s="135">
        <f t="shared" si="11"/>
        <v>3.1519332928740025</v>
      </c>
      <c r="CA14" s="135">
        <f t="shared" si="12"/>
        <v>0.17851783857130066</v>
      </c>
      <c r="CB14" s="135">
        <f t="shared" si="13"/>
        <v>0</v>
      </c>
      <c r="CC14" s="135">
        <f t="shared" si="14"/>
        <v>5.9505946190433548E-2</v>
      </c>
      <c r="CD14" s="135">
        <f t="shared" si="15"/>
        <v>2.7863328209178349</v>
      </c>
      <c r="CE14" s="135">
        <f t="shared" si="16"/>
        <v>4.4725138784799945E-3</v>
      </c>
      <c r="CF14" s="135">
        <f t="shared" si="17"/>
        <v>4.0922809350861936E-3</v>
      </c>
      <c r="CG14" s="135">
        <v>0.86</v>
      </c>
      <c r="CH14" s="135">
        <v>1.31</v>
      </c>
      <c r="CI14" s="135">
        <f t="shared" si="18"/>
        <v>2.8561068993022394</v>
      </c>
      <c r="CJ14" s="135">
        <f t="shared" si="19"/>
        <v>0.11984497562753316</v>
      </c>
      <c r="CK14" s="135">
        <v>0</v>
      </c>
      <c r="CL14" s="135">
        <v>0.02</v>
      </c>
      <c r="CM14" s="135">
        <v>0.16</v>
      </c>
      <c r="CN14" s="135">
        <v>0.1</v>
      </c>
      <c r="CO14" s="143">
        <v>27.354719880546075</v>
      </c>
      <c r="CP14" s="135">
        <v>56.6</v>
      </c>
      <c r="CQ14" s="135" t="s">
        <v>125</v>
      </c>
      <c r="CR14" s="135">
        <f t="shared" si="20"/>
        <v>10.619328244524155</v>
      </c>
      <c r="CS14" s="135">
        <f t="shared" si="21"/>
        <v>89.380671755475845</v>
      </c>
      <c r="CT14" s="135">
        <f t="shared" si="22"/>
        <v>10.619328244524155</v>
      </c>
      <c r="CU14" s="135" t="str">
        <f t="shared" si="23"/>
        <v xml:space="preserve">surface halite 41-1 </v>
      </c>
      <c r="CV14" s="135" t="str">
        <f t="shared" si="24"/>
        <v xml:space="preserve">41-1 </v>
      </c>
      <c r="CW14" s="135">
        <f t="shared" si="25"/>
        <v>5.1459518749297724</v>
      </c>
      <c r="CX14" s="135">
        <f t="shared" si="26"/>
        <v>0.12000000000000001</v>
      </c>
      <c r="CY14" s="135">
        <f t="shared" si="27"/>
        <v>83.954719880546079</v>
      </c>
      <c r="CZ14" s="135">
        <f t="shared" si="28"/>
        <v>0.16</v>
      </c>
      <c r="DA14" s="135" t="str">
        <f t="shared" si="29"/>
        <v>&lt; 0.001</v>
      </c>
      <c r="DC14" s="135">
        <f t="shared" si="30"/>
        <v>89.380671755475845</v>
      </c>
      <c r="DD14" s="135">
        <f t="shared" si="31"/>
        <v>10.619328244524155</v>
      </c>
    </row>
    <row r="15" spans="1:108" s="135" customFormat="1" ht="15.75" customHeight="1" x14ac:dyDescent="0.2">
      <c r="A15" s="135">
        <v>2</v>
      </c>
      <c r="B15" s="135" t="s">
        <v>353</v>
      </c>
      <c r="C15" t="s">
        <v>427</v>
      </c>
      <c r="D15" s="135" t="str">
        <f t="shared" si="0"/>
        <v xml:space="preserve">upper gypsum 29-2 </v>
      </c>
      <c r="E15" s="135" t="s">
        <v>121</v>
      </c>
      <c r="F15" s="135" t="s">
        <v>120</v>
      </c>
      <c r="G15" s="135">
        <v>3</v>
      </c>
      <c r="H15" s="135">
        <v>30</v>
      </c>
      <c r="I15" s="135" t="s">
        <v>116</v>
      </c>
      <c r="J15" s="135" t="s">
        <v>116</v>
      </c>
      <c r="K15" s="135" t="s">
        <v>117</v>
      </c>
      <c r="L15" s="135">
        <v>3</v>
      </c>
      <c r="M15" s="135" t="s">
        <v>116</v>
      </c>
      <c r="N15" s="135">
        <v>1</v>
      </c>
      <c r="O15" s="135">
        <v>2</v>
      </c>
      <c r="P15" s="135" t="s">
        <v>114</v>
      </c>
      <c r="Q15" s="135">
        <v>27</v>
      </c>
      <c r="R15" s="135" t="s">
        <v>120</v>
      </c>
      <c r="S15" s="135" t="s">
        <v>117</v>
      </c>
      <c r="T15" s="135">
        <v>8.36</v>
      </c>
      <c r="U15" s="135">
        <v>8.36</v>
      </c>
      <c r="V15" s="135">
        <f t="shared" si="1"/>
        <v>0.20859324317580716</v>
      </c>
      <c r="W15" s="135">
        <v>6.88</v>
      </c>
      <c r="X15" s="135">
        <f t="shared" si="2"/>
        <v>0.21455747520738475</v>
      </c>
      <c r="Y15" s="135">
        <v>398</v>
      </c>
      <c r="Z15" s="135">
        <v>24.1</v>
      </c>
      <c r="AA15" s="135">
        <v>0.12</v>
      </c>
      <c r="AB15" s="135">
        <f t="shared" ref="AB15:AB24" si="33">AA15/26.982</f>
        <v>4.4474093840338007E-3</v>
      </c>
      <c r="AC15" s="135">
        <v>0.11</v>
      </c>
      <c r="AD15" s="135">
        <f t="shared" si="32"/>
        <v>1.9697376667562002E-3</v>
      </c>
      <c r="AE15" s="135" t="s">
        <v>114</v>
      </c>
      <c r="AF15" s="135" t="s">
        <v>116</v>
      </c>
      <c r="AG15" s="135">
        <v>0.19</v>
      </c>
      <c r="AH15" s="135">
        <f t="shared" si="3"/>
        <v>4.8595836104148547E-3</v>
      </c>
      <c r="AI15" s="135" t="s">
        <v>114</v>
      </c>
      <c r="AJ15" s="135">
        <v>0.3</v>
      </c>
      <c r="AK15" s="135">
        <f t="shared" si="4"/>
        <v>1.2343139271754783E-2</v>
      </c>
      <c r="AL15" s="135" t="s">
        <v>295</v>
      </c>
      <c r="AM15" s="135">
        <v>3.04</v>
      </c>
      <c r="AN15" s="135">
        <f>AM15/22.99</f>
        <v>0.13223140495867769</v>
      </c>
      <c r="AO15" s="135">
        <v>0.13223140495867769</v>
      </c>
      <c r="AP15" s="135">
        <v>57200</v>
      </c>
      <c r="AQ15" s="135">
        <f t="shared" si="7"/>
        <v>5.7200000000000006</v>
      </c>
      <c r="AR15" s="135">
        <f t="shared" si="8"/>
        <v>0.16134036611852312</v>
      </c>
      <c r="AS15" s="135">
        <v>6.0000000000000001E-3</v>
      </c>
      <c r="AT15" s="135" t="s">
        <v>117</v>
      </c>
      <c r="AU15" s="135" t="s">
        <v>116</v>
      </c>
      <c r="AV15" s="135" t="s">
        <v>119</v>
      </c>
      <c r="AW15" s="135" t="s">
        <v>118</v>
      </c>
      <c r="AX15" s="135" t="s">
        <v>116</v>
      </c>
      <c r="AY15" s="135" t="s">
        <v>117</v>
      </c>
      <c r="AZ15" s="135" t="s">
        <v>114</v>
      </c>
      <c r="BA15" s="135">
        <v>2</v>
      </c>
      <c r="BB15" s="135" t="s">
        <v>114</v>
      </c>
      <c r="BC15" s="135" t="s">
        <v>116</v>
      </c>
      <c r="BD15" s="135">
        <v>1</v>
      </c>
      <c r="BE15" s="135" t="s">
        <v>114</v>
      </c>
      <c r="BF15" s="135" t="s">
        <v>133</v>
      </c>
      <c r="BG15" s="135" t="s">
        <v>114</v>
      </c>
      <c r="BH15" s="135" t="s">
        <v>118</v>
      </c>
      <c r="BI15" s="135" t="s">
        <v>153</v>
      </c>
      <c r="BJ15" s="135" t="s">
        <v>114</v>
      </c>
      <c r="BK15" s="135">
        <v>24.1</v>
      </c>
      <c r="BL15" s="135">
        <v>138</v>
      </c>
      <c r="BM15" s="135">
        <v>13</v>
      </c>
      <c r="BN15" s="135">
        <v>125</v>
      </c>
      <c r="BO15" s="135" t="s">
        <v>114</v>
      </c>
      <c r="BP15" s="135">
        <v>0.20859324317580716</v>
      </c>
      <c r="BQ15" s="135">
        <v>0.21455747520738475</v>
      </c>
      <c r="BR15" s="135">
        <v>4.4474093840338007E-3</v>
      </c>
      <c r="BS15" s="135">
        <v>1.9697376667562002E-3</v>
      </c>
      <c r="BT15" s="135">
        <v>4.8595836104148547E-3</v>
      </c>
      <c r="BU15" s="135">
        <v>1.2343139271754783E-2</v>
      </c>
      <c r="BV15" s="135">
        <v>0.13223140495867769</v>
      </c>
      <c r="BW15" s="135">
        <v>0.16134036611852312</v>
      </c>
      <c r="BX15" s="135">
        <f t="shared" si="9"/>
        <v>1.2827943833016771</v>
      </c>
      <c r="BY15" s="135">
        <f t="shared" si="10"/>
        <v>0.84630143676638381</v>
      </c>
      <c r="BZ15" s="135">
        <f t="shared" si="11"/>
        <v>2.869438179461413</v>
      </c>
      <c r="CA15" s="135">
        <f t="shared" si="12"/>
        <v>1.2694521551495757</v>
      </c>
      <c r="CB15" s="135">
        <f t="shared" si="13"/>
        <v>1.3342228152101402E-2</v>
      </c>
      <c r="CC15" s="135">
        <f t="shared" si="14"/>
        <v>0.4231507183831919</v>
      </c>
      <c r="CD15" s="135">
        <f t="shared" si="15"/>
        <v>0.29357177107720078</v>
      </c>
      <c r="CE15" s="135">
        <f t="shared" si="16"/>
        <v>3.2102514474646182E-2</v>
      </c>
      <c r="CF15" s="135">
        <f t="shared" si="17"/>
        <v>4.8595836104148547E-3</v>
      </c>
      <c r="CG15" s="135">
        <v>6.88</v>
      </c>
      <c r="CH15" s="135">
        <v>8.36</v>
      </c>
      <c r="CI15" s="135">
        <f t="shared" si="18"/>
        <v>20.523427338443533</v>
      </c>
      <c r="CJ15" s="135">
        <f t="shared" si="19"/>
        <v>0.8522255468237484</v>
      </c>
      <c r="CK15" s="135">
        <v>0.12</v>
      </c>
      <c r="CL15" s="135">
        <v>0.11</v>
      </c>
      <c r="CM15" s="135">
        <v>0.19</v>
      </c>
      <c r="CN15" s="135">
        <v>0.3</v>
      </c>
      <c r="CO15" s="135">
        <v>3.04</v>
      </c>
      <c r="CP15" s="135">
        <v>5.7200000000000006</v>
      </c>
      <c r="CQ15" s="135">
        <v>6.0000000000000001E-3</v>
      </c>
      <c r="CR15" s="135">
        <f t="shared" si="20"/>
        <v>53.898347114732729</v>
      </c>
      <c r="CS15" s="135">
        <f t="shared" si="21"/>
        <v>46.101652885267271</v>
      </c>
      <c r="CT15" s="135">
        <f t="shared" si="22"/>
        <v>53.898347114732729</v>
      </c>
      <c r="CU15" s="135" t="str">
        <f t="shared" si="23"/>
        <v xml:space="preserve">upper gypsum 29-2 </v>
      </c>
      <c r="CV15" s="135" t="str">
        <f t="shared" si="24"/>
        <v xml:space="preserve">29-2 </v>
      </c>
      <c r="CW15" s="135">
        <f t="shared" si="25"/>
        <v>36.615652885267281</v>
      </c>
      <c r="CX15" s="135">
        <f t="shared" si="26"/>
        <v>0.53</v>
      </c>
      <c r="CY15" s="135">
        <f t="shared" si="27"/>
        <v>8.7600000000000016</v>
      </c>
      <c r="CZ15" s="135">
        <f t="shared" si="28"/>
        <v>0.19</v>
      </c>
      <c r="DA15" s="135">
        <f t="shared" si="29"/>
        <v>6.0000000000000001E-3</v>
      </c>
      <c r="DC15" s="135">
        <f t="shared" si="30"/>
        <v>46.101652885267285</v>
      </c>
      <c r="DD15" s="135">
        <f t="shared" si="31"/>
        <v>53.898347114732715</v>
      </c>
    </row>
    <row r="16" spans="1:108" s="135" customFormat="1" ht="15" customHeight="1" x14ac:dyDescent="0.2">
      <c r="A16" s="135">
        <v>2</v>
      </c>
      <c r="B16" s="135" t="s">
        <v>353</v>
      </c>
      <c r="C16" t="s">
        <v>428</v>
      </c>
      <c r="D16" s="135" t="str">
        <f t="shared" si="0"/>
        <v xml:space="preserve">upper gypsum 12B-2 </v>
      </c>
      <c r="E16" s="135" t="s">
        <v>121</v>
      </c>
      <c r="F16" s="135" t="s">
        <v>120</v>
      </c>
      <c r="G16" s="135">
        <v>3</v>
      </c>
      <c r="H16" s="135">
        <v>44</v>
      </c>
      <c r="I16" s="135" t="s">
        <v>116</v>
      </c>
      <c r="J16" s="135" t="s">
        <v>116</v>
      </c>
      <c r="K16" s="135" t="s">
        <v>117</v>
      </c>
      <c r="L16" s="135">
        <v>537</v>
      </c>
      <c r="M16" s="135" t="s">
        <v>116</v>
      </c>
      <c r="N16" s="135">
        <v>1</v>
      </c>
      <c r="O16" s="135">
        <v>2</v>
      </c>
      <c r="P16" s="135" t="s">
        <v>114</v>
      </c>
      <c r="Q16" s="135">
        <v>22</v>
      </c>
      <c r="R16" s="135" t="s">
        <v>120</v>
      </c>
      <c r="S16" s="135" t="s">
        <v>117</v>
      </c>
      <c r="T16" s="135">
        <v>8.7200000000000006</v>
      </c>
      <c r="U16" s="135">
        <v>8.7200000000000006</v>
      </c>
      <c r="V16" s="135">
        <f t="shared" si="1"/>
        <v>0.21757572733170319</v>
      </c>
      <c r="W16" s="135">
        <v>7.47</v>
      </c>
      <c r="X16" s="135">
        <f t="shared" si="2"/>
        <v>0.23295702613359942</v>
      </c>
      <c r="Y16" s="135">
        <v>344</v>
      </c>
      <c r="Z16" s="135">
        <v>26.2</v>
      </c>
      <c r="AA16" s="135">
        <v>0.11</v>
      </c>
      <c r="AB16" s="135">
        <f t="shared" si="33"/>
        <v>4.076791935364317E-3</v>
      </c>
      <c r="AC16" s="135">
        <v>0.1</v>
      </c>
      <c r="AD16" s="135">
        <f t="shared" si="32"/>
        <v>1.7906706061420004E-3</v>
      </c>
      <c r="AE16" s="135" t="s">
        <v>114</v>
      </c>
      <c r="AF16" s="135" t="s">
        <v>116</v>
      </c>
      <c r="AG16" s="135">
        <v>0.18</v>
      </c>
      <c r="AH16" s="135">
        <f t="shared" si="3"/>
        <v>4.6038160519719677E-3</v>
      </c>
      <c r="AI16" s="135" t="s">
        <v>114</v>
      </c>
      <c r="AJ16" s="135">
        <v>0.28000000000000003</v>
      </c>
      <c r="AK16" s="135">
        <f t="shared" si="4"/>
        <v>1.1520263320304465E-2</v>
      </c>
      <c r="AL16" s="135" t="s">
        <v>296</v>
      </c>
      <c r="AM16" s="135">
        <v>3.19</v>
      </c>
      <c r="AN16" s="135">
        <f>AM16/22.99</f>
        <v>0.13875598086124402</v>
      </c>
      <c r="AO16" s="135">
        <v>0.13875598086124402</v>
      </c>
      <c r="AP16" s="135">
        <v>65700</v>
      </c>
      <c r="AQ16" s="135">
        <f t="shared" si="7"/>
        <v>6.57</v>
      </c>
      <c r="AR16" s="135">
        <f t="shared" si="8"/>
        <v>0.18531577017459736</v>
      </c>
      <c r="AS16" s="135">
        <v>6.0000000000000001E-3</v>
      </c>
      <c r="AT16" s="135" t="s">
        <v>117</v>
      </c>
      <c r="AU16" s="135" t="s">
        <v>116</v>
      </c>
      <c r="AV16" s="135" t="s">
        <v>119</v>
      </c>
      <c r="AW16" s="135" t="s">
        <v>118</v>
      </c>
      <c r="AX16" s="135" t="s">
        <v>116</v>
      </c>
      <c r="AY16" s="135" t="s">
        <v>117</v>
      </c>
      <c r="AZ16" s="135" t="s">
        <v>114</v>
      </c>
      <c r="BA16" s="135">
        <v>2</v>
      </c>
      <c r="BB16" s="135" t="s">
        <v>114</v>
      </c>
      <c r="BC16" s="135" t="s">
        <v>116</v>
      </c>
      <c r="BD16" s="135">
        <v>1</v>
      </c>
      <c r="BE16" s="135" t="s">
        <v>114</v>
      </c>
      <c r="BF16" s="135" t="s">
        <v>133</v>
      </c>
      <c r="BG16" s="135" t="s">
        <v>114</v>
      </c>
      <c r="BH16" s="135" t="s">
        <v>118</v>
      </c>
      <c r="BI16" s="135" t="s">
        <v>150</v>
      </c>
      <c r="BJ16" s="135" t="s">
        <v>114</v>
      </c>
      <c r="BK16" s="135">
        <v>26.2</v>
      </c>
      <c r="BL16" s="135">
        <v>159</v>
      </c>
      <c r="BM16" s="135">
        <v>67</v>
      </c>
      <c r="BN16" s="135">
        <v>92</v>
      </c>
      <c r="BO16" s="135" t="s">
        <v>114</v>
      </c>
      <c r="BP16" s="135">
        <v>0.21757572733170319</v>
      </c>
      <c r="BQ16" s="135">
        <v>0.23295702613359942</v>
      </c>
      <c r="BR16" s="135">
        <v>4.076791935364317E-3</v>
      </c>
      <c r="BS16" s="135">
        <v>1.7906706061420004E-3</v>
      </c>
      <c r="BT16" s="135">
        <v>4.6038160519719677E-3</v>
      </c>
      <c r="BU16" s="135">
        <v>1.1520263320304465E-2</v>
      </c>
      <c r="BV16" s="135">
        <v>0.13875598086124402</v>
      </c>
      <c r="BW16" s="135">
        <v>0.18531577017459736</v>
      </c>
      <c r="BX16" s="135">
        <f t="shared" si="9"/>
        <v>1.3638286362020009</v>
      </c>
      <c r="BY16" s="135">
        <f t="shared" si="10"/>
        <v>0.90106550693060528</v>
      </c>
      <c r="BZ16" s="135">
        <f t="shared" si="11"/>
        <v>3.0614901895475333</v>
      </c>
      <c r="CA16" s="135">
        <f t="shared" si="12"/>
        <v>1.351598260395908</v>
      </c>
      <c r="CB16" s="135">
        <f t="shared" si="13"/>
        <v>1.2230375806092951E-2</v>
      </c>
      <c r="CC16" s="135">
        <f t="shared" si="14"/>
        <v>0.45053275346530264</v>
      </c>
      <c r="CD16" s="135">
        <f t="shared" si="15"/>
        <v>0.3240717510358414</v>
      </c>
      <c r="CE16" s="135">
        <f t="shared" si="16"/>
        <v>2.9618101667903733E-2</v>
      </c>
      <c r="CF16" s="135">
        <f t="shared" si="17"/>
        <v>4.6038160519719677E-3</v>
      </c>
      <c r="CG16" s="135">
        <v>7.47</v>
      </c>
      <c r="CH16" s="135">
        <v>8.7200000000000006</v>
      </c>
      <c r="CI16" s="135">
        <f t="shared" si="18"/>
        <v>21.819894350595813</v>
      </c>
      <c r="CJ16" s="135">
        <f t="shared" si="19"/>
        <v>0.90737296547911939</v>
      </c>
      <c r="CK16" s="135">
        <v>0.11</v>
      </c>
      <c r="CL16" s="135">
        <v>0.1</v>
      </c>
      <c r="CM16" s="135">
        <v>0.18</v>
      </c>
      <c r="CN16" s="135">
        <v>0.28000000000000003</v>
      </c>
      <c r="CO16" s="135">
        <v>3.19</v>
      </c>
      <c r="CP16" s="135">
        <v>6.57</v>
      </c>
      <c r="CQ16" s="135">
        <v>6.0000000000000001E-3</v>
      </c>
      <c r="CR16" s="135">
        <f t="shared" si="20"/>
        <v>50.646732683925066</v>
      </c>
      <c r="CS16" s="135">
        <f t="shared" si="21"/>
        <v>49.353267316074934</v>
      </c>
      <c r="CT16" s="135">
        <f t="shared" si="22"/>
        <v>50.646732683925066</v>
      </c>
      <c r="CU16" s="135" t="str">
        <f t="shared" si="23"/>
        <v xml:space="preserve">upper gypsum 12B-2 </v>
      </c>
      <c r="CV16" s="135" t="str">
        <f t="shared" si="24"/>
        <v xml:space="preserve">12B-2 </v>
      </c>
      <c r="CW16" s="135">
        <f t="shared" si="25"/>
        <v>38.917267316074934</v>
      </c>
      <c r="CX16" s="135">
        <f t="shared" si="26"/>
        <v>0.49</v>
      </c>
      <c r="CY16" s="135">
        <f t="shared" si="27"/>
        <v>9.76</v>
      </c>
      <c r="CZ16" s="135">
        <f t="shared" si="28"/>
        <v>0.18</v>
      </c>
      <c r="DA16" s="135">
        <f t="shared" si="29"/>
        <v>6.0000000000000001E-3</v>
      </c>
      <c r="DC16" s="135">
        <f t="shared" si="30"/>
        <v>49.353267316074934</v>
      </c>
      <c r="DD16" s="135">
        <f t="shared" si="31"/>
        <v>50.646732683925066</v>
      </c>
    </row>
    <row r="17" spans="1:108" s="135" customFormat="1" ht="15" x14ac:dyDescent="0.25">
      <c r="A17" s="135">
        <v>2</v>
      </c>
      <c r="B17" s="135" t="s">
        <v>353</v>
      </c>
      <c r="C17" t="s">
        <v>429</v>
      </c>
      <c r="D17" s="135" t="str">
        <f t="shared" si="0"/>
        <v xml:space="preserve">upper gypsum 33-2 </v>
      </c>
      <c r="E17" s="135" t="s">
        <v>121</v>
      </c>
      <c r="F17" s="135" t="s">
        <v>120</v>
      </c>
      <c r="G17" s="135">
        <v>3</v>
      </c>
      <c r="H17" s="135">
        <v>50</v>
      </c>
      <c r="I17" s="135">
        <v>2</v>
      </c>
      <c r="J17" s="135" t="s">
        <v>116</v>
      </c>
      <c r="K17" s="135">
        <v>4</v>
      </c>
      <c r="L17" s="135">
        <v>6</v>
      </c>
      <c r="M17" s="135" t="s">
        <v>116</v>
      </c>
      <c r="N17" s="135">
        <v>2</v>
      </c>
      <c r="O17" s="135">
        <v>3</v>
      </c>
      <c r="P17" s="135">
        <v>15</v>
      </c>
      <c r="Q17" s="135">
        <v>48</v>
      </c>
      <c r="R17" s="135" t="s">
        <v>120</v>
      </c>
      <c r="S17" s="135" t="s">
        <v>117</v>
      </c>
      <c r="T17" s="177" t="s">
        <v>126</v>
      </c>
      <c r="U17" s="144">
        <f>V17*40.078</f>
        <v>6.1504060825285487</v>
      </c>
      <c r="V17" s="143">
        <f>X17/1.092+0.0061</f>
        <v>0.15346090330177525</v>
      </c>
      <c r="W17" s="135">
        <v>5.16</v>
      </c>
      <c r="X17" s="135">
        <f t="shared" si="2"/>
        <v>0.16091810640553858</v>
      </c>
      <c r="Y17" s="135">
        <v>747</v>
      </c>
      <c r="Z17" s="135">
        <v>30.8</v>
      </c>
      <c r="AA17" s="135">
        <v>0.19</v>
      </c>
      <c r="AB17" s="135">
        <f t="shared" si="33"/>
        <v>7.0417315247201838E-3</v>
      </c>
      <c r="AC17" s="135">
        <v>0.17</v>
      </c>
      <c r="AD17" s="135">
        <f t="shared" si="32"/>
        <v>3.0441400304414006E-3</v>
      </c>
      <c r="AE17" s="135" t="s">
        <v>114</v>
      </c>
      <c r="AF17" s="135" t="s">
        <v>116</v>
      </c>
      <c r="AG17" s="135">
        <v>0.28999999999999998</v>
      </c>
      <c r="AH17" s="135">
        <f t="shared" si="3"/>
        <v>7.4172591948437261E-3</v>
      </c>
      <c r="AI17" s="135" t="s">
        <v>114</v>
      </c>
      <c r="AJ17" s="135">
        <v>0.62</v>
      </c>
      <c r="AK17" s="135">
        <f t="shared" si="4"/>
        <v>2.5509154494959885E-2</v>
      </c>
      <c r="AL17" s="135" t="s">
        <v>297</v>
      </c>
      <c r="AM17" s="135">
        <v>4.7699999999999996</v>
      </c>
      <c r="AN17" s="135">
        <f>AM17/22.99</f>
        <v>0.20748151370160939</v>
      </c>
      <c r="AO17" s="135">
        <v>0.20748151370160939</v>
      </c>
      <c r="AP17" s="135">
        <v>95600</v>
      </c>
      <c r="AQ17" s="135">
        <f t="shared" si="7"/>
        <v>9.56</v>
      </c>
      <c r="AR17" s="135">
        <f t="shared" si="8"/>
        <v>0.26965277973655261</v>
      </c>
      <c r="AS17" s="135">
        <v>0.01</v>
      </c>
      <c r="AT17" s="135" t="s">
        <v>117</v>
      </c>
      <c r="AU17" s="135" t="s">
        <v>116</v>
      </c>
      <c r="AV17" s="135" t="s">
        <v>119</v>
      </c>
      <c r="AW17" s="135" t="s">
        <v>118</v>
      </c>
      <c r="AX17" s="135" t="s">
        <v>116</v>
      </c>
      <c r="AY17" s="135" t="s">
        <v>117</v>
      </c>
      <c r="AZ17" s="135" t="s">
        <v>114</v>
      </c>
      <c r="BA17" s="135">
        <v>4</v>
      </c>
      <c r="BB17" s="135" t="s">
        <v>114</v>
      </c>
      <c r="BC17" s="135">
        <v>1</v>
      </c>
      <c r="BD17" s="135">
        <v>2</v>
      </c>
      <c r="BE17" s="135" t="s">
        <v>133</v>
      </c>
      <c r="BF17" s="135" t="s">
        <v>137</v>
      </c>
      <c r="BG17" s="135" t="s">
        <v>133</v>
      </c>
      <c r="BH17" s="135" t="s">
        <v>136</v>
      </c>
      <c r="BI17" s="135" t="s">
        <v>146</v>
      </c>
      <c r="BJ17" s="135" t="s">
        <v>133</v>
      </c>
      <c r="BK17" s="135">
        <v>30.8</v>
      </c>
      <c r="BL17" s="135">
        <v>157</v>
      </c>
      <c r="BM17" s="135" t="s">
        <v>114</v>
      </c>
      <c r="BN17" s="135">
        <v>157</v>
      </c>
      <c r="BO17" s="135" t="s">
        <v>114</v>
      </c>
      <c r="BP17" s="143">
        <v>0.15346090330177525</v>
      </c>
      <c r="BQ17" s="135">
        <v>0.16091810640553858</v>
      </c>
      <c r="BR17" s="135">
        <v>7.0417315247201838E-3</v>
      </c>
      <c r="BS17" s="135">
        <v>3.0441400304414006E-3</v>
      </c>
      <c r="BT17" s="135">
        <v>7.4172591948437261E-3</v>
      </c>
      <c r="BU17" s="135">
        <v>2.5509154494959885E-2</v>
      </c>
      <c r="BV17" s="135">
        <v>0.20748151370160939</v>
      </c>
      <c r="BW17" s="135">
        <v>0.26965277973655261</v>
      </c>
      <c r="BX17" s="135">
        <f t="shared" si="9"/>
        <v>0.96426222369610193</v>
      </c>
      <c r="BY17" s="135">
        <f t="shared" si="10"/>
        <v>0.62875801941462761</v>
      </c>
      <c r="BZ17" s="135">
        <f t="shared" si="11"/>
        <v>2.4275458315011704</v>
      </c>
      <c r="CA17" s="135">
        <f t="shared" si="12"/>
        <v>0.94313702912194142</v>
      </c>
      <c r="CB17" s="135">
        <f t="shared" si="13"/>
        <v>2.1125194574160552E-2</v>
      </c>
      <c r="CC17" s="135">
        <f t="shared" si="14"/>
        <v>0.31437900970731381</v>
      </c>
      <c r="CD17" s="135">
        <f t="shared" si="15"/>
        <v>0.47713429343816199</v>
      </c>
      <c r="CE17" s="135">
        <f t="shared" si="16"/>
        <v>5.6720220624282024E-2</v>
      </c>
      <c r="CF17" s="135">
        <f t="shared" si="17"/>
        <v>7.4172591948437261E-3</v>
      </c>
      <c r="CG17" s="135">
        <v>5.16</v>
      </c>
      <c r="CH17" s="144">
        <f>CK17*40.078</f>
        <v>7.6148200000000008</v>
      </c>
      <c r="CI17" s="135">
        <f t="shared" si="18"/>
        <v>15.427231316913936</v>
      </c>
      <c r="CJ17" s="135">
        <f t="shared" si="19"/>
        <v>0.63315932555052989</v>
      </c>
      <c r="CK17" s="135">
        <v>0.19</v>
      </c>
      <c r="CL17" s="135">
        <v>0.17</v>
      </c>
      <c r="CM17" s="135">
        <v>0.28999999999999998</v>
      </c>
      <c r="CN17" s="135">
        <v>0.62</v>
      </c>
      <c r="CO17" s="135">
        <v>4.7699999999999996</v>
      </c>
      <c r="CP17" s="135">
        <v>9.56</v>
      </c>
      <c r="CQ17" s="135">
        <v>0.01</v>
      </c>
      <c r="CR17" s="135">
        <f t="shared" si="20"/>
        <v>55.554789357535533</v>
      </c>
      <c r="CS17" s="135">
        <f t="shared" si="21"/>
        <v>44.445210642464467</v>
      </c>
      <c r="CT17" s="135">
        <f t="shared" si="22"/>
        <v>55.554789357535533</v>
      </c>
      <c r="CU17" s="135" t="str">
        <f t="shared" si="23"/>
        <v xml:space="preserve">upper gypsum 33-2 </v>
      </c>
      <c r="CV17" s="135" t="str">
        <f t="shared" si="24"/>
        <v xml:space="preserve">33-2 </v>
      </c>
      <c r="CW17" s="135">
        <f t="shared" si="25"/>
        <v>28.835210642464467</v>
      </c>
      <c r="CX17" s="135">
        <f t="shared" si="26"/>
        <v>0.98000000000000009</v>
      </c>
      <c r="CY17" s="135">
        <f t="shared" si="27"/>
        <v>14.33</v>
      </c>
      <c r="CZ17" s="135">
        <f t="shared" si="28"/>
        <v>0.28999999999999998</v>
      </c>
      <c r="DA17" s="135">
        <f t="shared" si="29"/>
        <v>0.01</v>
      </c>
      <c r="DC17" s="135">
        <f t="shared" si="30"/>
        <v>44.445210642464467</v>
      </c>
      <c r="DD17" s="135">
        <f t="shared" si="31"/>
        <v>55.554789357535533</v>
      </c>
    </row>
    <row r="18" spans="1:108" s="135" customFormat="1" ht="15" x14ac:dyDescent="0.25">
      <c r="A18" s="135">
        <v>2</v>
      </c>
      <c r="B18" s="135" t="s">
        <v>353</v>
      </c>
      <c r="C18" t="s">
        <v>430</v>
      </c>
      <c r="D18" s="135" t="str">
        <f t="shared" si="0"/>
        <v xml:space="preserve">upper gypsum 56-2 </v>
      </c>
      <c r="E18" s="135" t="s">
        <v>121</v>
      </c>
      <c r="F18" s="135" t="s">
        <v>120</v>
      </c>
      <c r="G18" s="135">
        <v>1</v>
      </c>
      <c r="H18" s="135">
        <v>27</v>
      </c>
      <c r="I18" s="135" t="s">
        <v>116</v>
      </c>
      <c r="J18" s="135" t="s">
        <v>116</v>
      </c>
      <c r="K18" s="135" t="s">
        <v>117</v>
      </c>
      <c r="L18" s="135" t="s">
        <v>117</v>
      </c>
      <c r="M18" s="135" t="s">
        <v>116</v>
      </c>
      <c r="N18" s="135" t="s">
        <v>116</v>
      </c>
      <c r="O18" s="135" t="s">
        <v>117</v>
      </c>
      <c r="P18" s="135" t="s">
        <v>114</v>
      </c>
      <c r="Q18" s="135">
        <v>12</v>
      </c>
      <c r="R18" s="135" t="s">
        <v>120</v>
      </c>
      <c r="S18" s="135" t="s">
        <v>117</v>
      </c>
      <c r="T18" s="135">
        <v>2.4</v>
      </c>
      <c r="U18" s="135">
        <v>2.4</v>
      </c>
      <c r="V18" s="135">
        <f>U18/40.078</f>
        <v>5.9883227705973346E-2</v>
      </c>
      <c r="W18" s="135">
        <v>1.76</v>
      </c>
      <c r="X18" s="135">
        <f t="shared" si="2"/>
        <v>5.488679598328447E-2</v>
      </c>
      <c r="Y18" s="135">
        <v>143</v>
      </c>
      <c r="Z18" s="135">
        <v>49.1</v>
      </c>
      <c r="AA18" s="135">
        <v>0.04</v>
      </c>
      <c r="AB18" s="135">
        <f t="shared" si="33"/>
        <v>1.4824697946779334E-3</v>
      </c>
      <c r="AC18" s="135">
        <v>0.04</v>
      </c>
      <c r="AD18" s="135">
        <f t="shared" si="32"/>
        <v>7.1626824245680013E-4</v>
      </c>
      <c r="AE18" s="135" t="s">
        <v>114</v>
      </c>
      <c r="AF18" s="135" t="s">
        <v>116</v>
      </c>
      <c r="AG18" s="135">
        <v>0.19</v>
      </c>
      <c r="AH18" s="135">
        <f t="shared" si="3"/>
        <v>4.8595836104148547E-3</v>
      </c>
      <c r="AI18" s="135" t="s">
        <v>114</v>
      </c>
      <c r="AJ18" s="135">
        <v>0.15</v>
      </c>
      <c r="AK18" s="135">
        <f t="shared" si="4"/>
        <v>6.1715696358773916E-3</v>
      </c>
      <c r="AL18" s="135" t="s">
        <v>290</v>
      </c>
      <c r="AM18" s="143">
        <f>AO18*22.99</f>
        <v>25.529760153583616</v>
      </c>
      <c r="AO18" s="143">
        <f>0.7406*AR18+0.0075</f>
        <v>1.110472385975799</v>
      </c>
      <c r="AP18" s="135">
        <v>528000</v>
      </c>
      <c r="AQ18" s="135">
        <f t="shared" si="7"/>
        <v>52.800000000000004</v>
      </c>
      <c r="AR18" s="135">
        <f t="shared" si="8"/>
        <v>1.4892956872479057</v>
      </c>
      <c r="AS18" s="135">
        <v>2E-3</v>
      </c>
      <c r="AT18" s="135" t="s">
        <v>117</v>
      </c>
      <c r="AU18" s="135" t="s">
        <v>116</v>
      </c>
      <c r="AV18" s="135" t="s">
        <v>119</v>
      </c>
      <c r="AW18" s="135" t="s">
        <v>118</v>
      </c>
      <c r="AX18" s="135" t="s">
        <v>116</v>
      </c>
      <c r="AY18" s="135" t="s">
        <v>117</v>
      </c>
      <c r="AZ18" s="135" t="s">
        <v>114</v>
      </c>
      <c r="BA18" s="135" t="s">
        <v>116</v>
      </c>
      <c r="BB18" s="135" t="s">
        <v>114</v>
      </c>
      <c r="BC18" s="135" t="s">
        <v>116</v>
      </c>
      <c r="BD18" s="135" t="s">
        <v>116</v>
      </c>
      <c r="BE18" s="143" t="s">
        <v>124</v>
      </c>
      <c r="BF18" s="143" t="s">
        <v>123</v>
      </c>
      <c r="BG18" s="143" t="s">
        <v>124</v>
      </c>
      <c r="BH18" s="143" t="s">
        <v>123</v>
      </c>
      <c r="BI18" s="135" t="s">
        <v>140</v>
      </c>
      <c r="BJ18" s="135">
        <v>78.5</v>
      </c>
      <c r="BK18" s="135">
        <v>49.1</v>
      </c>
      <c r="BL18" s="135">
        <v>221</v>
      </c>
      <c r="BM18" s="135">
        <v>63</v>
      </c>
      <c r="BN18" s="135">
        <v>157</v>
      </c>
      <c r="BO18" s="135" t="s">
        <v>114</v>
      </c>
      <c r="BP18" s="135">
        <v>5.9883227705973346E-2</v>
      </c>
      <c r="BQ18" s="135">
        <v>5.488679598328447E-2</v>
      </c>
      <c r="BR18" s="135">
        <v>1.4824697946779334E-3</v>
      </c>
      <c r="BS18" s="135">
        <v>7.1626824245680013E-4</v>
      </c>
      <c r="BT18" s="135">
        <v>4.8595836104148547E-3</v>
      </c>
      <c r="BU18" s="135">
        <v>6.1715696358773916E-3</v>
      </c>
      <c r="BV18" s="143">
        <v>1.110472385975799</v>
      </c>
      <c r="BW18" s="135">
        <v>1.4892956872479057</v>
      </c>
      <c r="BX18" s="135">
        <f t="shared" si="9"/>
        <v>0.34875748045180727</v>
      </c>
      <c r="BY18" s="135">
        <f t="shared" si="10"/>
        <v>0.22954004737851563</v>
      </c>
      <c r="BZ18" s="135">
        <f t="shared" si="11"/>
        <v>3.3060655160267123</v>
      </c>
      <c r="CA18" s="135">
        <f t="shared" si="12"/>
        <v>0.34431007106777345</v>
      </c>
      <c r="CB18" s="135">
        <f t="shared" si="13"/>
        <v>4.4474093840338007E-3</v>
      </c>
      <c r="CC18" s="135">
        <f t="shared" si="14"/>
        <v>0.11477002368925782</v>
      </c>
      <c r="CD18" s="135">
        <f t="shared" si="15"/>
        <v>2.5997680732237045</v>
      </c>
      <c r="CE18" s="135">
        <f t="shared" si="16"/>
        <v>1.2817717057045926E-2</v>
      </c>
      <c r="CF18" s="135">
        <f t="shared" si="17"/>
        <v>4.8595836104148547E-3</v>
      </c>
      <c r="CG18" s="135">
        <v>1.76</v>
      </c>
      <c r="CH18" s="135">
        <v>2.4</v>
      </c>
      <c r="CI18" s="135">
        <f t="shared" si="18"/>
        <v>5.5797709297484648</v>
      </c>
      <c r="CJ18" s="135">
        <f t="shared" si="19"/>
        <v>0.23114682771016523</v>
      </c>
      <c r="CK18" s="135">
        <v>0.04</v>
      </c>
      <c r="CL18" s="135">
        <v>0.04</v>
      </c>
      <c r="CM18" s="135">
        <v>0.19</v>
      </c>
      <c r="CN18" s="135">
        <v>0.15</v>
      </c>
      <c r="CO18" s="143">
        <v>25.529760153583616</v>
      </c>
      <c r="CP18" s="135">
        <v>52.800000000000004</v>
      </c>
      <c r="CQ18" s="135">
        <v>2E-3</v>
      </c>
      <c r="CR18" s="135">
        <f t="shared" si="20"/>
        <v>11.277322088957746</v>
      </c>
      <c r="CS18" s="135">
        <f t="shared" si="21"/>
        <v>88.722677911042254</v>
      </c>
      <c r="CT18" s="135">
        <f t="shared" si="22"/>
        <v>11.277322088957746</v>
      </c>
      <c r="CU18" s="135" t="str">
        <f t="shared" si="23"/>
        <v xml:space="preserve">upper gypsum 56-2 </v>
      </c>
      <c r="CV18" s="135" t="str">
        <f t="shared" si="24"/>
        <v xml:space="preserve">56-2 </v>
      </c>
      <c r="CW18" s="135">
        <f t="shared" si="25"/>
        <v>9.970917757458631</v>
      </c>
      <c r="CX18" s="135">
        <f t="shared" si="26"/>
        <v>0.23</v>
      </c>
      <c r="CY18" s="135">
        <f t="shared" si="27"/>
        <v>78.329760153583621</v>
      </c>
      <c r="CZ18" s="135">
        <f t="shared" si="28"/>
        <v>0.19</v>
      </c>
      <c r="DA18" s="135">
        <f t="shared" si="29"/>
        <v>2E-3</v>
      </c>
      <c r="DC18" s="135">
        <f t="shared" si="30"/>
        <v>88.72267791104224</v>
      </c>
      <c r="DD18" s="135">
        <f t="shared" si="31"/>
        <v>11.27732208895776</v>
      </c>
    </row>
    <row r="19" spans="1:108" s="135" customFormat="1" ht="15" customHeight="1" x14ac:dyDescent="0.2">
      <c r="A19" s="135">
        <v>2</v>
      </c>
      <c r="B19" s="135" t="s">
        <v>353</v>
      </c>
      <c r="C19" t="s">
        <v>431</v>
      </c>
      <c r="D19" s="135" t="str">
        <f t="shared" si="0"/>
        <v xml:space="preserve">upper gypsum 67B-2 </v>
      </c>
      <c r="E19" s="135" t="s">
        <v>121</v>
      </c>
      <c r="F19" s="135" t="s">
        <v>120</v>
      </c>
      <c r="G19" s="135" t="s">
        <v>116</v>
      </c>
      <c r="H19" s="135">
        <v>16</v>
      </c>
      <c r="I19" s="135" t="s">
        <v>116</v>
      </c>
      <c r="J19" s="135" t="s">
        <v>116</v>
      </c>
      <c r="K19" s="135" t="s">
        <v>117</v>
      </c>
      <c r="L19" s="135">
        <v>2</v>
      </c>
      <c r="M19" s="135" t="s">
        <v>116</v>
      </c>
      <c r="N19" s="135" t="s">
        <v>116</v>
      </c>
      <c r="O19" s="135" t="s">
        <v>117</v>
      </c>
      <c r="P19" s="135" t="s">
        <v>114</v>
      </c>
      <c r="Q19" s="135">
        <v>20</v>
      </c>
      <c r="R19" s="135" t="s">
        <v>120</v>
      </c>
      <c r="S19" s="135" t="s">
        <v>117</v>
      </c>
      <c r="T19" s="135">
        <v>8.58</v>
      </c>
      <c r="U19" s="135">
        <v>8.58</v>
      </c>
      <c r="V19" s="135">
        <f>U19/40.078</f>
        <v>0.21408253904885471</v>
      </c>
      <c r="W19" s="135">
        <v>7.68</v>
      </c>
      <c r="X19" s="135">
        <f t="shared" si="2"/>
        <v>0.23950601883615041</v>
      </c>
      <c r="Y19" s="135">
        <v>526</v>
      </c>
      <c r="Z19" s="135">
        <v>32.299999999999997</v>
      </c>
      <c r="AA19" s="135">
        <v>7.0000000000000007E-2</v>
      </c>
      <c r="AB19" s="135">
        <f t="shared" si="33"/>
        <v>2.594322140686384E-3</v>
      </c>
      <c r="AC19" s="135">
        <v>0.06</v>
      </c>
      <c r="AD19" s="135">
        <f t="shared" si="32"/>
        <v>1.0744023636852001E-3</v>
      </c>
      <c r="AE19" s="135" t="s">
        <v>114</v>
      </c>
      <c r="AF19" s="135" t="s">
        <v>116</v>
      </c>
      <c r="AG19" s="135">
        <v>0.13</v>
      </c>
      <c r="AH19" s="135">
        <f t="shared" si="3"/>
        <v>3.3249782597575325E-3</v>
      </c>
      <c r="AI19" s="135" t="s">
        <v>114</v>
      </c>
      <c r="AJ19" s="135">
        <v>0.17</v>
      </c>
      <c r="AK19" s="135">
        <f t="shared" si="4"/>
        <v>6.9944455873277109E-3</v>
      </c>
      <c r="AL19" s="135" t="s">
        <v>288</v>
      </c>
      <c r="AM19" s="135">
        <v>7.16</v>
      </c>
      <c r="AN19" s="135">
        <f>AM19/22.99</f>
        <v>0.31143975641583299</v>
      </c>
      <c r="AO19" s="135">
        <v>0.31143975641583299</v>
      </c>
      <c r="AP19" s="135">
        <v>145000</v>
      </c>
      <c r="AQ19" s="135">
        <f t="shared" si="7"/>
        <v>14.5</v>
      </c>
      <c r="AR19" s="135">
        <f t="shared" si="8"/>
        <v>0.40899218683891347</v>
      </c>
      <c r="AS19" s="135">
        <v>3.0000000000000001E-3</v>
      </c>
      <c r="AT19" s="135" t="s">
        <v>117</v>
      </c>
      <c r="AU19" s="135" t="s">
        <v>116</v>
      </c>
      <c r="AV19" s="135" t="s">
        <v>119</v>
      </c>
      <c r="AW19" s="135" t="s">
        <v>118</v>
      </c>
      <c r="AX19" s="135" t="s">
        <v>116</v>
      </c>
      <c r="AY19" s="135" t="s">
        <v>117</v>
      </c>
      <c r="AZ19" s="135" t="s">
        <v>114</v>
      </c>
      <c r="BA19" s="135">
        <v>2</v>
      </c>
      <c r="BB19" s="135" t="s">
        <v>114</v>
      </c>
      <c r="BC19" s="135" t="s">
        <v>116</v>
      </c>
      <c r="BD19" s="135" t="s">
        <v>116</v>
      </c>
      <c r="BE19" s="135" t="s">
        <v>114</v>
      </c>
      <c r="BF19" s="135" t="s">
        <v>133</v>
      </c>
      <c r="BG19" s="135" t="s">
        <v>114</v>
      </c>
      <c r="BH19" s="135" t="s">
        <v>118</v>
      </c>
      <c r="BI19" s="135" t="s">
        <v>134</v>
      </c>
      <c r="BJ19" s="135">
        <v>11.7</v>
      </c>
      <c r="BK19" s="135">
        <v>32.299999999999997</v>
      </c>
      <c r="BL19" s="135">
        <v>130</v>
      </c>
      <c r="BM19" s="135" t="s">
        <v>114</v>
      </c>
      <c r="BN19" s="135">
        <v>130</v>
      </c>
      <c r="BO19" s="135" t="s">
        <v>114</v>
      </c>
      <c r="BP19" s="135">
        <v>0.21408253904885471</v>
      </c>
      <c r="BQ19" s="135">
        <v>0.23950601883615041</v>
      </c>
      <c r="BR19" s="135">
        <v>2.594322140686384E-3</v>
      </c>
      <c r="BS19" s="135">
        <v>1.0744023636852001E-3</v>
      </c>
      <c r="BT19" s="135">
        <v>3.3249782597575325E-3</v>
      </c>
      <c r="BU19" s="135">
        <v>6.9944455873277109E-3</v>
      </c>
      <c r="BV19" s="135">
        <v>0.31143975641583299</v>
      </c>
      <c r="BW19" s="135">
        <v>0.40899218683891347</v>
      </c>
      <c r="BX19" s="135">
        <f t="shared" si="9"/>
        <v>1.3685486400770746</v>
      </c>
      <c r="BY19" s="135">
        <f t="shared" si="10"/>
        <v>0.90717711577001026</v>
      </c>
      <c r="BZ19" s="135">
        <f t="shared" si="11"/>
        <v>3.4637344053382932</v>
      </c>
      <c r="CA19" s="135">
        <f t="shared" si="12"/>
        <v>1.3607656736550153</v>
      </c>
      <c r="CB19" s="135">
        <f t="shared" si="13"/>
        <v>7.7829664220591521E-3</v>
      </c>
      <c r="CC19" s="135">
        <f t="shared" si="14"/>
        <v>0.45358855788500513</v>
      </c>
      <c r="CD19" s="135">
        <f t="shared" si="15"/>
        <v>0.72043194325474647</v>
      </c>
      <c r="CE19" s="135">
        <f t="shared" si="16"/>
        <v>1.8446136513758447E-2</v>
      </c>
      <c r="CF19" s="135">
        <f t="shared" si="17"/>
        <v>3.3249782597575325E-3</v>
      </c>
      <c r="CG19" s="135">
        <v>7.68</v>
      </c>
      <c r="CH19" s="135">
        <v>8.58</v>
      </c>
      <c r="CI19" s="135">
        <f t="shared" si="18"/>
        <v>21.895409692593116</v>
      </c>
      <c r="CJ19" s="135">
        <f t="shared" si="19"/>
        <v>0.91352735558040021</v>
      </c>
      <c r="CK19" s="135">
        <v>7.0000000000000007E-2</v>
      </c>
      <c r="CL19" s="135">
        <v>0.06</v>
      </c>
      <c r="CM19" s="135">
        <v>0.13</v>
      </c>
      <c r="CN19" s="135">
        <v>0.17</v>
      </c>
      <c r="CO19" s="135">
        <v>7.16</v>
      </c>
      <c r="CP19" s="135">
        <v>14.5</v>
      </c>
      <c r="CQ19" s="135">
        <v>3.0000000000000001E-3</v>
      </c>
      <c r="CR19" s="135">
        <f t="shared" si="20"/>
        <v>38.838062951826487</v>
      </c>
      <c r="CS19" s="135">
        <f t="shared" si="21"/>
        <v>61.161937048173513</v>
      </c>
      <c r="CT19" s="135">
        <f t="shared" si="22"/>
        <v>38.838062951826487</v>
      </c>
      <c r="CU19" s="135" t="str">
        <f t="shared" si="23"/>
        <v xml:space="preserve">upper gypsum 67B-2 </v>
      </c>
      <c r="CV19" s="135" t="str">
        <f t="shared" si="24"/>
        <v xml:space="preserve">67B-2 </v>
      </c>
      <c r="CW19" s="135">
        <f t="shared" si="25"/>
        <v>39.06893704817351</v>
      </c>
      <c r="CX19" s="135">
        <f t="shared" si="26"/>
        <v>0.30000000000000004</v>
      </c>
      <c r="CY19" s="135">
        <f t="shared" si="27"/>
        <v>21.66</v>
      </c>
      <c r="CZ19" s="135">
        <f t="shared" si="28"/>
        <v>0.13</v>
      </c>
      <c r="DA19" s="135">
        <f t="shared" si="29"/>
        <v>3.0000000000000001E-3</v>
      </c>
      <c r="DC19" s="135">
        <f t="shared" si="30"/>
        <v>61.161937048173506</v>
      </c>
      <c r="DD19" s="135">
        <f t="shared" si="31"/>
        <v>38.838062951826494</v>
      </c>
    </row>
    <row r="20" spans="1:108" s="135" customFormat="1" ht="15" x14ac:dyDescent="0.25">
      <c r="A20" s="135">
        <v>2</v>
      </c>
      <c r="B20" s="135" t="s">
        <v>353</v>
      </c>
      <c r="C20" t="s">
        <v>432</v>
      </c>
      <c r="D20" s="135" t="str">
        <f t="shared" si="0"/>
        <v xml:space="preserve">upper gypsum 46-2 </v>
      </c>
      <c r="E20" s="135" t="s">
        <v>121</v>
      </c>
      <c r="F20" s="135" t="s">
        <v>120</v>
      </c>
      <c r="G20" s="135">
        <v>6</v>
      </c>
      <c r="H20" s="135">
        <v>79</v>
      </c>
      <c r="I20" s="135">
        <v>4</v>
      </c>
      <c r="J20" s="135">
        <v>2</v>
      </c>
      <c r="K20" s="135">
        <v>9</v>
      </c>
      <c r="L20" s="135">
        <v>11</v>
      </c>
      <c r="M20" s="135" t="s">
        <v>116</v>
      </c>
      <c r="N20" s="135">
        <v>3</v>
      </c>
      <c r="O20" s="135">
        <v>5</v>
      </c>
      <c r="P20" s="135">
        <v>23</v>
      </c>
      <c r="Q20" s="135">
        <v>51</v>
      </c>
      <c r="R20" s="135" t="s">
        <v>120</v>
      </c>
      <c r="S20" s="135" t="s">
        <v>117</v>
      </c>
      <c r="T20" s="178" t="s">
        <v>126</v>
      </c>
      <c r="U20" s="144">
        <f>V20*40.078</f>
        <v>5.1431931661283308</v>
      </c>
      <c r="V20" s="143">
        <f>X20/1.092+0.0061</f>
        <v>0.12832958645961201</v>
      </c>
      <c r="W20" s="135">
        <v>4.28</v>
      </c>
      <c r="X20" s="135">
        <f t="shared" si="2"/>
        <v>0.13347470841389633</v>
      </c>
      <c r="Y20" s="135">
        <v>928</v>
      </c>
      <c r="Z20" s="135">
        <v>22.6</v>
      </c>
      <c r="AA20" s="135">
        <v>0.36</v>
      </c>
      <c r="AB20" s="135">
        <f t="shared" si="33"/>
        <v>1.33422281521014E-2</v>
      </c>
      <c r="AC20" s="135">
        <v>0.32</v>
      </c>
      <c r="AD20" s="135">
        <f t="shared" si="32"/>
        <v>5.730145939654401E-3</v>
      </c>
      <c r="AE20" s="135" t="s">
        <v>114</v>
      </c>
      <c r="AF20" s="135" t="s">
        <v>116</v>
      </c>
      <c r="AG20" s="135">
        <v>0.28000000000000003</v>
      </c>
      <c r="AH20" s="135">
        <f t="shared" si="3"/>
        <v>7.1614916364008399E-3</v>
      </c>
      <c r="AI20" s="135" t="s">
        <v>114</v>
      </c>
      <c r="AJ20" s="135">
        <v>0.98</v>
      </c>
      <c r="AK20" s="135">
        <f t="shared" si="4"/>
        <v>4.0320921621065625E-2</v>
      </c>
      <c r="AL20" s="135" t="s">
        <v>298</v>
      </c>
      <c r="AM20" s="135">
        <v>2.29</v>
      </c>
      <c r="AN20" s="135">
        <f>AM20/22.99</f>
        <v>9.960852544584603E-2</v>
      </c>
      <c r="AO20" s="135">
        <v>9.960852544584603E-2</v>
      </c>
      <c r="AP20" s="135">
        <v>40000</v>
      </c>
      <c r="AQ20" s="135">
        <f t="shared" si="7"/>
        <v>4</v>
      </c>
      <c r="AR20" s="135">
        <f t="shared" si="8"/>
        <v>0.11282543085211405</v>
      </c>
      <c r="AS20" s="135">
        <v>1.6E-2</v>
      </c>
      <c r="AT20" s="135" t="s">
        <v>117</v>
      </c>
      <c r="AU20" s="135" t="s">
        <v>116</v>
      </c>
      <c r="AV20" s="135">
        <v>0.01</v>
      </c>
      <c r="AW20" s="135" t="s">
        <v>118</v>
      </c>
      <c r="AX20" s="135" t="s">
        <v>116</v>
      </c>
      <c r="AY20" s="135" t="s">
        <v>117</v>
      </c>
      <c r="AZ20" s="135" t="s">
        <v>114</v>
      </c>
      <c r="BA20" s="135">
        <v>7</v>
      </c>
      <c r="BB20" s="135" t="s">
        <v>114</v>
      </c>
      <c r="BC20" s="135">
        <v>2</v>
      </c>
      <c r="BD20" s="135">
        <v>4</v>
      </c>
      <c r="BE20" s="135" t="s">
        <v>115</v>
      </c>
      <c r="BF20" s="135" t="s">
        <v>114</v>
      </c>
      <c r="BG20" s="135" t="s">
        <v>115</v>
      </c>
      <c r="BH20" s="135" t="s">
        <v>114</v>
      </c>
      <c r="BI20" s="135" t="s">
        <v>128</v>
      </c>
      <c r="BJ20" s="135" t="s">
        <v>115</v>
      </c>
      <c r="BK20" s="135">
        <v>22.6</v>
      </c>
      <c r="BL20" s="135">
        <v>151</v>
      </c>
      <c r="BM20" s="135" t="s">
        <v>114</v>
      </c>
      <c r="BN20" s="135">
        <v>151</v>
      </c>
      <c r="BO20" s="135" t="s">
        <v>114</v>
      </c>
      <c r="BP20" s="143">
        <v>0.12832958645961201</v>
      </c>
      <c r="BQ20" s="135">
        <v>0.13347470841389633</v>
      </c>
      <c r="BR20" s="135">
        <v>1.33422281521014E-2</v>
      </c>
      <c r="BS20" s="135">
        <v>5.730145939654401E-3</v>
      </c>
      <c r="BT20" s="135">
        <v>7.1614916364008399E-3</v>
      </c>
      <c r="BU20" s="135">
        <v>4.0320921621065625E-2</v>
      </c>
      <c r="BV20" s="135">
        <v>9.960852544584603E-2</v>
      </c>
      <c r="BW20" s="135">
        <v>0.11282543085211405</v>
      </c>
      <c r="BX20" s="135">
        <f t="shared" si="9"/>
        <v>0.82543956907682914</v>
      </c>
      <c r="BY20" s="135">
        <f t="shared" si="10"/>
        <v>0.52360858974701663</v>
      </c>
      <c r="BZ20" s="135">
        <f t="shared" si="11"/>
        <v>1.8898411973445366</v>
      </c>
      <c r="CA20" s="135">
        <f t="shared" si="12"/>
        <v>0.78541288462052494</v>
      </c>
      <c r="CB20" s="135">
        <f t="shared" si="13"/>
        <v>4.0026684456304203E-2</v>
      </c>
      <c r="CC20" s="135">
        <f t="shared" si="14"/>
        <v>0.26180429487350831</v>
      </c>
      <c r="CD20" s="135">
        <f t="shared" si="15"/>
        <v>0.21243395629796008</v>
      </c>
      <c r="CE20" s="135">
        <f t="shared" si="16"/>
        <v>9.9419980169125621E-2</v>
      </c>
      <c r="CF20" s="135">
        <f t="shared" si="17"/>
        <v>7.1614916364008399E-3</v>
      </c>
      <c r="CG20" s="135">
        <v>4.28</v>
      </c>
      <c r="CH20" s="144">
        <f>CK20*40.078</f>
        <v>14.428080000000001</v>
      </c>
      <c r="CI20" s="135">
        <f t="shared" si="18"/>
        <v>13.206207665660189</v>
      </c>
      <c r="CJ20" s="135">
        <f t="shared" si="19"/>
        <v>0.52727384987524573</v>
      </c>
      <c r="CK20" s="135">
        <v>0.36</v>
      </c>
      <c r="CL20" s="135">
        <v>0.32</v>
      </c>
      <c r="CM20" s="135">
        <v>0.28000000000000003</v>
      </c>
      <c r="CN20" s="135">
        <v>0.98</v>
      </c>
      <c r="CO20" s="135">
        <v>2.29</v>
      </c>
      <c r="CP20" s="135">
        <v>4</v>
      </c>
      <c r="CQ20" s="135">
        <v>1.6E-2</v>
      </c>
      <c r="CR20" s="135">
        <f t="shared" si="20"/>
        <v>59.312438484464572</v>
      </c>
      <c r="CS20" s="135">
        <f t="shared" si="21"/>
        <v>40.687561515535428</v>
      </c>
      <c r="CT20" s="135">
        <f t="shared" si="22"/>
        <v>59.312438484464572</v>
      </c>
      <c r="CU20" s="135" t="str">
        <f t="shared" si="23"/>
        <v xml:space="preserve">upper gypsum 46-2 </v>
      </c>
      <c r="CV20" s="135" t="str">
        <f t="shared" si="24"/>
        <v xml:space="preserve">46-2 </v>
      </c>
      <c r="CW20" s="135">
        <f t="shared" si="25"/>
        <v>32.441561515535433</v>
      </c>
      <c r="CX20" s="135">
        <f t="shared" si="26"/>
        <v>1.66</v>
      </c>
      <c r="CY20" s="135">
        <f t="shared" si="27"/>
        <v>6.29</v>
      </c>
      <c r="CZ20" s="135">
        <f t="shared" si="28"/>
        <v>0.28000000000000003</v>
      </c>
      <c r="DA20" s="135">
        <f t="shared" si="29"/>
        <v>1.6E-2</v>
      </c>
      <c r="DC20" s="135">
        <f t="shared" si="30"/>
        <v>40.687561515535428</v>
      </c>
      <c r="DD20" s="135">
        <f t="shared" si="31"/>
        <v>59.312438484464572</v>
      </c>
    </row>
    <row r="21" spans="1:108" s="135" customFormat="1" ht="15" customHeight="1" x14ac:dyDescent="0.2">
      <c r="A21" s="135">
        <v>2</v>
      </c>
      <c r="B21" s="135" t="s">
        <v>353</v>
      </c>
      <c r="C21" t="s">
        <v>433</v>
      </c>
      <c r="D21" s="135" t="str">
        <f t="shared" si="0"/>
        <v xml:space="preserve">upper gypsum 41-2 </v>
      </c>
      <c r="E21" s="135" t="s">
        <v>121</v>
      </c>
      <c r="F21" s="135" t="s">
        <v>120</v>
      </c>
      <c r="G21" s="135">
        <v>1</v>
      </c>
      <c r="H21" s="135">
        <v>20</v>
      </c>
      <c r="I21" s="135" t="s">
        <v>116</v>
      </c>
      <c r="J21" s="135" t="s">
        <v>116</v>
      </c>
      <c r="K21" s="135" t="s">
        <v>117</v>
      </c>
      <c r="L21" s="135">
        <v>3</v>
      </c>
      <c r="M21" s="135" t="s">
        <v>116</v>
      </c>
      <c r="N21" s="135">
        <v>1</v>
      </c>
      <c r="O21" s="135">
        <v>2</v>
      </c>
      <c r="P21" s="135" t="s">
        <v>114</v>
      </c>
      <c r="Q21" s="135">
        <v>25</v>
      </c>
      <c r="R21" s="135" t="s">
        <v>120</v>
      </c>
      <c r="S21" s="135" t="s">
        <v>117</v>
      </c>
      <c r="T21" s="135">
        <v>7.74</v>
      </c>
      <c r="U21" s="135">
        <v>7.74</v>
      </c>
      <c r="V21" s="135">
        <f t="shared" ref="V21:V30" si="34">U21/40.078</f>
        <v>0.19312340935176406</v>
      </c>
      <c r="W21" s="135">
        <v>6.44</v>
      </c>
      <c r="X21" s="135">
        <f t="shared" si="2"/>
        <v>0.20083577621156365</v>
      </c>
      <c r="Y21" s="135">
        <v>451</v>
      </c>
      <c r="Z21" s="135">
        <v>23.6</v>
      </c>
      <c r="AA21" s="135">
        <v>0.11</v>
      </c>
      <c r="AB21" s="135">
        <f t="shared" si="33"/>
        <v>4.076791935364317E-3</v>
      </c>
      <c r="AC21" s="135">
        <v>0.09</v>
      </c>
      <c r="AD21" s="135">
        <f t="shared" si="32"/>
        <v>1.6116035455278001E-3</v>
      </c>
      <c r="AE21" s="135" t="s">
        <v>114</v>
      </c>
      <c r="AF21" s="135" t="s">
        <v>116</v>
      </c>
      <c r="AG21" s="135">
        <v>0.18</v>
      </c>
      <c r="AH21" s="135">
        <f t="shared" si="3"/>
        <v>4.6038160519719677E-3</v>
      </c>
      <c r="AI21" s="135" t="s">
        <v>114</v>
      </c>
      <c r="AJ21" s="135">
        <v>0.28999999999999998</v>
      </c>
      <c r="AK21" s="135">
        <f t="shared" si="4"/>
        <v>1.1931701296029622E-2</v>
      </c>
      <c r="AL21" s="135" t="s">
        <v>299</v>
      </c>
      <c r="AM21" s="135">
        <v>2.21</v>
      </c>
      <c r="AN21" s="135">
        <f>AM21/22.99</f>
        <v>9.6128751631143983E-2</v>
      </c>
      <c r="AO21" s="135">
        <v>9.6128751631143983E-2</v>
      </c>
      <c r="AP21" s="135">
        <v>46400</v>
      </c>
      <c r="AQ21" s="135">
        <f t="shared" si="7"/>
        <v>4.6400000000000006</v>
      </c>
      <c r="AR21" s="135">
        <f t="shared" si="8"/>
        <v>0.13087749978845231</v>
      </c>
      <c r="AS21" s="135">
        <v>5.0000000000000001E-3</v>
      </c>
      <c r="AT21" s="135" t="s">
        <v>117</v>
      </c>
      <c r="AU21" s="135" t="s">
        <v>116</v>
      </c>
      <c r="AV21" s="135" t="s">
        <v>119</v>
      </c>
      <c r="AW21" s="135" t="s">
        <v>118</v>
      </c>
      <c r="AX21" s="135" t="s">
        <v>116</v>
      </c>
      <c r="AY21" s="135" t="s">
        <v>117</v>
      </c>
      <c r="AZ21" s="135" t="s">
        <v>114</v>
      </c>
      <c r="BA21" s="135">
        <v>3</v>
      </c>
      <c r="BB21" s="135" t="s">
        <v>114</v>
      </c>
      <c r="BC21" s="135" t="s">
        <v>116</v>
      </c>
      <c r="BD21" s="135">
        <v>1</v>
      </c>
      <c r="BE21" s="135" t="s">
        <v>115</v>
      </c>
      <c r="BF21" s="135" t="s">
        <v>114</v>
      </c>
      <c r="BG21" s="135" t="s">
        <v>115</v>
      </c>
      <c r="BH21" s="135" t="s">
        <v>114</v>
      </c>
      <c r="BI21" s="135" t="s">
        <v>122</v>
      </c>
      <c r="BJ21" s="135">
        <v>9.35</v>
      </c>
      <c r="BK21" s="135">
        <v>23.6</v>
      </c>
      <c r="BL21" s="135">
        <v>119</v>
      </c>
      <c r="BM21" s="135" t="s">
        <v>114</v>
      </c>
      <c r="BN21" s="135">
        <v>119</v>
      </c>
      <c r="BO21" s="135" t="s">
        <v>114</v>
      </c>
      <c r="BP21" s="135">
        <v>0.19312340935176406</v>
      </c>
      <c r="BQ21" s="135">
        <v>0.20083577621156365</v>
      </c>
      <c r="BR21" s="135">
        <v>4.076791935364317E-3</v>
      </c>
      <c r="BS21" s="135">
        <v>1.6116035455278001E-3</v>
      </c>
      <c r="BT21" s="135">
        <v>4.6038160519719677E-3</v>
      </c>
      <c r="BU21" s="135">
        <v>1.1931701296029622E-2</v>
      </c>
      <c r="BV21" s="135">
        <v>9.6128751631143983E-2</v>
      </c>
      <c r="BW21" s="135">
        <v>0.13087749978845231</v>
      </c>
      <c r="BX21" s="135">
        <f t="shared" si="9"/>
        <v>1.1941079324960759</v>
      </c>
      <c r="BY21" s="135">
        <f t="shared" si="10"/>
        <v>0.78791837112665541</v>
      </c>
      <c r="BZ21" s="135">
        <f t="shared" si="11"/>
        <v>2.625215653434549</v>
      </c>
      <c r="CA21" s="135">
        <f t="shared" si="12"/>
        <v>1.1818775566899831</v>
      </c>
      <c r="CB21" s="135">
        <f t="shared" si="13"/>
        <v>1.2230375806092951E-2</v>
      </c>
      <c r="CC21" s="135">
        <f t="shared" si="14"/>
        <v>0.39395918556332771</v>
      </c>
      <c r="CD21" s="135">
        <f t="shared" si="15"/>
        <v>0.22700625141959629</v>
      </c>
      <c r="CE21" s="135">
        <f t="shared" si="16"/>
        <v>2.9850472583014688E-2</v>
      </c>
      <c r="CF21" s="135">
        <f t="shared" si="17"/>
        <v>4.6038160519719677E-3</v>
      </c>
      <c r="CG21" s="135">
        <v>6.44</v>
      </c>
      <c r="CH21" s="135">
        <v>7.74</v>
      </c>
      <c r="CI21" s="135">
        <f t="shared" si="18"/>
        <v>19.10453281200472</v>
      </c>
      <c r="CJ21" s="135">
        <f t="shared" si="19"/>
        <v>0.79343379972454187</v>
      </c>
      <c r="CK21" s="135">
        <v>0.11</v>
      </c>
      <c r="CL21" s="135">
        <v>0.09</v>
      </c>
      <c r="CM21" s="135">
        <v>0.18</v>
      </c>
      <c r="CN21" s="135">
        <v>0.28999999999999998</v>
      </c>
      <c r="CO21" s="135">
        <v>2.21</v>
      </c>
      <c r="CP21" s="135">
        <v>4.6400000000000006</v>
      </c>
      <c r="CQ21" s="135">
        <v>5.0000000000000001E-3</v>
      </c>
      <c r="CR21" s="135">
        <f t="shared" si="20"/>
        <v>58.397033388270735</v>
      </c>
      <c r="CS21" s="135">
        <f t="shared" si="21"/>
        <v>41.602966611729265</v>
      </c>
      <c r="CT21" s="135">
        <f t="shared" si="22"/>
        <v>58.397033388270735</v>
      </c>
      <c r="CU21" s="135" t="str">
        <f t="shared" si="23"/>
        <v xml:space="preserve">upper gypsum 41-2 </v>
      </c>
      <c r="CV21" s="135" t="str">
        <f t="shared" si="24"/>
        <v xml:space="preserve">41-2 </v>
      </c>
      <c r="CW21" s="135">
        <f t="shared" si="25"/>
        <v>34.077966611729259</v>
      </c>
      <c r="CX21" s="135">
        <f t="shared" si="26"/>
        <v>0.49</v>
      </c>
      <c r="CY21" s="135">
        <f t="shared" si="27"/>
        <v>6.8500000000000005</v>
      </c>
      <c r="CZ21" s="135">
        <f t="shared" si="28"/>
        <v>0.18</v>
      </c>
      <c r="DA21" s="135">
        <f t="shared" si="29"/>
        <v>5.0000000000000001E-3</v>
      </c>
      <c r="DC21" s="135">
        <f t="shared" si="30"/>
        <v>41.602966611729265</v>
      </c>
      <c r="DD21" s="135">
        <f t="shared" si="31"/>
        <v>58.397033388270735</v>
      </c>
    </row>
    <row r="22" spans="1:108" s="135" customFormat="1" ht="15" x14ac:dyDescent="0.25">
      <c r="A22" s="135">
        <v>3</v>
      </c>
      <c r="B22" s="135" t="s">
        <v>351</v>
      </c>
      <c r="C22" t="s">
        <v>434</v>
      </c>
      <c r="D22" s="135" t="str">
        <f t="shared" si="0"/>
        <v xml:space="preserve">lower halite 29-3 </v>
      </c>
      <c r="E22" s="135" t="s">
        <v>121</v>
      </c>
      <c r="F22" s="135" t="s">
        <v>120</v>
      </c>
      <c r="G22" s="135" t="s">
        <v>116</v>
      </c>
      <c r="H22" s="135" t="s">
        <v>115</v>
      </c>
      <c r="I22" s="135" t="s">
        <v>116</v>
      </c>
      <c r="J22" s="135" t="s">
        <v>116</v>
      </c>
      <c r="K22" s="135" t="s">
        <v>117</v>
      </c>
      <c r="L22" s="135">
        <v>87</v>
      </c>
      <c r="M22" s="135" t="s">
        <v>116</v>
      </c>
      <c r="N22" s="135" t="s">
        <v>116</v>
      </c>
      <c r="O22" s="135" t="s">
        <v>117</v>
      </c>
      <c r="P22" s="135" t="s">
        <v>114</v>
      </c>
      <c r="Q22" s="135" t="s">
        <v>114</v>
      </c>
      <c r="R22" s="135" t="s">
        <v>120</v>
      </c>
      <c r="S22" s="135" t="s">
        <v>117</v>
      </c>
      <c r="T22" s="135">
        <v>3.24</v>
      </c>
      <c r="U22" s="135">
        <v>3.24</v>
      </c>
      <c r="V22" s="135">
        <f t="shared" si="34"/>
        <v>8.084235740306403E-2</v>
      </c>
      <c r="W22" s="135">
        <v>2.63</v>
      </c>
      <c r="X22" s="135">
        <f t="shared" si="2"/>
        <v>8.2018337179567136E-2</v>
      </c>
      <c r="Y22" s="135">
        <v>147</v>
      </c>
      <c r="Z22" s="135">
        <v>49.3</v>
      </c>
      <c r="AA22" s="135">
        <v>0.02</v>
      </c>
      <c r="AB22" s="135">
        <f t="shared" si="33"/>
        <v>7.4123489733896671E-4</v>
      </c>
      <c r="AC22" s="135">
        <v>0.02</v>
      </c>
      <c r="AD22" s="135">
        <f t="shared" si="32"/>
        <v>3.5813412122840006E-4</v>
      </c>
      <c r="AE22" s="135" t="s">
        <v>114</v>
      </c>
      <c r="AF22" s="135" t="s">
        <v>116</v>
      </c>
      <c r="AG22" s="135">
        <v>0.05</v>
      </c>
      <c r="AH22" s="135">
        <f t="shared" si="3"/>
        <v>1.2788377922144357E-3</v>
      </c>
      <c r="AI22" s="135" t="s">
        <v>114</v>
      </c>
      <c r="AJ22" s="135">
        <v>0.04</v>
      </c>
      <c r="AK22" s="135">
        <f t="shared" si="4"/>
        <v>1.6457519029006377E-3</v>
      </c>
      <c r="AL22" s="135" t="s">
        <v>289</v>
      </c>
      <c r="AM22" s="143">
        <f>AO22*22.99</f>
        <v>25.625810665529006</v>
      </c>
      <c r="AN22" s="143"/>
      <c r="AO22" s="143">
        <f>0.7406*AR22+0.0075</f>
        <v>1.1146503116802526</v>
      </c>
      <c r="AP22" s="135">
        <v>530000</v>
      </c>
      <c r="AQ22" s="135">
        <f t="shared" si="7"/>
        <v>53</v>
      </c>
      <c r="AR22" s="135">
        <f t="shared" si="8"/>
        <v>1.4949369587905112</v>
      </c>
      <c r="AS22" s="135" t="s">
        <v>125</v>
      </c>
      <c r="AT22" s="135" t="s">
        <v>117</v>
      </c>
      <c r="AU22" s="135" t="s">
        <v>116</v>
      </c>
      <c r="AV22" s="135" t="s">
        <v>119</v>
      </c>
      <c r="AW22" s="135" t="s">
        <v>118</v>
      </c>
      <c r="AX22" s="135" t="s">
        <v>116</v>
      </c>
      <c r="AY22" s="135" t="s">
        <v>117</v>
      </c>
      <c r="AZ22" s="135" t="s">
        <v>114</v>
      </c>
      <c r="BA22" s="135" t="s">
        <v>116</v>
      </c>
      <c r="BB22" s="135" t="s">
        <v>114</v>
      </c>
      <c r="BC22" s="135" t="s">
        <v>116</v>
      </c>
      <c r="BD22" s="135" t="s">
        <v>116</v>
      </c>
      <c r="BE22" s="135" t="s">
        <v>124</v>
      </c>
      <c r="BF22" s="135" t="s">
        <v>123</v>
      </c>
      <c r="BG22" s="135" t="s">
        <v>124</v>
      </c>
      <c r="BH22" s="135" t="s">
        <v>123</v>
      </c>
      <c r="BI22" s="135" t="s">
        <v>152</v>
      </c>
      <c r="BJ22" s="135" t="s">
        <v>124</v>
      </c>
      <c r="BK22" s="135">
        <v>49.3</v>
      </c>
      <c r="BL22" s="135">
        <v>120</v>
      </c>
      <c r="BM22" s="135" t="s">
        <v>114</v>
      </c>
      <c r="BN22" s="135">
        <v>120</v>
      </c>
      <c r="BO22" s="135" t="s">
        <v>114</v>
      </c>
      <c r="BP22" s="135">
        <v>8.084235740306403E-2</v>
      </c>
      <c r="BQ22" s="135">
        <v>8.2018337179567136E-2</v>
      </c>
      <c r="BR22" s="135">
        <v>7.4123489733896671E-4</v>
      </c>
      <c r="BS22" s="135">
        <v>3.5813412122840006E-4</v>
      </c>
      <c r="BT22" s="135">
        <v>1.2788377922144357E-3</v>
      </c>
      <c r="BU22" s="135">
        <v>1.6457519029006377E-3</v>
      </c>
      <c r="BV22" s="143">
        <v>1.1146503116802526</v>
      </c>
      <c r="BW22" s="135">
        <v>1.4949369587905112</v>
      </c>
      <c r="BX22" s="135">
        <f t="shared" si="9"/>
        <v>0.49080578843991035</v>
      </c>
      <c r="BY22" s="135">
        <f t="shared" si="10"/>
        <v>0.32572138916526233</v>
      </c>
      <c r="BZ22" s="135">
        <f t="shared" si="11"/>
        <v>3.59299910137225</v>
      </c>
      <c r="CA22" s="135">
        <f t="shared" si="12"/>
        <v>0.48858208374789347</v>
      </c>
      <c r="CB22" s="135">
        <f t="shared" si="13"/>
        <v>2.2237046920169003E-3</v>
      </c>
      <c r="CC22" s="135">
        <f t="shared" si="14"/>
        <v>0.16286069458263117</v>
      </c>
      <c r="CD22" s="135">
        <f t="shared" si="15"/>
        <v>2.6095872704707639</v>
      </c>
      <c r="CE22" s="135">
        <f t="shared" si="16"/>
        <v>4.9688256134849049E-3</v>
      </c>
      <c r="CF22" s="135">
        <f t="shared" si="17"/>
        <v>1.2788377922144357E-3</v>
      </c>
      <c r="CG22" s="135">
        <v>2.63</v>
      </c>
      <c r="CH22" s="135">
        <v>3.24</v>
      </c>
      <c r="CI22" s="135">
        <f t="shared" si="18"/>
        <v>7.852401809250126</v>
      </c>
      <c r="CJ22" s="135">
        <f t="shared" si="19"/>
        <v>0.32800143888941913</v>
      </c>
      <c r="CK22" s="135">
        <v>0.02</v>
      </c>
      <c r="CL22" s="135">
        <v>0.02</v>
      </c>
      <c r="CM22" s="135">
        <v>0.05</v>
      </c>
      <c r="CN22" s="135">
        <v>0.04</v>
      </c>
      <c r="CO22" s="143">
        <v>25.625810665529006</v>
      </c>
      <c r="CP22" s="135">
        <v>53</v>
      </c>
      <c r="CQ22" s="135" t="s">
        <v>125</v>
      </c>
      <c r="CR22" s="135">
        <f t="shared" si="20"/>
        <v>7.1937860863314427</v>
      </c>
      <c r="CS22" s="135">
        <f t="shared" si="21"/>
        <v>92.806213913668557</v>
      </c>
      <c r="CT22" s="135">
        <f t="shared" si="22"/>
        <v>7.1937860863314427</v>
      </c>
      <c r="CU22" s="135" t="str">
        <f t="shared" si="23"/>
        <v xml:space="preserve">lower halite 29-3 </v>
      </c>
      <c r="CV22" s="135" t="str">
        <f t="shared" si="24"/>
        <v xml:space="preserve">29-3 </v>
      </c>
      <c r="CW22" s="135">
        <f t="shared" si="25"/>
        <v>14.050403248139546</v>
      </c>
      <c r="CX22" s="135">
        <f t="shared" si="26"/>
        <v>0.08</v>
      </c>
      <c r="CY22" s="135">
        <f t="shared" si="27"/>
        <v>78.625810665529002</v>
      </c>
      <c r="CZ22" s="135">
        <f t="shared" si="28"/>
        <v>0.05</v>
      </c>
      <c r="DA22" s="135" t="str">
        <f t="shared" si="29"/>
        <v>&lt; 0.001</v>
      </c>
      <c r="DC22" s="135">
        <f t="shared" si="30"/>
        <v>92.806213913668543</v>
      </c>
      <c r="DD22" s="135">
        <f t="shared" si="31"/>
        <v>7.1937860863314569</v>
      </c>
    </row>
    <row r="23" spans="1:108" s="135" customFormat="1" ht="15" x14ac:dyDescent="0.25">
      <c r="A23" s="135">
        <v>3</v>
      </c>
      <c r="B23" s="135" t="s">
        <v>351</v>
      </c>
      <c r="C23" t="s">
        <v>435</v>
      </c>
      <c r="D23" s="135" t="str">
        <f t="shared" si="0"/>
        <v xml:space="preserve">lower halite 35-2 </v>
      </c>
      <c r="E23" s="135" t="s">
        <v>121</v>
      </c>
      <c r="F23" s="135" t="s">
        <v>120</v>
      </c>
      <c r="G23" s="135" t="s">
        <v>116</v>
      </c>
      <c r="H23" s="135">
        <v>13</v>
      </c>
      <c r="I23" s="135" t="s">
        <v>116</v>
      </c>
      <c r="J23" s="135" t="s">
        <v>116</v>
      </c>
      <c r="K23" s="135" t="s">
        <v>117</v>
      </c>
      <c r="L23" s="135" t="s">
        <v>117</v>
      </c>
      <c r="M23" s="135" t="s">
        <v>116</v>
      </c>
      <c r="N23" s="135" t="s">
        <v>116</v>
      </c>
      <c r="O23" s="135" t="s">
        <v>117</v>
      </c>
      <c r="P23" s="135" t="s">
        <v>114</v>
      </c>
      <c r="Q23" s="135" t="s">
        <v>114</v>
      </c>
      <c r="R23" s="135" t="s">
        <v>120</v>
      </c>
      <c r="S23" s="135" t="s">
        <v>117</v>
      </c>
      <c r="T23" s="135">
        <v>2.0499999999999998</v>
      </c>
      <c r="U23" s="135">
        <v>2.0499999999999998</v>
      </c>
      <c r="V23" s="135">
        <f t="shared" si="34"/>
        <v>5.1150256998852228E-2</v>
      </c>
      <c r="W23" s="135">
        <v>1.47</v>
      </c>
      <c r="X23" s="135">
        <f t="shared" si="2"/>
        <v>4.5842948917856917E-2</v>
      </c>
      <c r="Y23" s="135">
        <v>101</v>
      </c>
      <c r="Z23" s="135">
        <v>50.6</v>
      </c>
      <c r="AA23" s="135">
        <v>0.02</v>
      </c>
      <c r="AB23" s="135">
        <f t="shared" si="33"/>
        <v>7.4123489733896671E-4</v>
      </c>
      <c r="AC23" s="135">
        <v>0.03</v>
      </c>
      <c r="AD23" s="135">
        <f t="shared" si="32"/>
        <v>5.3720118184260007E-4</v>
      </c>
      <c r="AE23" s="135" t="s">
        <v>114</v>
      </c>
      <c r="AF23" s="135" t="s">
        <v>116</v>
      </c>
      <c r="AG23" s="135">
        <v>0.14000000000000001</v>
      </c>
      <c r="AH23" s="135">
        <f t="shared" si="3"/>
        <v>3.5807458182004199E-3</v>
      </c>
      <c r="AI23" s="135" t="s">
        <v>114</v>
      </c>
      <c r="AJ23" s="135">
        <v>0.11</v>
      </c>
      <c r="AK23" s="135">
        <f t="shared" si="4"/>
        <v>4.5258177329767536E-3</v>
      </c>
      <c r="AL23" s="135" t="s">
        <v>289</v>
      </c>
      <c r="AM23" s="143">
        <f>AO23*22.99</f>
        <v>26.826442064846411</v>
      </c>
      <c r="AN23" s="143"/>
      <c r="AO23" s="143">
        <f>0.7406*AR23+0.0075</f>
        <v>1.1668743829859249</v>
      </c>
      <c r="AP23" s="135">
        <v>555000</v>
      </c>
      <c r="AQ23" s="135">
        <f t="shared" si="7"/>
        <v>55.5</v>
      </c>
      <c r="AR23" s="135">
        <f t="shared" si="8"/>
        <v>1.5654528530730825</v>
      </c>
      <c r="AS23" s="135">
        <v>1E-3</v>
      </c>
      <c r="AT23" s="135" t="s">
        <v>117</v>
      </c>
      <c r="AU23" s="135" t="s">
        <v>116</v>
      </c>
      <c r="AV23" s="135" t="s">
        <v>119</v>
      </c>
      <c r="AW23" s="135" t="s">
        <v>118</v>
      </c>
      <c r="AX23" s="135" t="s">
        <v>116</v>
      </c>
      <c r="AY23" s="135" t="s">
        <v>117</v>
      </c>
      <c r="AZ23" s="135" t="s">
        <v>114</v>
      </c>
      <c r="BA23" s="135" t="s">
        <v>116</v>
      </c>
      <c r="BB23" s="135" t="s">
        <v>114</v>
      </c>
      <c r="BC23" s="135" t="s">
        <v>116</v>
      </c>
      <c r="BD23" s="135" t="s">
        <v>116</v>
      </c>
      <c r="BE23" s="135" t="s">
        <v>124</v>
      </c>
      <c r="BF23" s="135" t="s">
        <v>123</v>
      </c>
      <c r="BG23" s="135" t="s">
        <v>124</v>
      </c>
      <c r="BH23" s="135" t="s">
        <v>123</v>
      </c>
      <c r="BI23" s="135" t="s">
        <v>143</v>
      </c>
      <c r="BJ23" s="135">
        <v>64</v>
      </c>
      <c r="BK23" s="135">
        <v>50.6</v>
      </c>
      <c r="BL23" s="135">
        <v>158</v>
      </c>
      <c r="BM23" s="135">
        <v>32</v>
      </c>
      <c r="BN23" s="135">
        <v>125</v>
      </c>
      <c r="BO23" s="135" t="s">
        <v>114</v>
      </c>
      <c r="BP23" s="135">
        <v>5.1150256998852228E-2</v>
      </c>
      <c r="BQ23" s="135">
        <v>4.5842948917856917E-2</v>
      </c>
      <c r="BR23" s="135">
        <v>7.4123489733896671E-4</v>
      </c>
      <c r="BS23" s="135">
        <v>5.3720118184260007E-4</v>
      </c>
      <c r="BT23" s="135">
        <v>3.5807458182004199E-3</v>
      </c>
      <c r="BU23" s="135">
        <v>4.5258177329767536E-3</v>
      </c>
      <c r="BV23" s="143">
        <v>1.1668743829859249</v>
      </c>
      <c r="BW23" s="135">
        <v>1.5654528530730825</v>
      </c>
      <c r="BX23" s="135">
        <f t="shared" si="9"/>
        <v>0.29320332244214437</v>
      </c>
      <c r="BY23" s="135">
        <f t="shared" si="10"/>
        <v>0.1939864118334183</v>
      </c>
      <c r="BZ23" s="135">
        <f t="shared" si="11"/>
        <v>3.3258951758816377</v>
      </c>
      <c r="CA23" s="135">
        <f t="shared" si="12"/>
        <v>0.29097961775012748</v>
      </c>
      <c r="CB23" s="135">
        <f t="shared" si="13"/>
        <v>2.2237046920169003E-3</v>
      </c>
      <c r="CC23" s="135">
        <f t="shared" si="14"/>
        <v>9.6993205916709152E-2</v>
      </c>
      <c r="CD23" s="135">
        <f t="shared" si="15"/>
        <v>2.7323272360590076</v>
      </c>
      <c r="CE23" s="135">
        <f t="shared" si="16"/>
        <v>8.0279585041752206E-3</v>
      </c>
      <c r="CF23" s="135">
        <f t="shared" si="17"/>
        <v>3.5807458182004199E-3</v>
      </c>
      <c r="CG23" s="135">
        <v>1.47</v>
      </c>
      <c r="CH23" s="135">
        <v>2.0499999999999998</v>
      </c>
      <c r="CI23" s="135">
        <f t="shared" si="18"/>
        <v>4.6909599557518682</v>
      </c>
      <c r="CJ23" s="135">
        <f t="shared" si="19"/>
        <v>0.19534431671625221</v>
      </c>
      <c r="CK23" s="135">
        <v>0.02</v>
      </c>
      <c r="CL23" s="135">
        <v>0.03</v>
      </c>
      <c r="CM23" s="135">
        <v>0.14000000000000001</v>
      </c>
      <c r="CN23" s="135">
        <v>0.11</v>
      </c>
      <c r="CO23" s="143">
        <v>26.826442064846411</v>
      </c>
      <c r="CP23" s="135">
        <v>55.5</v>
      </c>
      <c r="CQ23" s="135">
        <v>1E-3</v>
      </c>
      <c r="CR23" s="135">
        <f t="shared" si="20"/>
        <v>8.9662536626854603</v>
      </c>
      <c r="CS23" s="135">
        <f t="shared" si="21"/>
        <v>91.03374633731454</v>
      </c>
      <c r="CT23" s="135">
        <f t="shared" si="22"/>
        <v>8.9662536626854603</v>
      </c>
      <c r="CU23" s="135" t="str">
        <f t="shared" si="23"/>
        <v xml:space="preserve">lower halite 35-2 </v>
      </c>
      <c r="CV23" s="135" t="str">
        <f t="shared" si="24"/>
        <v xml:space="preserve">35-2 </v>
      </c>
      <c r="CW23" s="135">
        <f t="shared" si="25"/>
        <v>8.4063042724681196</v>
      </c>
      <c r="CX23" s="135">
        <f t="shared" si="26"/>
        <v>0.16</v>
      </c>
      <c r="CY23" s="135">
        <f t="shared" si="27"/>
        <v>82.326442064846418</v>
      </c>
      <c r="CZ23" s="135">
        <f t="shared" si="28"/>
        <v>0.14000000000000001</v>
      </c>
      <c r="DA23" s="135">
        <f t="shared" si="29"/>
        <v>1E-3</v>
      </c>
      <c r="DC23" s="135">
        <f t="shared" si="30"/>
        <v>91.03374633731454</v>
      </c>
      <c r="DD23" s="135">
        <f t="shared" si="31"/>
        <v>8.9662536626854603</v>
      </c>
    </row>
    <row r="24" spans="1:108" s="135" customFormat="1" ht="13.5" customHeight="1" x14ac:dyDescent="0.25">
      <c r="A24" s="135">
        <v>3</v>
      </c>
      <c r="B24" s="135" t="s">
        <v>351</v>
      </c>
      <c r="C24" t="s">
        <v>436</v>
      </c>
      <c r="D24" s="135" t="str">
        <f t="shared" si="0"/>
        <v xml:space="preserve">lower halite 35-3 </v>
      </c>
      <c r="E24" s="135" t="s">
        <v>121</v>
      </c>
      <c r="F24" s="135" t="s">
        <v>120</v>
      </c>
      <c r="G24" s="135" t="s">
        <v>116</v>
      </c>
      <c r="H24" s="135">
        <v>6</v>
      </c>
      <c r="I24" s="135" t="s">
        <v>116</v>
      </c>
      <c r="J24" s="135" t="s">
        <v>116</v>
      </c>
      <c r="K24" s="135" t="s">
        <v>117</v>
      </c>
      <c r="L24" s="135">
        <v>114</v>
      </c>
      <c r="M24" s="135" t="s">
        <v>116</v>
      </c>
      <c r="N24" s="135" t="s">
        <v>116</v>
      </c>
      <c r="O24" s="135" t="s">
        <v>117</v>
      </c>
      <c r="P24" s="135" t="s">
        <v>114</v>
      </c>
      <c r="Q24" s="135">
        <v>11</v>
      </c>
      <c r="R24" s="135" t="s">
        <v>120</v>
      </c>
      <c r="S24" s="135" t="s">
        <v>117</v>
      </c>
      <c r="T24" s="135">
        <v>3.23</v>
      </c>
      <c r="U24" s="135">
        <v>3.23</v>
      </c>
      <c r="V24" s="135">
        <f t="shared" si="34"/>
        <v>8.0592843954289131E-2</v>
      </c>
      <c r="W24" s="135">
        <v>2.52</v>
      </c>
      <c r="X24" s="135">
        <f t="shared" si="2"/>
        <v>7.8587912430611861E-2</v>
      </c>
      <c r="Y24" s="135">
        <v>152</v>
      </c>
      <c r="Z24" s="135">
        <v>51.5</v>
      </c>
      <c r="AA24" s="135">
        <v>0.03</v>
      </c>
      <c r="AB24" s="135">
        <f t="shared" si="33"/>
        <v>1.1118523460084502E-3</v>
      </c>
      <c r="AC24" s="135">
        <v>0.03</v>
      </c>
      <c r="AD24" s="135">
        <f t="shared" si="32"/>
        <v>5.3720118184260007E-4</v>
      </c>
      <c r="AE24" s="135" t="s">
        <v>114</v>
      </c>
      <c r="AF24" s="135" t="s">
        <v>116</v>
      </c>
      <c r="AG24" s="135">
        <v>0.09</v>
      </c>
      <c r="AH24" s="135">
        <f t="shared" si="3"/>
        <v>2.3019080259859838E-3</v>
      </c>
      <c r="AI24" s="135" t="s">
        <v>114</v>
      </c>
      <c r="AJ24" s="135">
        <v>0.08</v>
      </c>
      <c r="AK24" s="135">
        <f t="shared" si="4"/>
        <v>3.2915038058012754E-3</v>
      </c>
      <c r="AL24" s="135" t="s">
        <v>290</v>
      </c>
      <c r="AM24" s="143">
        <f>AO24*22.99</f>
        <v>25.385684385665527</v>
      </c>
      <c r="AN24" s="143"/>
      <c r="AO24" s="143">
        <f>0.7406*AR24+0.0075</f>
        <v>1.1042054974191182</v>
      </c>
      <c r="AP24" s="135">
        <v>525000</v>
      </c>
      <c r="AQ24" s="135">
        <f t="shared" si="7"/>
        <v>52.5</v>
      </c>
      <c r="AR24" s="135">
        <f t="shared" si="8"/>
        <v>1.480833779933997</v>
      </c>
      <c r="AS24" s="135">
        <v>1E-3</v>
      </c>
      <c r="AT24" s="135" t="s">
        <v>117</v>
      </c>
      <c r="AU24" s="135" t="s">
        <v>116</v>
      </c>
      <c r="AV24" s="135" t="s">
        <v>119</v>
      </c>
      <c r="AW24" s="135" t="s">
        <v>118</v>
      </c>
      <c r="AX24" s="135" t="s">
        <v>116</v>
      </c>
      <c r="AY24" s="135" t="s">
        <v>117</v>
      </c>
      <c r="AZ24" s="135" t="s">
        <v>114</v>
      </c>
      <c r="BA24" s="135" t="s">
        <v>116</v>
      </c>
      <c r="BB24" s="135" t="s">
        <v>114</v>
      </c>
      <c r="BC24" s="135" t="s">
        <v>116</v>
      </c>
      <c r="BD24" s="135" t="s">
        <v>116</v>
      </c>
      <c r="BE24" s="135" t="s">
        <v>124</v>
      </c>
      <c r="BF24" s="135" t="s">
        <v>123</v>
      </c>
      <c r="BG24" s="135" t="s">
        <v>124</v>
      </c>
      <c r="BH24" s="135" t="s">
        <v>123</v>
      </c>
      <c r="BI24" s="135" t="s">
        <v>142</v>
      </c>
      <c r="BJ24" s="135">
        <v>220</v>
      </c>
      <c r="BK24" s="135">
        <v>51.5</v>
      </c>
      <c r="BL24" s="135">
        <v>111</v>
      </c>
      <c r="BM24" s="135" t="s">
        <v>114</v>
      </c>
      <c r="BN24" s="135">
        <v>111</v>
      </c>
      <c r="BO24" s="135" t="s">
        <v>114</v>
      </c>
      <c r="BP24" s="135">
        <v>8.0592843954289131E-2</v>
      </c>
      <c r="BQ24" s="135">
        <v>7.8587912430611861E-2</v>
      </c>
      <c r="BR24" s="135">
        <v>1.1118523460084502E-3</v>
      </c>
      <c r="BS24" s="135">
        <v>5.3720118184260007E-4</v>
      </c>
      <c r="BT24" s="135">
        <v>2.3019080259859838E-3</v>
      </c>
      <c r="BU24" s="135">
        <v>3.2915038058012754E-3</v>
      </c>
      <c r="BV24" s="143">
        <v>1.1042054974191182</v>
      </c>
      <c r="BW24" s="135">
        <v>1.480833779933997</v>
      </c>
      <c r="BX24" s="135">
        <f t="shared" si="9"/>
        <v>0.48087782619272829</v>
      </c>
      <c r="BY24" s="135">
        <f t="shared" si="10"/>
        <v>0.31836151276980196</v>
      </c>
      <c r="BZ24" s="135">
        <f t="shared" si="11"/>
        <v>3.5507018380601854</v>
      </c>
      <c r="CA24" s="135">
        <f t="shared" si="12"/>
        <v>0.47754226915470294</v>
      </c>
      <c r="CB24" s="135">
        <f t="shared" si="13"/>
        <v>3.3355570380253505E-3</v>
      </c>
      <c r="CC24" s="135">
        <f t="shared" si="14"/>
        <v>0.15918075638490098</v>
      </c>
      <c r="CD24" s="135">
        <f t="shared" si="15"/>
        <v>2.5850392773531152</v>
      </c>
      <c r="CE24" s="135">
        <f t="shared" si="16"/>
        <v>8.2761143716776758E-3</v>
      </c>
      <c r="CF24" s="135">
        <f t="shared" si="17"/>
        <v>2.3019080259859838E-3</v>
      </c>
      <c r="CG24" s="135">
        <v>2.52</v>
      </c>
      <c r="CH24" s="135">
        <v>3.23</v>
      </c>
      <c r="CI24" s="135">
        <f t="shared" si="18"/>
        <v>7.6935643412574599</v>
      </c>
      <c r="CJ24" s="135">
        <f t="shared" si="19"/>
        <v>0.32059004335919056</v>
      </c>
      <c r="CK24" s="135">
        <v>0.03</v>
      </c>
      <c r="CL24" s="135">
        <v>0.03</v>
      </c>
      <c r="CM24" s="135">
        <v>0.09</v>
      </c>
      <c r="CN24" s="135">
        <v>0.08</v>
      </c>
      <c r="CO24" s="143">
        <v>25.385684385665527</v>
      </c>
      <c r="CP24" s="135">
        <v>52.5</v>
      </c>
      <c r="CQ24" s="135">
        <v>1E-3</v>
      </c>
      <c r="CR24" s="135">
        <f t="shared" si="20"/>
        <v>8.1191612297178182</v>
      </c>
      <c r="CS24" s="135">
        <f t="shared" si="21"/>
        <v>91.880838770282182</v>
      </c>
      <c r="CT24" s="135">
        <f t="shared" si="22"/>
        <v>8.1191612297178182</v>
      </c>
      <c r="CU24" s="135" t="str">
        <f t="shared" si="23"/>
        <v xml:space="preserve">lower halite 35-3 </v>
      </c>
      <c r="CV24" s="135" t="str">
        <f t="shared" si="24"/>
        <v xml:space="preserve">35-3 </v>
      </c>
      <c r="CW24" s="135">
        <f t="shared" si="25"/>
        <v>13.764154384616651</v>
      </c>
      <c r="CX24" s="135">
        <f t="shared" si="26"/>
        <v>0.14000000000000001</v>
      </c>
      <c r="CY24" s="135">
        <f t="shared" si="27"/>
        <v>77.885684385665527</v>
      </c>
      <c r="CZ24" s="135">
        <f t="shared" si="28"/>
        <v>0.09</v>
      </c>
      <c r="DA24" s="135">
        <f t="shared" si="29"/>
        <v>1E-3</v>
      </c>
      <c r="DC24" s="135">
        <f t="shared" si="30"/>
        <v>91.880838770282182</v>
      </c>
      <c r="DD24" s="135">
        <f t="shared" si="31"/>
        <v>8.1191612297178182</v>
      </c>
    </row>
    <row r="25" spans="1:108" s="135" customFormat="1" ht="13.5" customHeight="1" x14ac:dyDescent="0.25">
      <c r="A25" s="135">
        <v>3</v>
      </c>
      <c r="B25" s="135" t="s">
        <v>351</v>
      </c>
      <c r="C25" t="s">
        <v>437</v>
      </c>
      <c r="D25" s="135" t="str">
        <f t="shared" si="0"/>
        <v xml:space="preserve">lower halite 56-3 </v>
      </c>
      <c r="E25" s="135" t="s">
        <v>121</v>
      </c>
      <c r="F25" s="135" t="s">
        <v>120</v>
      </c>
      <c r="G25" s="135" t="s">
        <v>116</v>
      </c>
      <c r="H25" s="135" t="s">
        <v>115</v>
      </c>
      <c r="I25" s="135" t="s">
        <v>116</v>
      </c>
      <c r="J25" s="135" t="s">
        <v>116</v>
      </c>
      <c r="K25" s="135" t="s">
        <v>117</v>
      </c>
      <c r="L25" s="135" t="s">
        <v>117</v>
      </c>
      <c r="M25" s="135" t="s">
        <v>116</v>
      </c>
      <c r="N25" s="135" t="s">
        <v>116</v>
      </c>
      <c r="O25" s="135" t="s">
        <v>117</v>
      </c>
      <c r="P25" s="135" t="s">
        <v>114</v>
      </c>
      <c r="Q25" s="135" t="s">
        <v>114</v>
      </c>
      <c r="R25" s="135" t="s">
        <v>120</v>
      </c>
      <c r="S25" s="135" t="s">
        <v>117</v>
      </c>
      <c r="T25" s="135">
        <v>0.96</v>
      </c>
      <c r="U25" s="135">
        <v>0.96</v>
      </c>
      <c r="V25" s="135">
        <f t="shared" si="34"/>
        <v>2.3953291082389336E-2</v>
      </c>
      <c r="W25" s="135">
        <v>0.74</v>
      </c>
      <c r="X25" s="135">
        <f t="shared" si="2"/>
        <v>2.3077402856608243E-2</v>
      </c>
      <c r="Y25" s="135">
        <v>71</v>
      </c>
      <c r="Z25" s="135">
        <v>23.5</v>
      </c>
      <c r="AA25" s="135" t="s">
        <v>119</v>
      </c>
      <c r="AC25" s="135">
        <v>0.01</v>
      </c>
      <c r="AD25" s="135">
        <f t="shared" si="32"/>
        <v>1.7906706061420003E-4</v>
      </c>
      <c r="AE25" s="135" t="s">
        <v>114</v>
      </c>
      <c r="AF25" s="135" t="s">
        <v>116</v>
      </c>
      <c r="AG25" s="135">
        <v>0.09</v>
      </c>
      <c r="AH25" s="135">
        <f t="shared" si="3"/>
        <v>2.3019080259859838E-3</v>
      </c>
      <c r="AI25" s="135" t="s">
        <v>114</v>
      </c>
      <c r="AJ25" s="135">
        <v>0.05</v>
      </c>
      <c r="AK25" s="135">
        <f t="shared" si="4"/>
        <v>2.0571898786257972E-3</v>
      </c>
      <c r="AL25" s="135" t="s">
        <v>286</v>
      </c>
      <c r="AM25" s="143">
        <f>AO25*22.99</f>
        <v>28.60337653583618</v>
      </c>
      <c r="AN25" s="143"/>
      <c r="AO25" s="143">
        <f>0.7406*AR25+0.0075</f>
        <v>1.2441660085183202</v>
      </c>
      <c r="AP25" s="135">
        <v>592000</v>
      </c>
      <c r="AQ25" s="135">
        <f t="shared" si="7"/>
        <v>59.2</v>
      </c>
      <c r="AR25" s="135">
        <f t="shared" si="8"/>
        <v>1.6698163766112881</v>
      </c>
      <c r="AS25" s="135" t="s">
        <v>125</v>
      </c>
      <c r="AT25" s="135" t="s">
        <v>117</v>
      </c>
      <c r="AU25" s="135" t="s">
        <v>116</v>
      </c>
      <c r="AV25" s="135" t="s">
        <v>119</v>
      </c>
      <c r="AW25" s="135" t="s">
        <v>118</v>
      </c>
      <c r="AX25" s="135" t="s">
        <v>116</v>
      </c>
      <c r="AY25" s="135" t="s">
        <v>117</v>
      </c>
      <c r="AZ25" s="135" t="s">
        <v>114</v>
      </c>
      <c r="BA25" s="135" t="s">
        <v>116</v>
      </c>
      <c r="BB25" s="135" t="s">
        <v>114</v>
      </c>
      <c r="BC25" s="135" t="s">
        <v>116</v>
      </c>
      <c r="BD25" s="135" t="s">
        <v>116</v>
      </c>
      <c r="BE25" s="135" t="s">
        <v>124</v>
      </c>
      <c r="BF25" s="135" t="s">
        <v>123</v>
      </c>
      <c r="BG25" s="135" t="s">
        <v>124</v>
      </c>
      <c r="BH25" s="135" t="s">
        <v>123</v>
      </c>
      <c r="BI25" s="135" t="s">
        <v>139</v>
      </c>
      <c r="BJ25" s="135" t="s">
        <v>124</v>
      </c>
      <c r="BK25" s="135">
        <v>23.5</v>
      </c>
      <c r="BL25" s="135">
        <v>120</v>
      </c>
      <c r="BM25" s="135" t="s">
        <v>114</v>
      </c>
      <c r="BN25" s="135">
        <v>120</v>
      </c>
      <c r="BO25" s="135" t="s">
        <v>114</v>
      </c>
      <c r="BP25" s="135">
        <v>2.3953291082389336E-2</v>
      </c>
      <c r="BQ25" s="135">
        <v>2.3077402856608243E-2</v>
      </c>
      <c r="BS25" s="135">
        <v>1.7906706061420003E-4</v>
      </c>
      <c r="BT25" s="135">
        <v>2.3019080259859838E-3</v>
      </c>
      <c r="BU25" s="135">
        <v>2.0571898786257972E-3</v>
      </c>
      <c r="BV25" s="143">
        <v>1.2441660085183202</v>
      </c>
      <c r="BW25" s="135">
        <v>1.6698163766112881</v>
      </c>
      <c r="BX25" s="135">
        <f t="shared" si="9"/>
        <v>0.14109208181699273</v>
      </c>
      <c r="BY25" s="135">
        <f t="shared" si="10"/>
        <v>9.4061387877995159E-2</v>
      </c>
      <c r="BZ25" s="135">
        <f t="shared" si="11"/>
        <v>3.2007047137288196</v>
      </c>
      <c r="CA25" s="135">
        <f t="shared" si="12"/>
        <v>0.14109208181699273</v>
      </c>
      <c r="CB25" s="135">
        <f t="shared" si="13"/>
        <v>0</v>
      </c>
      <c r="CC25" s="135">
        <f t="shared" si="14"/>
        <v>4.7030693938997579E-2</v>
      </c>
      <c r="CD25" s="135">
        <f t="shared" si="15"/>
        <v>2.9139823851296081</v>
      </c>
      <c r="CE25" s="135">
        <f t="shared" si="16"/>
        <v>2.2362569392399972E-3</v>
      </c>
      <c r="CF25" s="135">
        <f t="shared" si="17"/>
        <v>2.3019080259859838E-3</v>
      </c>
      <c r="CG25" s="135">
        <v>0.74</v>
      </c>
      <c r="CH25" s="135">
        <v>0.96</v>
      </c>
      <c r="CI25" s="135">
        <f t="shared" si="18"/>
        <v>2.2573322169900667</v>
      </c>
      <c r="CJ25" s="135">
        <f t="shared" si="19"/>
        <v>9.4719817593141117E-2</v>
      </c>
      <c r="CK25" s="135">
        <v>0</v>
      </c>
      <c r="CL25" s="135">
        <v>0.01</v>
      </c>
      <c r="CM25" s="135">
        <v>0.09</v>
      </c>
      <c r="CN25" s="135">
        <v>0.05</v>
      </c>
      <c r="CO25" s="143">
        <v>28.60337653583618</v>
      </c>
      <c r="CP25" s="135">
        <v>59.2</v>
      </c>
      <c r="CQ25" s="135" t="s">
        <v>125</v>
      </c>
      <c r="CR25" s="135">
        <f t="shared" si="20"/>
        <v>7.994571429580617</v>
      </c>
      <c r="CS25" s="135">
        <f t="shared" si="21"/>
        <v>92.005428570419383</v>
      </c>
      <c r="CT25" s="135">
        <f t="shared" si="22"/>
        <v>7.994571429580617</v>
      </c>
      <c r="CU25" s="135" t="str">
        <f t="shared" si="23"/>
        <v xml:space="preserve">lower halite 56-3 </v>
      </c>
      <c r="CV25" s="135" t="str">
        <f t="shared" si="24"/>
        <v xml:space="preserve">56-3 </v>
      </c>
      <c r="CW25" s="135">
        <f t="shared" si="25"/>
        <v>4.0520520345832081</v>
      </c>
      <c r="CX25" s="135">
        <f t="shared" si="26"/>
        <v>6.0000000000000005E-2</v>
      </c>
      <c r="CY25" s="135">
        <f t="shared" si="27"/>
        <v>87.803376535836179</v>
      </c>
      <c r="CZ25" s="135">
        <f t="shared" si="28"/>
        <v>0.09</v>
      </c>
      <c r="DA25" s="135" t="str">
        <f t="shared" si="29"/>
        <v>&lt; 0.001</v>
      </c>
      <c r="DC25" s="135">
        <f t="shared" si="30"/>
        <v>92.005428570419383</v>
      </c>
      <c r="DD25" s="135">
        <f t="shared" si="31"/>
        <v>7.994571429580617</v>
      </c>
    </row>
    <row r="26" spans="1:108" s="135" customFormat="1" ht="15" customHeight="1" x14ac:dyDescent="0.2">
      <c r="A26" s="135">
        <v>4</v>
      </c>
      <c r="B26" s="135" t="s">
        <v>352</v>
      </c>
      <c r="C26" t="s">
        <v>438</v>
      </c>
      <c r="D26" s="135" t="str">
        <f t="shared" si="0"/>
        <v xml:space="preserve">lower gypsum 12B-3 </v>
      </c>
      <c r="E26" s="135" t="s">
        <v>121</v>
      </c>
      <c r="F26" s="135" t="s">
        <v>120</v>
      </c>
      <c r="G26" s="135">
        <v>3</v>
      </c>
      <c r="H26" s="135">
        <v>26</v>
      </c>
      <c r="I26" s="135" t="s">
        <v>116</v>
      </c>
      <c r="J26" s="135" t="s">
        <v>116</v>
      </c>
      <c r="K26" s="135" t="s">
        <v>117</v>
      </c>
      <c r="L26" s="135">
        <v>7</v>
      </c>
      <c r="M26" s="135" t="s">
        <v>116</v>
      </c>
      <c r="N26" s="135">
        <v>1</v>
      </c>
      <c r="O26" s="135" t="s">
        <v>117</v>
      </c>
      <c r="P26" s="135" t="s">
        <v>114</v>
      </c>
      <c r="Q26" s="135">
        <v>25</v>
      </c>
      <c r="R26" s="135" t="s">
        <v>120</v>
      </c>
      <c r="S26" s="135" t="s">
        <v>117</v>
      </c>
      <c r="T26" s="135">
        <v>8.67</v>
      </c>
      <c r="U26" s="135">
        <v>8.67</v>
      </c>
      <c r="V26" s="135">
        <f t="shared" si="34"/>
        <v>0.21632816008782871</v>
      </c>
      <c r="W26" s="135">
        <v>7.14</v>
      </c>
      <c r="X26" s="135">
        <f t="shared" si="2"/>
        <v>0.2226657518867336</v>
      </c>
      <c r="Y26" s="135">
        <v>337</v>
      </c>
      <c r="Z26" s="135">
        <v>23.6</v>
      </c>
      <c r="AA26" s="135">
        <v>0.14000000000000001</v>
      </c>
      <c r="AB26" s="135">
        <f>AA26/26.982</f>
        <v>5.188644281372768E-3</v>
      </c>
      <c r="AC26" s="135">
        <v>0.12</v>
      </c>
      <c r="AD26" s="135">
        <f t="shared" si="32"/>
        <v>2.1488047273704003E-3</v>
      </c>
      <c r="AE26" s="135" t="s">
        <v>114</v>
      </c>
      <c r="AF26" s="135" t="s">
        <v>116</v>
      </c>
      <c r="AG26" s="135">
        <v>0.18</v>
      </c>
      <c r="AH26" s="135">
        <f t="shared" si="3"/>
        <v>4.6038160519719677E-3</v>
      </c>
      <c r="AI26" s="135" t="s">
        <v>114</v>
      </c>
      <c r="AJ26" s="135">
        <v>0.32</v>
      </c>
      <c r="AK26" s="135">
        <f t="shared" si="4"/>
        <v>1.3166015223205102E-2</v>
      </c>
      <c r="AL26" s="135" t="s">
        <v>296</v>
      </c>
      <c r="AM26" s="135">
        <v>2.2000000000000002</v>
      </c>
      <c r="AN26" s="135">
        <f>AM26/22.99</f>
        <v>9.5693779904306234E-2</v>
      </c>
      <c r="AO26" s="135">
        <v>9.5693779904306234E-2</v>
      </c>
      <c r="AP26" s="135">
        <v>42500</v>
      </c>
      <c r="AQ26" s="135">
        <f t="shared" si="7"/>
        <v>4.25</v>
      </c>
      <c r="AR26" s="135">
        <f t="shared" si="8"/>
        <v>0.11987702028037119</v>
      </c>
      <c r="AS26" s="135">
        <v>7.0000000000000001E-3</v>
      </c>
      <c r="AT26" s="135" t="s">
        <v>117</v>
      </c>
      <c r="AU26" s="135" t="s">
        <v>116</v>
      </c>
      <c r="AV26" s="135" t="s">
        <v>119</v>
      </c>
      <c r="AW26" s="135" t="s">
        <v>118</v>
      </c>
      <c r="AX26" s="135" t="s">
        <v>116</v>
      </c>
      <c r="AY26" s="135" t="s">
        <v>117</v>
      </c>
      <c r="AZ26" s="135" t="s">
        <v>114</v>
      </c>
      <c r="BA26" s="135">
        <v>3</v>
      </c>
      <c r="BB26" s="135" t="s">
        <v>114</v>
      </c>
      <c r="BC26" s="135" t="s">
        <v>116</v>
      </c>
      <c r="BD26" s="135">
        <v>1</v>
      </c>
      <c r="BE26" s="135" t="s">
        <v>115</v>
      </c>
      <c r="BF26" s="135">
        <v>19.2</v>
      </c>
      <c r="BG26" s="135" t="s">
        <v>115</v>
      </c>
      <c r="BH26" s="135" t="s">
        <v>114</v>
      </c>
      <c r="BI26" s="135" t="s">
        <v>149</v>
      </c>
      <c r="BJ26" s="135">
        <v>9.74</v>
      </c>
      <c r="BK26" s="135">
        <v>23.6</v>
      </c>
      <c r="BL26" s="135">
        <v>153</v>
      </c>
      <c r="BM26" s="135">
        <v>16</v>
      </c>
      <c r="BN26" s="135">
        <v>136</v>
      </c>
      <c r="BO26" s="135" t="s">
        <v>114</v>
      </c>
      <c r="BP26" s="135">
        <v>0.21632816008782871</v>
      </c>
      <c r="BQ26" s="135">
        <v>0.2226657518867336</v>
      </c>
      <c r="BR26" s="135">
        <v>5.188644281372768E-3</v>
      </c>
      <c r="BS26" s="135">
        <v>2.1488047273704003E-3</v>
      </c>
      <c r="BT26" s="135">
        <v>4.6038160519719677E-3</v>
      </c>
      <c r="BU26" s="135">
        <v>1.3166015223205102E-2</v>
      </c>
      <c r="BV26" s="135">
        <v>9.5693779904306234E-2</v>
      </c>
      <c r="BW26" s="135">
        <v>0.11987702028037119</v>
      </c>
      <c r="BX26" s="135">
        <f t="shared" si="9"/>
        <v>1.3325476687678051</v>
      </c>
      <c r="BY26" s="135">
        <f t="shared" si="10"/>
        <v>0.87798782394912456</v>
      </c>
      <c r="BZ26" s="135">
        <f t="shared" si="11"/>
        <v>2.8902074851600896</v>
      </c>
      <c r="CA26" s="135">
        <f t="shared" si="12"/>
        <v>1.3169817359236868</v>
      </c>
      <c r="CB26" s="135">
        <f t="shared" si="13"/>
        <v>1.5565932844118304E-2</v>
      </c>
      <c r="CC26" s="135">
        <f t="shared" si="14"/>
        <v>0.43899391197456228</v>
      </c>
      <c r="CD26" s="135">
        <f t="shared" si="15"/>
        <v>0.21557080018467742</v>
      </c>
      <c r="CE26" s="135">
        <f t="shared" si="16"/>
        <v>3.6069397076066573E-2</v>
      </c>
      <c r="CF26" s="135">
        <f t="shared" si="17"/>
        <v>4.6038160519719677E-3</v>
      </c>
      <c r="CG26" s="135">
        <v>7.14</v>
      </c>
      <c r="CH26" s="135">
        <v>8.67</v>
      </c>
      <c r="CI26" s="135">
        <f t="shared" si="18"/>
        <v>21.319430152616114</v>
      </c>
      <c r="CJ26" s="135">
        <f t="shared" si="19"/>
        <v>0.88413373871676837</v>
      </c>
      <c r="CK26" s="135">
        <v>0.14000000000000001</v>
      </c>
      <c r="CL26" s="135">
        <v>0.12</v>
      </c>
      <c r="CM26" s="135">
        <v>0.18</v>
      </c>
      <c r="CN26" s="135">
        <v>0.32</v>
      </c>
      <c r="CO26" s="135">
        <v>2.2000000000000002</v>
      </c>
      <c r="CP26" s="135">
        <v>4.25</v>
      </c>
      <c r="CQ26" s="135">
        <v>7.0000000000000001E-3</v>
      </c>
      <c r="CR26" s="135">
        <f t="shared" si="20"/>
        <v>54.769436108667122</v>
      </c>
      <c r="CS26" s="135">
        <f t="shared" si="21"/>
        <v>45.230563891332878</v>
      </c>
      <c r="CT26" s="135">
        <f t="shared" si="22"/>
        <v>54.769436108667122</v>
      </c>
      <c r="CU26" s="135" t="str">
        <f t="shared" si="23"/>
        <v xml:space="preserve">lower gypsum 12B-3 </v>
      </c>
      <c r="CV26" s="135" t="str">
        <f t="shared" si="24"/>
        <v xml:space="preserve">12B-3 </v>
      </c>
      <c r="CW26" s="135">
        <f t="shared" si="25"/>
        <v>38.013563891332879</v>
      </c>
      <c r="CX26" s="135">
        <f t="shared" si="26"/>
        <v>0.58000000000000007</v>
      </c>
      <c r="CY26" s="135">
        <f t="shared" si="27"/>
        <v>6.45</v>
      </c>
      <c r="CZ26" s="135">
        <f t="shared" si="28"/>
        <v>0.18</v>
      </c>
      <c r="DA26" s="135">
        <f t="shared" si="29"/>
        <v>7.0000000000000001E-3</v>
      </c>
      <c r="DB26" s="135">
        <f>DD26</f>
        <v>54.769436108667122</v>
      </c>
      <c r="DC26" s="135">
        <f t="shared" si="30"/>
        <v>45.230563891332878</v>
      </c>
      <c r="DD26" s="135">
        <f t="shared" si="31"/>
        <v>54.769436108667122</v>
      </c>
    </row>
    <row r="27" spans="1:108" s="135" customFormat="1" ht="15" x14ac:dyDescent="0.25">
      <c r="A27" s="135">
        <v>4</v>
      </c>
      <c r="B27" s="135" t="s">
        <v>352</v>
      </c>
      <c r="C27" t="s">
        <v>439</v>
      </c>
      <c r="D27" s="135" t="str">
        <f t="shared" si="0"/>
        <v xml:space="preserve">lower gypsum 56-4 </v>
      </c>
      <c r="E27" s="135" t="s">
        <v>121</v>
      </c>
      <c r="F27" s="135" t="s">
        <v>120</v>
      </c>
      <c r="G27" s="135">
        <v>5</v>
      </c>
      <c r="H27" s="135">
        <v>13</v>
      </c>
      <c r="I27" s="135">
        <v>2</v>
      </c>
      <c r="J27" s="135" t="s">
        <v>116</v>
      </c>
      <c r="K27" s="135" t="s">
        <v>117</v>
      </c>
      <c r="L27" s="135">
        <v>3</v>
      </c>
      <c r="M27" s="135" t="s">
        <v>116</v>
      </c>
      <c r="N27" s="135" t="s">
        <v>116</v>
      </c>
      <c r="O27" s="135" t="s">
        <v>117</v>
      </c>
      <c r="P27" s="135" t="s">
        <v>114</v>
      </c>
      <c r="Q27" s="135">
        <v>20</v>
      </c>
      <c r="R27" s="135" t="s">
        <v>120</v>
      </c>
      <c r="S27" s="135" t="s">
        <v>117</v>
      </c>
      <c r="T27" s="135">
        <v>7.16</v>
      </c>
      <c r="U27" s="135">
        <v>7.16</v>
      </c>
      <c r="V27" s="135">
        <f t="shared" si="34"/>
        <v>0.1786516293228205</v>
      </c>
      <c r="W27" s="135">
        <v>6.35</v>
      </c>
      <c r="X27" s="135">
        <f t="shared" si="2"/>
        <v>0.19802906505332749</v>
      </c>
      <c r="Y27" s="135">
        <v>593</v>
      </c>
      <c r="Z27" s="135">
        <v>45.8</v>
      </c>
      <c r="AA27" s="135">
        <v>0.06</v>
      </c>
      <c r="AB27" s="135">
        <f>AA27/26.982</f>
        <v>2.2237046920169003E-3</v>
      </c>
      <c r="AC27" s="135">
        <v>0.06</v>
      </c>
      <c r="AD27" s="135">
        <f t="shared" si="32"/>
        <v>1.0744023636852001E-3</v>
      </c>
      <c r="AE27" s="135" t="s">
        <v>114</v>
      </c>
      <c r="AF27" s="135" t="s">
        <v>116</v>
      </c>
      <c r="AG27" s="135">
        <v>0.16</v>
      </c>
      <c r="AH27" s="135">
        <f t="shared" si="3"/>
        <v>4.0922809350861936E-3</v>
      </c>
      <c r="AI27" s="135" t="s">
        <v>114</v>
      </c>
      <c r="AJ27" s="135">
        <v>0.18</v>
      </c>
      <c r="AK27" s="135">
        <f t="shared" si="4"/>
        <v>7.4058835630528693E-3</v>
      </c>
      <c r="AL27" s="135" t="s">
        <v>288</v>
      </c>
      <c r="AM27" s="143">
        <f>AO27*22.99</f>
        <v>17.509542406143339</v>
      </c>
      <c r="AN27" s="143"/>
      <c r="AO27" s="143">
        <f>0.7406*AR27+0.0075</f>
        <v>0.76161558965390785</v>
      </c>
      <c r="AP27" s="135">
        <v>361000</v>
      </c>
      <c r="AQ27" s="135">
        <f t="shared" si="7"/>
        <v>36.1</v>
      </c>
      <c r="AR27" s="135">
        <f t="shared" si="8"/>
        <v>1.0182495134403293</v>
      </c>
      <c r="AS27" s="135">
        <v>3.0000000000000001E-3</v>
      </c>
      <c r="AT27" s="135" t="s">
        <v>117</v>
      </c>
      <c r="AU27" s="135" t="s">
        <v>116</v>
      </c>
      <c r="AV27" s="135" t="s">
        <v>119</v>
      </c>
      <c r="AW27" s="135" t="s">
        <v>118</v>
      </c>
      <c r="AX27" s="135" t="s">
        <v>116</v>
      </c>
      <c r="AY27" s="135" t="s">
        <v>117</v>
      </c>
      <c r="AZ27" s="135" t="s">
        <v>114</v>
      </c>
      <c r="BA27" s="135">
        <v>1</v>
      </c>
      <c r="BB27" s="135" t="s">
        <v>114</v>
      </c>
      <c r="BC27" s="135" t="s">
        <v>116</v>
      </c>
      <c r="BD27" s="135" t="s">
        <v>116</v>
      </c>
      <c r="BE27" s="135" t="s">
        <v>133</v>
      </c>
      <c r="BF27" s="135" t="s">
        <v>137</v>
      </c>
      <c r="BG27" s="135" t="s">
        <v>133</v>
      </c>
      <c r="BH27" s="135" t="s">
        <v>136</v>
      </c>
      <c r="BI27" s="135" t="s">
        <v>138</v>
      </c>
      <c r="BJ27" s="135" t="s">
        <v>133</v>
      </c>
      <c r="BK27" s="135">
        <v>45.8</v>
      </c>
      <c r="BL27" s="135">
        <v>114</v>
      </c>
      <c r="BM27" s="135" t="s">
        <v>114</v>
      </c>
      <c r="BN27" s="135">
        <v>114</v>
      </c>
      <c r="BO27" s="135" t="s">
        <v>114</v>
      </c>
      <c r="BP27" s="135">
        <v>0.1786516293228205</v>
      </c>
      <c r="BQ27" s="135">
        <v>0.19802906505332749</v>
      </c>
      <c r="BR27" s="135">
        <v>2.2237046920169003E-3</v>
      </c>
      <c r="BS27" s="135">
        <v>1.0744023636852001E-3</v>
      </c>
      <c r="BT27" s="135">
        <v>4.0922809350861936E-3</v>
      </c>
      <c r="BU27" s="135">
        <v>7.4058835630528693E-3</v>
      </c>
      <c r="BV27" s="143">
        <v>0.76161558965390785</v>
      </c>
      <c r="BW27" s="135">
        <v>1.0182495134403293</v>
      </c>
      <c r="BX27" s="135">
        <f t="shared" si="9"/>
        <v>1.1367131972044946</v>
      </c>
      <c r="BY27" s="135">
        <f t="shared" si="10"/>
        <v>0.75336138875229597</v>
      </c>
      <c r="BZ27" s="135">
        <f t="shared" si="11"/>
        <v>4.0614166549810173</v>
      </c>
      <c r="CA27" s="135">
        <f t="shared" si="12"/>
        <v>1.1300420831284439</v>
      </c>
      <c r="CB27" s="135">
        <f t="shared" si="13"/>
        <v>6.671114076050701E-3</v>
      </c>
      <c r="CC27" s="135">
        <f t="shared" si="14"/>
        <v>0.37668069437614798</v>
      </c>
      <c r="CD27" s="135">
        <f t="shared" si="15"/>
        <v>1.7798651030942372</v>
      </c>
      <c r="CE27" s="135">
        <f t="shared" si="16"/>
        <v>1.7375104694805674E-2</v>
      </c>
      <c r="CF27" s="135">
        <f t="shared" si="17"/>
        <v>4.0922809350861936E-3</v>
      </c>
      <c r="CG27" s="135">
        <v>6.35</v>
      </c>
      <c r="CH27" s="135">
        <v>7.16</v>
      </c>
      <c r="CI27" s="135">
        <f t="shared" si="18"/>
        <v>18.186274442074708</v>
      </c>
      <c r="CJ27" s="135">
        <f t="shared" si="19"/>
        <v>0.75863491847356201</v>
      </c>
      <c r="CK27" s="135">
        <v>0.06</v>
      </c>
      <c r="CL27" s="135">
        <v>0.06</v>
      </c>
      <c r="CM27" s="135">
        <v>0.16</v>
      </c>
      <c r="CN27" s="135">
        <v>0.18</v>
      </c>
      <c r="CO27" s="143">
        <v>17.509542406143339</v>
      </c>
      <c r="CP27" s="135">
        <v>36.1</v>
      </c>
      <c r="CQ27" s="135">
        <v>3.0000000000000001E-3</v>
      </c>
      <c r="CR27" s="135">
        <f t="shared" si="20"/>
        <v>13.472548233308387</v>
      </c>
      <c r="CS27" s="135">
        <f t="shared" si="21"/>
        <v>86.527451766691613</v>
      </c>
      <c r="CT27" s="135">
        <f t="shared" si="22"/>
        <v>13.472548233308387</v>
      </c>
      <c r="CU27" s="135" t="str">
        <f t="shared" si="23"/>
        <v xml:space="preserve">lower gypsum 56-4 </v>
      </c>
      <c r="CV27" s="135" t="str">
        <f t="shared" si="24"/>
        <v xml:space="preserve">56-4 </v>
      </c>
      <c r="CW27" s="135">
        <f t="shared" si="25"/>
        <v>32.454909360548271</v>
      </c>
      <c r="CX27" s="135">
        <f t="shared" si="26"/>
        <v>0.3</v>
      </c>
      <c r="CY27" s="135">
        <f t="shared" si="27"/>
        <v>53.609542406143341</v>
      </c>
      <c r="CZ27" s="135">
        <f t="shared" si="28"/>
        <v>0.16</v>
      </c>
      <c r="DA27" s="135">
        <f t="shared" si="29"/>
        <v>3.0000000000000001E-3</v>
      </c>
      <c r="DC27" s="135">
        <f t="shared" si="30"/>
        <v>86.527451766691613</v>
      </c>
      <c r="DD27" s="135">
        <f t="shared" si="31"/>
        <v>13.472548233308387</v>
      </c>
    </row>
    <row r="28" spans="1:108" s="135" customFormat="1" ht="13.5" customHeight="1" x14ac:dyDescent="0.25">
      <c r="A28" s="135">
        <v>5</v>
      </c>
      <c r="B28" s="135" t="s">
        <v>354</v>
      </c>
      <c r="C28" t="s">
        <v>440</v>
      </c>
      <c r="D28" s="135" t="str">
        <f t="shared" si="0"/>
        <v xml:space="preserve">lower halite and gypsum 12B-4 </v>
      </c>
      <c r="E28" s="135" t="s">
        <v>121</v>
      </c>
      <c r="F28" s="135" t="s">
        <v>120</v>
      </c>
      <c r="G28" s="135" t="s">
        <v>116</v>
      </c>
      <c r="H28" s="135">
        <v>12</v>
      </c>
      <c r="I28" s="135" t="s">
        <v>116</v>
      </c>
      <c r="J28" s="135" t="s">
        <v>116</v>
      </c>
      <c r="K28" s="135" t="s">
        <v>117</v>
      </c>
      <c r="L28" s="135">
        <v>35</v>
      </c>
      <c r="M28" s="135" t="s">
        <v>116</v>
      </c>
      <c r="N28" s="135" t="s">
        <v>116</v>
      </c>
      <c r="O28" s="135" t="s">
        <v>117</v>
      </c>
      <c r="P28" s="135" t="s">
        <v>114</v>
      </c>
      <c r="Q28" s="135">
        <v>15</v>
      </c>
      <c r="R28" s="135" t="s">
        <v>120</v>
      </c>
      <c r="S28" s="135" t="s">
        <v>117</v>
      </c>
      <c r="T28" s="135">
        <v>6.39</v>
      </c>
      <c r="U28" s="135">
        <v>6.39</v>
      </c>
      <c r="V28" s="135">
        <f t="shared" si="34"/>
        <v>0.15943909376715404</v>
      </c>
      <c r="W28" s="135">
        <v>5.28</v>
      </c>
      <c r="X28" s="135">
        <f t="shared" si="2"/>
        <v>0.16466038794985341</v>
      </c>
      <c r="Y28" s="135">
        <v>230</v>
      </c>
      <c r="Z28" s="135">
        <v>42.8</v>
      </c>
      <c r="AA28" s="135">
        <v>0.04</v>
      </c>
      <c r="AB28" s="135">
        <f>AA28/26.982</f>
        <v>1.4824697946779334E-3</v>
      </c>
      <c r="AC28" s="135">
        <v>0.04</v>
      </c>
      <c r="AD28" s="135">
        <f t="shared" si="32"/>
        <v>7.1626824245680013E-4</v>
      </c>
      <c r="AE28" s="135" t="s">
        <v>114</v>
      </c>
      <c r="AF28" s="135" t="s">
        <v>116</v>
      </c>
      <c r="AG28" s="135">
        <v>0.08</v>
      </c>
      <c r="AH28" s="135">
        <f t="shared" si="3"/>
        <v>2.0461404675430968E-3</v>
      </c>
      <c r="AI28" s="135" t="s">
        <v>114</v>
      </c>
      <c r="AJ28" s="135">
        <v>0.1</v>
      </c>
      <c r="AK28" s="135">
        <f t="shared" si="4"/>
        <v>4.1143797572515944E-3</v>
      </c>
      <c r="AL28" s="135" t="s">
        <v>288</v>
      </c>
      <c r="AM28" s="143">
        <f>AO28*22.99</f>
        <v>19.910805204778157</v>
      </c>
      <c r="AN28" s="143"/>
      <c r="AO28" s="143">
        <f>0.7406*AR28+0.0075</f>
        <v>0.86606373226525257</v>
      </c>
      <c r="AP28" s="135">
        <v>411000</v>
      </c>
      <c r="AQ28" s="135">
        <f t="shared" si="7"/>
        <v>41.1</v>
      </c>
      <c r="AR28" s="135">
        <f t="shared" si="8"/>
        <v>1.159281302005472</v>
      </c>
      <c r="AS28" s="135">
        <v>2E-3</v>
      </c>
      <c r="AT28" s="135" t="s">
        <v>117</v>
      </c>
      <c r="AU28" s="135" t="s">
        <v>116</v>
      </c>
      <c r="AV28" s="135" t="s">
        <v>119</v>
      </c>
      <c r="AW28" s="135" t="s">
        <v>118</v>
      </c>
      <c r="AX28" s="135" t="s">
        <v>116</v>
      </c>
      <c r="AY28" s="135" t="s">
        <v>117</v>
      </c>
      <c r="AZ28" s="135" t="s">
        <v>114</v>
      </c>
      <c r="BA28" s="135" t="s">
        <v>116</v>
      </c>
      <c r="BB28" s="135" t="s">
        <v>114</v>
      </c>
      <c r="BC28" s="135" t="s">
        <v>116</v>
      </c>
      <c r="BD28" s="135" t="s">
        <v>116</v>
      </c>
      <c r="BE28" s="135" t="s">
        <v>131</v>
      </c>
      <c r="BF28" s="135" t="s">
        <v>123</v>
      </c>
      <c r="BG28" s="135" t="s">
        <v>131</v>
      </c>
      <c r="BH28" s="135" t="s">
        <v>130</v>
      </c>
      <c r="BI28" s="135" t="s">
        <v>148</v>
      </c>
      <c r="BJ28" s="135">
        <v>46.4</v>
      </c>
      <c r="BK28" s="135">
        <v>42.8</v>
      </c>
      <c r="BL28" s="135">
        <v>153</v>
      </c>
      <c r="BM28" s="135">
        <v>13</v>
      </c>
      <c r="BN28" s="135">
        <v>139</v>
      </c>
      <c r="BO28" s="135" t="s">
        <v>114</v>
      </c>
      <c r="BP28" s="135">
        <v>0.15943909376715404</v>
      </c>
      <c r="BQ28" s="135">
        <v>0.16466038794985341</v>
      </c>
      <c r="BR28" s="135">
        <v>1.4824697946779334E-3</v>
      </c>
      <c r="BS28" s="135">
        <v>7.1626824245680013E-4</v>
      </c>
      <c r="BT28" s="135">
        <v>2.0461404675430968E-3</v>
      </c>
      <c r="BU28" s="135">
        <v>4.1143797572515944E-3</v>
      </c>
      <c r="BV28" s="143">
        <v>0.86606373226525257</v>
      </c>
      <c r="BW28" s="135">
        <v>1.159281302005472</v>
      </c>
      <c r="BX28" s="135">
        <f t="shared" si="9"/>
        <v>0.97674585453505602</v>
      </c>
      <c r="BY28" s="135">
        <f t="shared" si="10"/>
        <v>0.64819896343401484</v>
      </c>
      <c r="BZ28" s="135">
        <f t="shared" si="11"/>
        <v>3.9827485922187327</v>
      </c>
      <c r="CA28" s="135">
        <f t="shared" si="12"/>
        <v>0.97229844515102226</v>
      </c>
      <c r="CB28" s="135">
        <f t="shared" si="13"/>
        <v>4.4474093840338007E-3</v>
      </c>
      <c r="CC28" s="135">
        <f t="shared" si="14"/>
        <v>0.32409948171700742</v>
      </c>
      <c r="CD28" s="135">
        <f t="shared" si="15"/>
        <v>2.0253450342707247</v>
      </c>
      <c r="CE28" s="135">
        <f t="shared" si="16"/>
        <v>1.0760527178420128E-2</v>
      </c>
      <c r="CF28" s="135">
        <f t="shared" si="17"/>
        <v>2.0461404675430968E-3</v>
      </c>
      <c r="CG28" s="135">
        <v>5.28</v>
      </c>
      <c r="CH28" s="135">
        <v>6.39</v>
      </c>
      <c r="CI28" s="135">
        <f t="shared" si="18"/>
        <v>15.626956926706361</v>
      </c>
      <c r="CJ28" s="135">
        <f t="shared" si="19"/>
        <v>0.65273635617805292</v>
      </c>
      <c r="CK28" s="135">
        <v>0.04</v>
      </c>
      <c r="CL28" s="135">
        <v>0.04</v>
      </c>
      <c r="CM28" s="135">
        <v>0.08</v>
      </c>
      <c r="CN28" s="135">
        <v>0.1</v>
      </c>
      <c r="CO28" s="143">
        <v>19.910805204778157</v>
      </c>
      <c r="CP28" s="135">
        <v>41.1</v>
      </c>
      <c r="CQ28" s="135">
        <v>2E-3</v>
      </c>
      <c r="CR28" s="135">
        <f t="shared" si="20"/>
        <v>10.777501512337423</v>
      </c>
      <c r="CS28" s="135">
        <f t="shared" si="21"/>
        <v>89.222498487662577</v>
      </c>
      <c r="CT28" s="135">
        <f t="shared" si="22"/>
        <v>10.777501512337423</v>
      </c>
      <c r="CU28" s="135" t="str">
        <f t="shared" si="23"/>
        <v xml:space="preserve">lower halite and gypsum 12B-4 </v>
      </c>
      <c r="CV28" s="135" t="str">
        <f t="shared" si="24"/>
        <v xml:space="preserve">12B-4 </v>
      </c>
      <c r="CW28" s="135">
        <f t="shared" si="25"/>
        <v>27.949693282884414</v>
      </c>
      <c r="CX28" s="135">
        <f t="shared" si="26"/>
        <v>0.18000000000000002</v>
      </c>
      <c r="CY28" s="135">
        <f t="shared" si="27"/>
        <v>61.010805204778158</v>
      </c>
      <c r="CZ28" s="135">
        <f t="shared" si="28"/>
        <v>0.08</v>
      </c>
      <c r="DA28" s="135">
        <f t="shared" si="29"/>
        <v>2E-3</v>
      </c>
      <c r="DC28" s="135">
        <f t="shared" si="30"/>
        <v>89.222498487662563</v>
      </c>
      <c r="DD28" s="135">
        <f t="shared" si="31"/>
        <v>10.777501512337437</v>
      </c>
    </row>
    <row r="29" spans="1:108" s="135" customFormat="1" ht="15" x14ac:dyDescent="0.25">
      <c r="A29" s="135">
        <v>5</v>
      </c>
      <c r="B29" s="135" t="s">
        <v>354</v>
      </c>
      <c r="C29" t="s">
        <v>441</v>
      </c>
      <c r="D29" s="135" t="str">
        <f t="shared" si="0"/>
        <v xml:space="preserve">lower halite and gypsum 33-3 </v>
      </c>
      <c r="E29" s="135" t="s">
        <v>121</v>
      </c>
      <c r="F29" s="135" t="s">
        <v>120</v>
      </c>
      <c r="G29" s="135" t="s">
        <v>116</v>
      </c>
      <c r="H29" s="135">
        <v>9</v>
      </c>
      <c r="I29" s="135" t="s">
        <v>116</v>
      </c>
      <c r="J29" s="135" t="s">
        <v>116</v>
      </c>
      <c r="K29" s="135" t="s">
        <v>117</v>
      </c>
      <c r="L29" s="135">
        <v>3</v>
      </c>
      <c r="M29" s="135" t="s">
        <v>116</v>
      </c>
      <c r="N29" s="135" t="s">
        <v>116</v>
      </c>
      <c r="O29" s="135" t="s">
        <v>117</v>
      </c>
      <c r="P29" s="135" t="s">
        <v>114</v>
      </c>
      <c r="Q29" s="135">
        <v>29</v>
      </c>
      <c r="R29" s="135" t="s">
        <v>120</v>
      </c>
      <c r="S29" s="135" t="s">
        <v>117</v>
      </c>
      <c r="T29" s="135">
        <v>7.47</v>
      </c>
      <c r="U29" s="135">
        <v>7.47</v>
      </c>
      <c r="V29" s="135">
        <f t="shared" si="34"/>
        <v>0.18638654623484205</v>
      </c>
      <c r="W29" s="135">
        <v>6.44</v>
      </c>
      <c r="X29" s="135">
        <f t="shared" si="2"/>
        <v>0.20083577621156365</v>
      </c>
      <c r="Y29" s="135">
        <v>714</v>
      </c>
      <c r="Z29" s="135">
        <v>46.2</v>
      </c>
      <c r="AA29" s="135">
        <v>0.05</v>
      </c>
      <c r="AB29" s="135">
        <f>AA29/26.982</f>
        <v>1.8530872433474169E-3</v>
      </c>
      <c r="AC29" s="135">
        <v>0.04</v>
      </c>
      <c r="AD29" s="135">
        <f t="shared" si="32"/>
        <v>7.1626824245680013E-4</v>
      </c>
      <c r="AE29" s="135" t="s">
        <v>114</v>
      </c>
      <c r="AF29" s="135" t="s">
        <v>116</v>
      </c>
      <c r="AG29" s="135">
        <v>0.22</v>
      </c>
      <c r="AH29" s="135">
        <f t="shared" si="3"/>
        <v>5.6268862857435167E-3</v>
      </c>
      <c r="AI29" s="135" t="s">
        <v>114</v>
      </c>
      <c r="AJ29" s="135">
        <v>0.22</v>
      </c>
      <c r="AK29" s="135">
        <f t="shared" si="4"/>
        <v>9.0516354659535073E-3</v>
      </c>
      <c r="AL29" s="135" t="s">
        <v>288</v>
      </c>
      <c r="AM29" s="143">
        <f>AO29*22.99</f>
        <v>17.365466638225254</v>
      </c>
      <c r="AN29" s="143"/>
      <c r="AO29" s="143">
        <f>0.7406*AR29+0.0075</f>
        <v>0.75534870109722729</v>
      </c>
      <c r="AP29" s="135">
        <v>358000</v>
      </c>
      <c r="AQ29" s="135">
        <f t="shared" si="7"/>
        <v>35.800000000000004</v>
      </c>
      <c r="AR29" s="135">
        <f t="shared" si="8"/>
        <v>1.0097876061264208</v>
      </c>
      <c r="AS29" s="135">
        <v>2E-3</v>
      </c>
      <c r="AT29" s="135" t="s">
        <v>117</v>
      </c>
      <c r="AU29" s="135" t="s">
        <v>116</v>
      </c>
      <c r="AV29" s="135" t="s">
        <v>119</v>
      </c>
      <c r="AW29" s="135" t="s">
        <v>118</v>
      </c>
      <c r="AX29" s="135" t="s">
        <v>116</v>
      </c>
      <c r="AY29" s="135" t="s">
        <v>117</v>
      </c>
      <c r="AZ29" s="135" t="s">
        <v>114</v>
      </c>
      <c r="BA29" s="135" t="s">
        <v>116</v>
      </c>
      <c r="BB29" s="135" t="s">
        <v>114</v>
      </c>
      <c r="BC29" s="135" t="s">
        <v>116</v>
      </c>
      <c r="BD29" s="135" t="s">
        <v>116</v>
      </c>
      <c r="BE29" s="135" t="s">
        <v>133</v>
      </c>
      <c r="BF29" s="135" t="s">
        <v>137</v>
      </c>
      <c r="BG29" s="135" t="s">
        <v>133</v>
      </c>
      <c r="BH29" s="135" t="s">
        <v>136</v>
      </c>
      <c r="BI29" s="135" t="s">
        <v>145</v>
      </c>
      <c r="BJ29" s="135" t="s">
        <v>133</v>
      </c>
      <c r="BK29" s="135">
        <v>46.2</v>
      </c>
      <c r="BL29" s="135">
        <v>144</v>
      </c>
      <c r="BM29" s="135">
        <v>30</v>
      </c>
      <c r="BN29" s="135">
        <v>113</v>
      </c>
      <c r="BO29" s="135" t="s">
        <v>114</v>
      </c>
      <c r="BP29" s="135">
        <v>0.18638654623484205</v>
      </c>
      <c r="BQ29" s="135">
        <v>0.20083577621156365</v>
      </c>
      <c r="BR29" s="135">
        <v>1.8530872433474169E-3</v>
      </c>
      <c r="BS29" s="135">
        <v>7.1626824245680013E-4</v>
      </c>
      <c r="BT29" s="135">
        <v>5.6268862857435167E-3</v>
      </c>
      <c r="BU29" s="135">
        <v>9.0516354659535073E-3</v>
      </c>
      <c r="BV29" s="143">
        <v>0.75534870109722729</v>
      </c>
      <c r="BW29" s="135">
        <v>1.0097876061264208</v>
      </c>
      <c r="BX29" s="135">
        <f t="shared" si="9"/>
        <v>1.1672262290692592</v>
      </c>
      <c r="BY29" s="135">
        <f t="shared" si="10"/>
        <v>0.7744446448928114</v>
      </c>
      <c r="BZ29" s="135">
        <f t="shared" si="11"/>
        <v>4.111277380869625</v>
      </c>
      <c r="CA29" s="135">
        <f t="shared" si="12"/>
        <v>1.161666967339217</v>
      </c>
      <c r="CB29" s="135">
        <f t="shared" si="13"/>
        <v>5.5592617300422508E-3</v>
      </c>
      <c r="CC29" s="135">
        <f t="shared" si="14"/>
        <v>0.3872223224464057</v>
      </c>
      <c r="CD29" s="135">
        <f t="shared" si="15"/>
        <v>1.7651363072236481</v>
      </c>
      <c r="CE29" s="135">
        <f t="shared" si="16"/>
        <v>1.7180252681799974E-2</v>
      </c>
      <c r="CF29" s="135">
        <f t="shared" si="17"/>
        <v>5.6268862857435167E-3</v>
      </c>
      <c r="CG29" s="135">
        <v>6.44</v>
      </c>
      <c r="CH29" s="135">
        <v>7.47</v>
      </c>
      <c r="CI29" s="135">
        <f t="shared" si="18"/>
        <v>18.674452438879079</v>
      </c>
      <c r="CJ29" s="135">
        <f t="shared" si="19"/>
        <v>0.77986575740706099</v>
      </c>
      <c r="CK29" s="135">
        <v>0.05</v>
      </c>
      <c r="CL29" s="135">
        <v>0.04</v>
      </c>
      <c r="CM29" s="135">
        <v>0.22</v>
      </c>
      <c r="CN29" s="135">
        <v>0.22</v>
      </c>
      <c r="CO29" s="143">
        <v>17.365466638225254</v>
      </c>
      <c r="CP29" s="135">
        <v>35.800000000000004</v>
      </c>
      <c r="CQ29" s="135">
        <v>2E-3</v>
      </c>
      <c r="CR29" s="135">
        <f t="shared" si="20"/>
        <v>12.938215165488614</v>
      </c>
      <c r="CS29" s="135">
        <f t="shared" si="21"/>
        <v>87.061784834511386</v>
      </c>
      <c r="CT29" s="135">
        <f t="shared" si="22"/>
        <v>12.938215165488614</v>
      </c>
      <c r="CU29" s="135" t="str">
        <f t="shared" si="23"/>
        <v xml:space="preserve">lower halite and gypsum 33-3 </v>
      </c>
      <c r="CV29" s="135" t="str">
        <f t="shared" si="24"/>
        <v xml:space="preserve">33-3 </v>
      </c>
      <c r="CW29" s="135">
        <f t="shared" si="25"/>
        <v>33.364318196286142</v>
      </c>
      <c r="CX29" s="135">
        <f t="shared" si="26"/>
        <v>0.31</v>
      </c>
      <c r="CY29" s="135">
        <f t="shared" si="27"/>
        <v>53.165466638225254</v>
      </c>
      <c r="CZ29" s="135">
        <f t="shared" si="28"/>
        <v>0.22</v>
      </c>
      <c r="DA29" s="135">
        <f t="shared" si="29"/>
        <v>2E-3</v>
      </c>
      <c r="DC29" s="135">
        <f t="shared" si="30"/>
        <v>87.061784834511386</v>
      </c>
      <c r="DD29" s="135">
        <f t="shared" si="31"/>
        <v>12.938215165488614</v>
      </c>
    </row>
    <row r="30" spans="1:108" s="135" customFormat="1" ht="13.5" customHeight="1" x14ac:dyDescent="0.25">
      <c r="A30" s="135">
        <v>5</v>
      </c>
      <c r="B30" s="135" t="s">
        <v>354</v>
      </c>
      <c r="C30" t="s">
        <v>442</v>
      </c>
      <c r="D30" s="135" t="str">
        <f t="shared" si="0"/>
        <v xml:space="preserve">lower halite and gypsum 67B-3 </v>
      </c>
      <c r="E30" s="135" t="s">
        <v>121</v>
      </c>
      <c r="F30" s="135" t="s">
        <v>120</v>
      </c>
      <c r="G30" s="135" t="s">
        <v>116</v>
      </c>
      <c r="H30" s="135">
        <v>7</v>
      </c>
      <c r="I30" s="135" t="s">
        <v>116</v>
      </c>
      <c r="J30" s="135" t="s">
        <v>116</v>
      </c>
      <c r="K30" s="135" t="s">
        <v>117</v>
      </c>
      <c r="L30" s="135">
        <v>5</v>
      </c>
      <c r="M30" s="135" t="s">
        <v>116</v>
      </c>
      <c r="N30" s="135" t="s">
        <v>116</v>
      </c>
      <c r="O30" s="135" t="s">
        <v>117</v>
      </c>
      <c r="P30" s="135" t="s">
        <v>114</v>
      </c>
      <c r="Q30" s="135">
        <v>12</v>
      </c>
      <c r="R30" s="135" t="s">
        <v>120</v>
      </c>
      <c r="S30" s="135" t="s">
        <v>117</v>
      </c>
      <c r="T30" s="135">
        <v>6.45</v>
      </c>
      <c r="U30" s="135">
        <v>6.45</v>
      </c>
      <c r="V30" s="135">
        <f t="shared" si="34"/>
        <v>0.16093617445980338</v>
      </c>
      <c r="W30" s="135">
        <v>5.64</v>
      </c>
      <c r="X30" s="135">
        <f t="shared" si="2"/>
        <v>0.17588723258279795</v>
      </c>
      <c r="Y30" s="135">
        <v>260</v>
      </c>
      <c r="Z30" s="135">
        <v>46.8</v>
      </c>
      <c r="AA30" s="135">
        <v>0.03</v>
      </c>
      <c r="AB30" s="135">
        <f>AA30/26.982</f>
        <v>1.1118523460084502E-3</v>
      </c>
      <c r="AC30" s="135">
        <v>0.03</v>
      </c>
      <c r="AD30" s="135">
        <f t="shared" si="32"/>
        <v>5.3720118184260007E-4</v>
      </c>
      <c r="AE30" s="135" t="s">
        <v>114</v>
      </c>
      <c r="AF30" s="135" t="s">
        <v>116</v>
      </c>
      <c r="AG30" s="135">
        <v>7.0000000000000007E-2</v>
      </c>
      <c r="AH30" s="135">
        <f t="shared" si="3"/>
        <v>1.79037290910021E-3</v>
      </c>
      <c r="AI30" s="135" t="s">
        <v>114</v>
      </c>
      <c r="AJ30" s="135">
        <v>7.0000000000000007E-2</v>
      </c>
      <c r="AK30" s="135">
        <f t="shared" si="4"/>
        <v>2.8800658300761161E-3</v>
      </c>
      <c r="AL30" s="135" t="s">
        <v>288</v>
      </c>
      <c r="AM30" s="143">
        <f>AO30*22.99</f>
        <v>19.478577901023886</v>
      </c>
      <c r="AN30" s="143"/>
      <c r="AO30" s="143">
        <f>0.7406*AR30+0.0075</f>
        <v>0.84726306659521045</v>
      </c>
      <c r="AP30" s="135">
        <v>402000</v>
      </c>
      <c r="AQ30" s="135">
        <f t="shared" si="7"/>
        <v>40.200000000000003</v>
      </c>
      <c r="AR30" s="135">
        <f t="shared" si="8"/>
        <v>1.1338955800637462</v>
      </c>
      <c r="AS30" s="135">
        <v>2E-3</v>
      </c>
      <c r="AT30" s="135" t="s">
        <v>117</v>
      </c>
      <c r="AU30" s="135" t="s">
        <v>116</v>
      </c>
      <c r="AV30" s="135" t="s">
        <v>119</v>
      </c>
      <c r="AW30" s="135" t="s">
        <v>118</v>
      </c>
      <c r="AX30" s="135" t="s">
        <v>116</v>
      </c>
      <c r="AY30" s="135" t="s">
        <v>117</v>
      </c>
      <c r="AZ30" s="135" t="s">
        <v>114</v>
      </c>
      <c r="BA30" s="135" t="s">
        <v>116</v>
      </c>
      <c r="BB30" s="135" t="s">
        <v>114</v>
      </c>
      <c r="BC30" s="135" t="s">
        <v>116</v>
      </c>
      <c r="BD30" s="135" t="s">
        <v>116</v>
      </c>
      <c r="BE30" s="135" t="s">
        <v>131</v>
      </c>
      <c r="BF30" s="135" t="s">
        <v>123</v>
      </c>
      <c r="BG30" s="135" t="s">
        <v>131</v>
      </c>
      <c r="BH30" s="135" t="s">
        <v>130</v>
      </c>
      <c r="BI30" s="135" t="s">
        <v>132</v>
      </c>
      <c r="BJ30" s="135" t="s">
        <v>131</v>
      </c>
      <c r="BK30" s="135">
        <v>46.8</v>
      </c>
      <c r="BL30" s="135">
        <v>122</v>
      </c>
      <c r="BM30" s="135" t="s">
        <v>114</v>
      </c>
      <c r="BN30" s="135">
        <v>122</v>
      </c>
      <c r="BO30" s="135" t="s">
        <v>114</v>
      </c>
      <c r="BP30" s="135">
        <v>0.16093617445980338</v>
      </c>
      <c r="BQ30" s="135">
        <v>0.17588723258279795</v>
      </c>
      <c r="BR30" s="135">
        <v>1.1118523460084502E-3</v>
      </c>
      <c r="BS30" s="135">
        <v>5.3720118184260007E-4</v>
      </c>
      <c r="BT30" s="135">
        <v>1.79037290910021E-3</v>
      </c>
      <c r="BU30" s="135">
        <v>2.8800658300761161E-3</v>
      </c>
      <c r="BV30" s="143">
        <v>0.84726306659521045</v>
      </c>
      <c r="BW30" s="135">
        <v>1.1338955800637462</v>
      </c>
      <c r="BX30" s="135">
        <f t="shared" si="9"/>
        <v>1.0138057781658294</v>
      </c>
      <c r="BY30" s="135">
        <f t="shared" si="10"/>
        <v>0.67364681408520266</v>
      </c>
      <c r="BZ30" s="135">
        <f t="shared" si="11"/>
        <v>4.0117541382196169</v>
      </c>
      <c r="CA30" s="135">
        <f t="shared" si="12"/>
        <v>1.010470221127804</v>
      </c>
      <c r="CB30" s="135">
        <f t="shared" si="13"/>
        <v>3.3355570380253505E-3</v>
      </c>
      <c r="CC30" s="135">
        <f t="shared" si="14"/>
        <v>0.33682340704260133</v>
      </c>
      <c r="CD30" s="135">
        <f t="shared" si="15"/>
        <v>1.9811586466589568</v>
      </c>
      <c r="CE30" s="135">
        <f t="shared" si="16"/>
        <v>7.8646763959525183E-3</v>
      </c>
      <c r="CF30" s="135">
        <f t="shared" si="17"/>
        <v>1.79037290910021E-3</v>
      </c>
      <c r="CG30" s="135">
        <v>5.64</v>
      </c>
      <c r="CH30" s="135">
        <v>6.45</v>
      </c>
      <c r="CI30" s="135">
        <f t="shared" si="18"/>
        <v>16.219878644875106</v>
      </c>
      <c r="CJ30" s="135">
        <f t="shared" si="19"/>
        <v>0.67836234178379906</v>
      </c>
      <c r="CK30" s="135">
        <v>0.03</v>
      </c>
      <c r="CL30" s="135">
        <v>0.03</v>
      </c>
      <c r="CM30" s="135">
        <v>7.0000000000000007E-2</v>
      </c>
      <c r="CN30" s="135">
        <v>7.0000000000000007E-2</v>
      </c>
      <c r="CO30" s="143">
        <v>19.478577901023886</v>
      </c>
      <c r="CP30" s="135">
        <v>40.200000000000003</v>
      </c>
      <c r="CQ30" s="135">
        <v>2E-3</v>
      </c>
      <c r="CR30" s="135">
        <f t="shared" si="20"/>
        <v>11.131181112317208</v>
      </c>
      <c r="CS30" s="135">
        <f t="shared" si="21"/>
        <v>88.868818887682792</v>
      </c>
      <c r="CT30" s="135">
        <f t="shared" si="22"/>
        <v>11.131181112317208</v>
      </c>
      <c r="CU30" s="135" t="str">
        <f t="shared" si="23"/>
        <v xml:space="preserve">lower halite and gypsum 67B-3 </v>
      </c>
      <c r="CV30" s="135" t="str">
        <f t="shared" si="24"/>
        <v xml:space="preserve">67B-3 </v>
      </c>
      <c r="CW30" s="135">
        <f t="shared" si="25"/>
        <v>28.988240986658905</v>
      </c>
      <c r="CX30" s="135">
        <f t="shared" si="26"/>
        <v>0.13</v>
      </c>
      <c r="CY30" s="135">
        <f t="shared" si="27"/>
        <v>59.678577901023885</v>
      </c>
      <c r="CZ30" s="135">
        <f t="shared" si="28"/>
        <v>7.0000000000000007E-2</v>
      </c>
      <c r="DA30" s="135">
        <f t="shared" si="29"/>
        <v>2E-3</v>
      </c>
      <c r="DC30" s="135">
        <f t="shared" si="30"/>
        <v>88.868818887682778</v>
      </c>
      <c r="DD30" s="135">
        <f t="shared" si="31"/>
        <v>11.131181112317222</v>
      </c>
    </row>
  </sheetData>
  <conditionalFormatting sqref="Y7:Y30">
    <cfRule type="cellIs" dxfId="54" priority="23" operator="greaterThan">
      <formula>400</formula>
    </cfRule>
  </conditionalFormatting>
  <conditionalFormatting sqref="AO8:AO23">
    <cfRule type="cellIs" dxfId="53" priority="22" operator="lessThan">
      <formula>0.435</formula>
    </cfRule>
  </conditionalFormatting>
  <conditionalFormatting sqref="BV8:BV23">
    <cfRule type="cellIs" dxfId="52" priority="21" operator="lessThan">
      <formula>0.435</formula>
    </cfRule>
  </conditionalFormatting>
  <conditionalFormatting sqref="CC7:CE30 CC1:CG2 CC3:CE5 CE31:CJ1048576">
    <cfRule type="cellIs" dxfId="51" priority="20" operator="greaterThan">
      <formula>5</formula>
    </cfRule>
  </conditionalFormatting>
  <conditionalFormatting sqref="CT7:CT30">
    <cfRule type="cellIs" dxfId="50" priority="17" operator="greaterThan">
      <formula>20</formula>
    </cfRule>
  </conditionalFormatting>
  <conditionalFormatting sqref="BJ7:BJ30">
    <cfRule type="cellIs" dxfId="49" priority="6" operator="lessThan">
      <formula>165.675</formula>
    </cfRule>
  </conditionalFormatting>
  <conditionalFormatting sqref="BK7:BK30">
    <cfRule type="cellIs" dxfId="48" priority="5" operator="lessThan">
      <formula>31.35</formula>
    </cfRule>
  </conditionalFormatting>
  <conditionalFormatting sqref="BL7:BL30">
    <cfRule type="cellIs" dxfId="47" priority="4" operator="lessThan">
      <formula>210.5</formula>
    </cfRule>
  </conditionalFormatting>
  <conditionalFormatting sqref="BM7:BM30">
    <cfRule type="cellIs" dxfId="46" priority="3" operator="lessThan">
      <formula>93.5</formula>
    </cfRule>
  </conditionalFormatting>
  <conditionalFormatting sqref="BN7:BN30">
    <cfRule type="cellIs" dxfId="45" priority="2" operator="lessThan">
      <formula>147.5</formula>
    </cfRule>
  </conditionalFormatting>
  <conditionalFormatting sqref="CR7:CR30">
    <cfRule type="cellIs" dxfId="44" priority="1" operator="greaterThan">
      <formula>20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31"/>
  <sheetViews>
    <sheetView workbookViewId="0">
      <selection activeCell="N28" sqref="N28"/>
    </sheetView>
  </sheetViews>
  <sheetFormatPr defaultColWidth="14.42578125" defaultRowHeight="15.75" customHeight="1" x14ac:dyDescent="0.2"/>
  <cols>
    <col min="1" max="1" width="23.5703125" customWidth="1"/>
    <col min="2" max="2" width="0" hidden="1" customWidth="1"/>
    <col min="3" max="3" width="13.140625" customWidth="1"/>
    <col min="4" max="4" width="0" hidden="1" customWidth="1"/>
    <col min="7" max="7" width="17.7109375" customWidth="1"/>
    <col min="9" max="9" width="0" hidden="1" customWidth="1"/>
    <col min="11" max="11" width="24.7109375" hidden="1" customWidth="1"/>
    <col min="12" max="12" width="24.7109375" customWidth="1"/>
    <col min="13" max="13" width="25.28515625" hidden="1" customWidth="1"/>
    <col min="14" max="14" width="22.85546875" customWidth="1"/>
    <col min="15" max="15" width="23.28515625" customWidth="1"/>
    <col min="16" max="16" width="19" customWidth="1"/>
    <col min="17" max="17" width="18.85546875" customWidth="1"/>
  </cols>
  <sheetData>
    <row r="1" spans="1:18" x14ac:dyDescent="0.25">
      <c r="A1" s="1" t="s">
        <v>0</v>
      </c>
      <c r="B1" s="1" t="s">
        <v>1</v>
      </c>
      <c r="C1" s="1" t="s">
        <v>443</v>
      </c>
      <c r="D1" s="1" t="s">
        <v>217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444</v>
      </c>
      <c r="M1" s="1" t="s">
        <v>11</v>
      </c>
      <c r="N1" s="1" t="s">
        <v>451</v>
      </c>
      <c r="O1" s="1" t="s">
        <v>452</v>
      </c>
      <c r="P1" s="1" t="s">
        <v>14</v>
      </c>
      <c r="Q1" s="1" t="s">
        <v>15</v>
      </c>
    </row>
    <row r="2" spans="1:18" x14ac:dyDescent="0.25">
      <c r="A2" s="2">
        <v>42983</v>
      </c>
      <c r="B2" s="3" t="s">
        <v>16</v>
      </c>
      <c r="C2" s="3" t="s">
        <v>17</v>
      </c>
      <c r="D2" s="9" t="s">
        <v>218</v>
      </c>
      <c r="E2" s="4">
        <v>-113.7687711</v>
      </c>
      <c r="F2" s="4">
        <v>40.841714899999999</v>
      </c>
      <c r="G2" s="5" t="s">
        <v>18</v>
      </c>
      <c r="H2" s="6" t="s">
        <v>19</v>
      </c>
      <c r="I2" s="3" t="s">
        <v>20</v>
      </c>
      <c r="J2" s="3" t="s">
        <v>21</v>
      </c>
      <c r="K2" s="7" t="s">
        <v>22</v>
      </c>
      <c r="L2" s="9" t="s">
        <v>445</v>
      </c>
      <c r="M2" s="8" t="s">
        <v>23</v>
      </c>
      <c r="N2" s="9" t="s">
        <v>24</v>
      </c>
      <c r="O2" s="10" t="s">
        <v>25</v>
      </c>
      <c r="P2" s="10" t="s">
        <v>26</v>
      </c>
      <c r="Q2" s="10" t="s">
        <v>26</v>
      </c>
      <c r="R2" s="11"/>
    </row>
    <row r="3" spans="1:18" x14ac:dyDescent="0.25">
      <c r="A3" s="12">
        <v>42983</v>
      </c>
      <c r="B3" s="1" t="s">
        <v>16</v>
      </c>
      <c r="C3" s="1" t="s">
        <v>17</v>
      </c>
      <c r="D3" s="1" t="s">
        <v>218</v>
      </c>
      <c r="E3" s="13">
        <v>-113.7687711</v>
      </c>
      <c r="F3" s="13">
        <v>40.841715000000001</v>
      </c>
      <c r="G3" s="14" t="s">
        <v>27</v>
      </c>
      <c r="H3" s="15" t="s">
        <v>28</v>
      </c>
      <c r="I3" s="1" t="s">
        <v>29</v>
      </c>
      <c r="J3" s="1" t="s">
        <v>30</v>
      </c>
      <c r="K3" s="16" t="s">
        <v>22</v>
      </c>
      <c r="L3" s="36" t="s">
        <v>448</v>
      </c>
      <c r="M3" s="17" t="s">
        <v>31</v>
      </c>
      <c r="N3" s="18" t="s">
        <v>32</v>
      </c>
      <c r="O3" s="19" t="s">
        <v>33</v>
      </c>
      <c r="P3" s="20" t="s">
        <v>26</v>
      </c>
      <c r="Q3" s="20" t="s">
        <v>26</v>
      </c>
      <c r="R3" s="21"/>
    </row>
    <row r="4" spans="1:18" x14ac:dyDescent="0.25">
      <c r="A4" s="12">
        <v>42983</v>
      </c>
      <c r="B4" s="1" t="s">
        <v>16</v>
      </c>
      <c r="C4" s="1" t="s">
        <v>17</v>
      </c>
      <c r="D4" s="1" t="s">
        <v>218</v>
      </c>
      <c r="E4" s="13">
        <v>-113.7687711</v>
      </c>
      <c r="F4" s="13">
        <v>40.841715000000001</v>
      </c>
      <c r="G4" s="14" t="s">
        <v>34</v>
      </c>
      <c r="H4" s="1" t="s">
        <v>35</v>
      </c>
      <c r="I4" s="1" t="s">
        <v>36</v>
      </c>
      <c r="J4" s="1" t="s">
        <v>37</v>
      </c>
      <c r="K4" s="16" t="s">
        <v>22</v>
      </c>
      <c r="L4" s="29" t="s">
        <v>450</v>
      </c>
      <c r="M4" s="17" t="s">
        <v>31</v>
      </c>
      <c r="N4" s="22" t="s">
        <v>38</v>
      </c>
      <c r="O4" s="23"/>
      <c r="P4" s="18" t="s">
        <v>39</v>
      </c>
      <c r="Q4" s="20" t="s">
        <v>26</v>
      </c>
      <c r="R4" s="21"/>
    </row>
    <row r="5" spans="1:18" x14ac:dyDescent="0.25">
      <c r="A5" s="24">
        <v>42983</v>
      </c>
      <c r="B5" s="25" t="s">
        <v>16</v>
      </c>
      <c r="C5" s="25" t="s">
        <v>17</v>
      </c>
      <c r="D5" s="29" t="s">
        <v>218</v>
      </c>
      <c r="E5" s="26">
        <v>-113.7687711</v>
      </c>
      <c r="F5" s="26">
        <v>40.841715000000001</v>
      </c>
      <c r="G5" s="27" t="s">
        <v>40</v>
      </c>
      <c r="H5" s="28" t="s">
        <v>41</v>
      </c>
      <c r="I5" s="25" t="s">
        <v>42</v>
      </c>
      <c r="J5" s="25" t="s">
        <v>43</v>
      </c>
      <c r="K5" s="29" t="s">
        <v>22</v>
      </c>
      <c r="L5" s="36" t="s">
        <v>447</v>
      </c>
      <c r="M5" s="30" t="s">
        <v>44</v>
      </c>
      <c r="N5" s="27"/>
      <c r="O5" s="31"/>
      <c r="P5" s="32" t="s">
        <v>26</v>
      </c>
      <c r="Q5" s="32" t="s">
        <v>26</v>
      </c>
      <c r="R5" s="33"/>
    </row>
    <row r="6" spans="1:18" x14ac:dyDescent="0.25">
      <c r="A6" s="34">
        <v>42983</v>
      </c>
      <c r="B6" s="1" t="s">
        <v>16</v>
      </c>
      <c r="C6" s="1" t="s">
        <v>45</v>
      </c>
      <c r="D6" s="1" t="s">
        <v>219</v>
      </c>
      <c r="E6" s="13">
        <v>-113.82705730000001</v>
      </c>
      <c r="F6" s="13">
        <v>40.845088799999999</v>
      </c>
      <c r="G6" s="14" t="s">
        <v>46</v>
      </c>
      <c r="H6" s="15" t="s">
        <v>47</v>
      </c>
      <c r="I6" s="1" t="s">
        <v>48</v>
      </c>
      <c r="J6" s="1" t="s">
        <v>21</v>
      </c>
      <c r="K6" s="16" t="s">
        <v>22</v>
      </c>
      <c r="L6" s="9" t="s">
        <v>445</v>
      </c>
      <c r="M6" s="35" t="s">
        <v>23</v>
      </c>
      <c r="N6" s="36" t="s">
        <v>24</v>
      </c>
      <c r="O6" s="16"/>
      <c r="P6" s="20" t="s">
        <v>26</v>
      </c>
      <c r="Q6" s="20" t="s">
        <v>26</v>
      </c>
    </row>
    <row r="7" spans="1:18" x14ac:dyDescent="0.25">
      <c r="A7" s="34">
        <v>42983</v>
      </c>
      <c r="B7" s="1" t="s">
        <v>16</v>
      </c>
      <c r="C7" s="1" t="s">
        <v>45</v>
      </c>
      <c r="D7" s="1" t="s">
        <v>219</v>
      </c>
      <c r="E7" s="13">
        <v>-113.82705730000001</v>
      </c>
      <c r="F7" s="13">
        <v>40.845088799999999</v>
      </c>
      <c r="G7" s="14" t="s">
        <v>49</v>
      </c>
      <c r="H7" s="1" t="s">
        <v>50</v>
      </c>
      <c r="I7" s="1" t="s">
        <v>51</v>
      </c>
      <c r="J7" s="1" t="s">
        <v>30</v>
      </c>
      <c r="K7" s="16" t="s">
        <v>22</v>
      </c>
      <c r="L7" s="36" t="s">
        <v>448</v>
      </c>
      <c r="M7" s="17" t="s">
        <v>31</v>
      </c>
      <c r="N7" s="17" t="s">
        <v>52</v>
      </c>
      <c r="O7" s="16"/>
      <c r="P7" s="20" t="s">
        <v>26</v>
      </c>
      <c r="Q7" s="20" t="s">
        <v>26</v>
      </c>
    </row>
    <row r="8" spans="1:18" x14ac:dyDescent="0.25">
      <c r="A8" s="34">
        <v>42983</v>
      </c>
      <c r="B8" s="1" t="s">
        <v>16</v>
      </c>
      <c r="C8" s="1" t="s">
        <v>45</v>
      </c>
      <c r="D8" s="1" t="s">
        <v>219</v>
      </c>
      <c r="E8" s="13">
        <v>-113.82705730000001</v>
      </c>
      <c r="F8" s="13">
        <v>40.845088799999999</v>
      </c>
      <c r="G8" s="14" t="s">
        <v>53</v>
      </c>
      <c r="H8" s="1" t="s">
        <v>54</v>
      </c>
      <c r="I8" s="1" t="s">
        <v>55</v>
      </c>
      <c r="J8" s="1" t="s">
        <v>37</v>
      </c>
      <c r="K8" s="16" t="s">
        <v>22</v>
      </c>
      <c r="L8" s="36" t="s">
        <v>449</v>
      </c>
      <c r="M8" s="37" t="s">
        <v>56</v>
      </c>
      <c r="N8" s="1"/>
      <c r="O8" s="16"/>
      <c r="P8" s="38" t="s">
        <v>26</v>
      </c>
      <c r="Q8" s="38" t="s">
        <v>26</v>
      </c>
    </row>
    <row r="9" spans="1:18" x14ac:dyDescent="0.25">
      <c r="A9" s="2">
        <v>42983</v>
      </c>
      <c r="B9" s="3" t="s">
        <v>16</v>
      </c>
      <c r="C9" s="3" t="s">
        <v>57</v>
      </c>
      <c r="D9" s="9" t="s">
        <v>218</v>
      </c>
      <c r="E9" s="4">
        <v>-113.8477024</v>
      </c>
      <c r="F9" s="4">
        <v>40.800694159999999</v>
      </c>
      <c r="G9" s="5" t="s">
        <v>58</v>
      </c>
      <c r="H9" s="6" t="s">
        <v>59</v>
      </c>
      <c r="I9" s="3" t="s">
        <v>60</v>
      </c>
      <c r="J9" s="3" t="s">
        <v>21</v>
      </c>
      <c r="K9" s="7" t="s">
        <v>22</v>
      </c>
      <c r="L9" s="9" t="s">
        <v>445</v>
      </c>
      <c r="M9" s="8" t="s">
        <v>23</v>
      </c>
      <c r="N9" s="9" t="s">
        <v>24</v>
      </c>
      <c r="O9" s="10" t="s">
        <v>25</v>
      </c>
      <c r="P9" s="10" t="s">
        <v>26</v>
      </c>
      <c r="Q9" s="10" t="s">
        <v>26</v>
      </c>
      <c r="R9" s="11"/>
    </row>
    <row r="10" spans="1:18" x14ac:dyDescent="0.25">
      <c r="A10" s="12">
        <v>42983</v>
      </c>
      <c r="B10" s="1" t="s">
        <v>16</v>
      </c>
      <c r="C10" s="1" t="s">
        <v>57</v>
      </c>
      <c r="D10" s="1" t="s">
        <v>218</v>
      </c>
      <c r="E10" s="13">
        <v>-113.8477024</v>
      </c>
      <c r="F10" s="13">
        <v>40.800694159999999</v>
      </c>
      <c r="G10" s="14" t="s">
        <v>61</v>
      </c>
      <c r="H10" s="1" t="s">
        <v>62</v>
      </c>
      <c r="I10" s="1" t="s">
        <v>63</v>
      </c>
      <c r="J10" s="1" t="s">
        <v>30</v>
      </c>
      <c r="K10" s="16" t="s">
        <v>22</v>
      </c>
      <c r="L10" s="36" t="s">
        <v>448</v>
      </c>
      <c r="M10" s="17" t="s">
        <v>31</v>
      </c>
      <c r="N10" s="17" t="s">
        <v>52</v>
      </c>
      <c r="O10" s="18" t="s">
        <v>32</v>
      </c>
      <c r="P10" s="20" t="s">
        <v>26</v>
      </c>
      <c r="Q10" s="20" t="s">
        <v>26</v>
      </c>
      <c r="R10" s="21"/>
    </row>
    <row r="11" spans="1:18" x14ac:dyDescent="0.25">
      <c r="A11" s="24">
        <v>42983</v>
      </c>
      <c r="B11" s="25" t="s">
        <v>16</v>
      </c>
      <c r="C11" s="25" t="s">
        <v>57</v>
      </c>
      <c r="D11" s="29" t="s">
        <v>218</v>
      </c>
      <c r="E11" s="26">
        <v>-113.8477024</v>
      </c>
      <c r="F11" s="26">
        <v>40.800694159999999</v>
      </c>
      <c r="G11" s="27" t="s">
        <v>64</v>
      </c>
      <c r="H11" s="28" t="s">
        <v>65</v>
      </c>
      <c r="I11" s="25" t="s">
        <v>66</v>
      </c>
      <c r="J11" s="25" t="s">
        <v>37</v>
      </c>
      <c r="K11" s="29" t="s">
        <v>22</v>
      </c>
      <c r="L11" s="36" t="s">
        <v>447</v>
      </c>
      <c r="M11" s="30" t="s">
        <v>44</v>
      </c>
      <c r="N11" s="27"/>
      <c r="O11" s="31"/>
      <c r="P11" s="32" t="s">
        <v>26</v>
      </c>
      <c r="Q11" s="39" t="s">
        <v>39</v>
      </c>
      <c r="R11" s="33"/>
    </row>
    <row r="12" spans="1:18" x14ac:dyDescent="0.25">
      <c r="A12" s="34">
        <v>42983</v>
      </c>
      <c r="B12" s="1" t="s">
        <v>16</v>
      </c>
      <c r="C12" s="1" t="s">
        <v>67</v>
      </c>
      <c r="D12" s="1" t="s">
        <v>218</v>
      </c>
      <c r="E12" s="13">
        <v>-113.82946130000001</v>
      </c>
      <c r="F12" s="13">
        <v>40.784214599999999</v>
      </c>
      <c r="G12" s="14" t="s">
        <v>68</v>
      </c>
      <c r="H12" s="15" t="s">
        <v>69</v>
      </c>
      <c r="I12" s="1" t="s">
        <v>70</v>
      </c>
      <c r="J12" s="1" t="s">
        <v>21</v>
      </c>
      <c r="K12" s="16" t="s">
        <v>22</v>
      </c>
      <c r="L12" s="9" t="s">
        <v>445</v>
      </c>
      <c r="M12" s="35" t="s">
        <v>23</v>
      </c>
      <c r="N12" s="40" t="s">
        <v>24</v>
      </c>
      <c r="O12" s="20" t="s">
        <v>25</v>
      </c>
      <c r="P12" s="20" t="s">
        <v>26</v>
      </c>
      <c r="Q12" s="20" t="s">
        <v>26</v>
      </c>
    </row>
    <row r="13" spans="1:18" x14ac:dyDescent="0.25">
      <c r="A13" s="34">
        <v>42983</v>
      </c>
      <c r="B13" s="1" t="s">
        <v>16</v>
      </c>
      <c r="C13" s="1" t="s">
        <v>67</v>
      </c>
      <c r="D13" s="1" t="s">
        <v>218</v>
      </c>
      <c r="E13" s="13">
        <v>-113.82946130000001</v>
      </c>
      <c r="F13" s="13">
        <v>40.784214599999999</v>
      </c>
      <c r="G13" s="14" t="s">
        <v>71</v>
      </c>
      <c r="H13" s="15" t="s">
        <v>72</v>
      </c>
      <c r="I13" s="1" t="s">
        <v>73</v>
      </c>
      <c r="J13" s="1" t="s">
        <v>30</v>
      </c>
      <c r="K13" s="16" t="s">
        <v>22</v>
      </c>
      <c r="L13" s="36" t="s">
        <v>448</v>
      </c>
      <c r="M13" s="41" t="s">
        <v>56</v>
      </c>
      <c r="N13" s="19" t="s">
        <v>33</v>
      </c>
      <c r="O13" s="18" t="s">
        <v>74</v>
      </c>
      <c r="P13" s="20" t="s">
        <v>26</v>
      </c>
      <c r="Q13" s="20" t="s">
        <v>26</v>
      </c>
    </row>
    <row r="14" spans="1:18" x14ac:dyDescent="0.25">
      <c r="A14" s="34">
        <v>42983</v>
      </c>
      <c r="B14" s="1" t="s">
        <v>16</v>
      </c>
      <c r="C14" s="1" t="s">
        <v>67</v>
      </c>
      <c r="D14" s="1" t="s">
        <v>218</v>
      </c>
      <c r="E14" s="13">
        <v>-113.82946130000001</v>
      </c>
      <c r="F14" s="13">
        <v>40.784214599999999</v>
      </c>
      <c r="G14" s="14" t="s">
        <v>75</v>
      </c>
      <c r="H14" s="15" t="s">
        <v>76</v>
      </c>
      <c r="I14" s="1" t="s">
        <v>77</v>
      </c>
      <c r="J14" s="1" t="s">
        <v>37</v>
      </c>
      <c r="K14" s="16" t="s">
        <v>22</v>
      </c>
      <c r="L14" s="36" t="s">
        <v>449</v>
      </c>
      <c r="M14" s="37" t="s">
        <v>56</v>
      </c>
      <c r="N14" s="42" t="s">
        <v>38</v>
      </c>
      <c r="O14" s="16"/>
      <c r="P14" s="38" t="s">
        <v>26</v>
      </c>
      <c r="Q14" s="43" t="s">
        <v>39</v>
      </c>
    </row>
    <row r="15" spans="1:18" x14ac:dyDescent="0.25">
      <c r="A15" s="2">
        <v>42983</v>
      </c>
      <c r="B15" s="3" t="s">
        <v>16</v>
      </c>
      <c r="C15" s="3" t="s">
        <v>78</v>
      </c>
      <c r="D15" s="9" t="s">
        <v>219</v>
      </c>
      <c r="E15" s="4">
        <v>-113.8709456</v>
      </c>
      <c r="F15" s="4">
        <v>40.77659723</v>
      </c>
      <c r="G15" s="5" t="s">
        <v>79</v>
      </c>
      <c r="H15" s="3" t="s">
        <v>80</v>
      </c>
      <c r="I15" s="3" t="s">
        <v>81</v>
      </c>
      <c r="J15" s="3" t="s">
        <v>21</v>
      </c>
      <c r="K15" s="3" t="s">
        <v>22</v>
      </c>
      <c r="L15" s="9" t="s">
        <v>445</v>
      </c>
      <c r="M15" s="44" t="s">
        <v>23</v>
      </c>
      <c r="N15" s="3" t="s">
        <v>24</v>
      </c>
      <c r="O15" s="3"/>
      <c r="P15" s="45" t="s">
        <v>26</v>
      </c>
      <c r="Q15" s="45" t="s">
        <v>26</v>
      </c>
      <c r="R15" s="11"/>
    </row>
    <row r="16" spans="1:18" x14ac:dyDescent="0.25">
      <c r="A16" s="24">
        <v>42983</v>
      </c>
      <c r="B16" s="25" t="s">
        <v>16</v>
      </c>
      <c r="C16" s="25" t="s">
        <v>78</v>
      </c>
      <c r="D16" s="29" t="s">
        <v>219</v>
      </c>
      <c r="E16" s="26">
        <v>-113.8709456</v>
      </c>
      <c r="F16" s="26">
        <v>40.77659723</v>
      </c>
      <c r="G16" s="27" t="s">
        <v>82</v>
      </c>
      <c r="H16" s="46" t="s">
        <v>83</v>
      </c>
      <c r="I16" s="25" t="s">
        <v>84</v>
      </c>
      <c r="J16" s="25" t="s">
        <v>30</v>
      </c>
      <c r="K16" s="25" t="s">
        <v>22</v>
      </c>
      <c r="L16" s="36" t="s">
        <v>448</v>
      </c>
      <c r="M16" s="47" t="s">
        <v>31</v>
      </c>
      <c r="N16" s="47" t="s">
        <v>52</v>
      </c>
      <c r="O16" s="48" t="s">
        <v>32</v>
      </c>
      <c r="P16" s="48" t="s">
        <v>39</v>
      </c>
      <c r="Q16" s="49" t="s">
        <v>26</v>
      </c>
      <c r="R16" s="33"/>
    </row>
    <row r="17" spans="1:18" x14ac:dyDescent="0.25">
      <c r="A17" s="34">
        <v>42983</v>
      </c>
      <c r="B17" s="1" t="s">
        <v>16</v>
      </c>
      <c r="C17" s="1" t="s">
        <v>85</v>
      </c>
      <c r="D17" s="1" t="s">
        <v>219</v>
      </c>
      <c r="E17" s="13">
        <v>-113.901557</v>
      </c>
      <c r="F17" s="13">
        <v>40.759349839999999</v>
      </c>
      <c r="G17" s="14" t="s">
        <v>86</v>
      </c>
      <c r="H17" s="1" t="s">
        <v>87</v>
      </c>
      <c r="I17" s="1" t="s">
        <v>88</v>
      </c>
      <c r="J17" s="1" t="s">
        <v>21</v>
      </c>
      <c r="K17" s="16" t="s">
        <v>22</v>
      </c>
      <c r="L17" s="9" t="s">
        <v>445</v>
      </c>
      <c r="M17" s="35" t="s">
        <v>23</v>
      </c>
      <c r="N17" s="36"/>
      <c r="O17" s="40"/>
      <c r="P17" s="20" t="s">
        <v>26</v>
      </c>
      <c r="Q17" s="20" t="s">
        <v>26</v>
      </c>
    </row>
    <row r="18" spans="1:18" x14ac:dyDescent="0.25">
      <c r="A18" s="34">
        <v>42983</v>
      </c>
      <c r="B18" s="1" t="s">
        <v>16</v>
      </c>
      <c r="C18" s="1" t="s">
        <v>85</v>
      </c>
      <c r="D18" s="1" t="s">
        <v>219</v>
      </c>
      <c r="E18" s="13">
        <v>-113.901557</v>
      </c>
      <c r="F18" s="13">
        <v>40.759349839999999</v>
      </c>
      <c r="G18" s="14" t="s">
        <v>89</v>
      </c>
      <c r="H18" s="15" t="s">
        <v>90</v>
      </c>
      <c r="I18" s="1" t="s">
        <v>91</v>
      </c>
      <c r="J18" s="1" t="s">
        <v>30</v>
      </c>
      <c r="K18" s="16" t="s">
        <v>22</v>
      </c>
      <c r="L18" s="36" t="s">
        <v>446</v>
      </c>
      <c r="M18" s="50" t="s">
        <v>31</v>
      </c>
      <c r="N18" s="43" t="s">
        <v>32</v>
      </c>
      <c r="O18" s="42" t="s">
        <v>38</v>
      </c>
      <c r="P18" s="38" t="s">
        <v>26</v>
      </c>
      <c r="Q18" s="38" t="s">
        <v>26</v>
      </c>
    </row>
    <row r="19" spans="1:18" x14ac:dyDescent="0.25">
      <c r="A19" s="2">
        <v>42983</v>
      </c>
      <c r="B19" s="3" t="s">
        <v>16</v>
      </c>
      <c r="C19" s="3" t="s">
        <v>92</v>
      </c>
      <c r="D19" s="9" t="s">
        <v>219</v>
      </c>
      <c r="E19" s="4">
        <v>-113.8309256</v>
      </c>
      <c r="F19" s="4">
        <v>40.762998699999997</v>
      </c>
      <c r="G19" s="5" t="s">
        <v>79</v>
      </c>
      <c r="H19" s="6" t="s">
        <v>93</v>
      </c>
      <c r="I19" s="3" t="s">
        <v>94</v>
      </c>
      <c r="J19" s="3" t="s">
        <v>21</v>
      </c>
      <c r="K19" s="7" t="s">
        <v>22</v>
      </c>
      <c r="L19" s="9" t="s">
        <v>445</v>
      </c>
      <c r="M19" s="8" t="s">
        <v>23</v>
      </c>
      <c r="N19" s="9" t="s">
        <v>24</v>
      </c>
      <c r="O19" s="10" t="s">
        <v>25</v>
      </c>
      <c r="P19" s="10" t="s">
        <v>26</v>
      </c>
      <c r="Q19" s="10" t="s">
        <v>26</v>
      </c>
      <c r="R19" s="11"/>
    </row>
    <row r="20" spans="1:18" x14ac:dyDescent="0.25">
      <c r="A20" s="12">
        <v>42983</v>
      </c>
      <c r="B20" s="1" t="s">
        <v>16</v>
      </c>
      <c r="C20" s="1" t="s">
        <v>92</v>
      </c>
      <c r="D20" s="1" t="s">
        <v>219</v>
      </c>
      <c r="E20" s="13">
        <v>-113.8309256</v>
      </c>
      <c r="F20" s="13">
        <v>40.762998699999997</v>
      </c>
      <c r="G20" s="14" t="s">
        <v>95</v>
      </c>
      <c r="H20" s="15" t="s">
        <v>96</v>
      </c>
      <c r="I20" s="1" t="s">
        <v>97</v>
      </c>
      <c r="J20" s="1" t="s">
        <v>30</v>
      </c>
      <c r="K20" s="16" t="s">
        <v>22</v>
      </c>
      <c r="L20" s="36" t="s">
        <v>448</v>
      </c>
      <c r="M20" s="17" t="s">
        <v>31</v>
      </c>
      <c r="N20" s="19" t="s">
        <v>33</v>
      </c>
      <c r="O20" s="18" t="s">
        <v>32</v>
      </c>
      <c r="P20" s="20" t="s">
        <v>26</v>
      </c>
      <c r="Q20" s="20" t="s">
        <v>26</v>
      </c>
      <c r="R20" s="21"/>
    </row>
    <row r="21" spans="1:18" x14ac:dyDescent="0.25">
      <c r="A21" s="12">
        <v>42983</v>
      </c>
      <c r="B21" s="1" t="s">
        <v>16</v>
      </c>
      <c r="C21" s="1" t="s">
        <v>92</v>
      </c>
      <c r="D21" s="1" t="s">
        <v>219</v>
      </c>
      <c r="E21" s="13">
        <v>-113.8309256</v>
      </c>
      <c r="F21" s="13">
        <v>40.762998699999997</v>
      </c>
      <c r="G21" s="14" t="s">
        <v>98</v>
      </c>
      <c r="H21" s="1" t="s">
        <v>99</v>
      </c>
      <c r="I21" s="1" t="s">
        <v>100</v>
      </c>
      <c r="J21" s="1" t="s">
        <v>37</v>
      </c>
      <c r="K21" s="16" t="s">
        <v>22</v>
      </c>
      <c r="L21" s="36" t="s">
        <v>449</v>
      </c>
      <c r="M21" s="41" t="s">
        <v>56</v>
      </c>
      <c r="N21" s="36"/>
      <c r="O21" s="16"/>
      <c r="P21" s="20" t="s">
        <v>26</v>
      </c>
      <c r="Q21" s="20" t="s">
        <v>26</v>
      </c>
      <c r="R21" s="21"/>
    </row>
    <row r="22" spans="1:18" x14ac:dyDescent="0.25">
      <c r="A22" s="24">
        <v>42983</v>
      </c>
      <c r="B22" s="25" t="s">
        <v>16</v>
      </c>
      <c r="C22" s="25" t="s">
        <v>92</v>
      </c>
      <c r="D22" s="29" t="s">
        <v>219</v>
      </c>
      <c r="E22" s="26">
        <v>-113.8309256</v>
      </c>
      <c r="F22" s="26">
        <v>40.762998699999997</v>
      </c>
      <c r="G22" s="27" t="s">
        <v>101</v>
      </c>
      <c r="H22" s="25" t="s">
        <v>102</v>
      </c>
      <c r="I22" s="25" t="s">
        <v>103</v>
      </c>
      <c r="J22" s="25" t="s">
        <v>43</v>
      </c>
      <c r="K22" s="29" t="s">
        <v>22</v>
      </c>
      <c r="L22" s="29" t="s">
        <v>450</v>
      </c>
      <c r="M22" s="51" t="s">
        <v>31</v>
      </c>
      <c r="N22" s="52" t="s">
        <v>38</v>
      </c>
      <c r="O22" s="29"/>
      <c r="P22" s="39" t="s">
        <v>39</v>
      </c>
      <c r="Q22" s="32" t="s">
        <v>26</v>
      </c>
      <c r="R22" s="33"/>
    </row>
    <row r="23" spans="1:18" x14ac:dyDescent="0.25">
      <c r="A23" s="34">
        <v>42983</v>
      </c>
      <c r="B23" s="1" t="s">
        <v>16</v>
      </c>
      <c r="C23" s="1" t="s">
        <v>104</v>
      </c>
      <c r="D23" s="1" t="s">
        <v>219</v>
      </c>
      <c r="E23" s="13">
        <v>-113.797814</v>
      </c>
      <c r="F23" s="13">
        <v>40.82305496</v>
      </c>
      <c r="G23" s="14" t="s">
        <v>105</v>
      </c>
      <c r="H23" s="15" t="s">
        <v>106</v>
      </c>
      <c r="I23" s="1" t="s">
        <v>107</v>
      </c>
      <c r="J23" s="1" t="s">
        <v>21</v>
      </c>
      <c r="K23" s="16" t="s">
        <v>22</v>
      </c>
      <c r="L23" s="9" t="s">
        <v>445</v>
      </c>
      <c r="M23" s="35" t="s">
        <v>23</v>
      </c>
      <c r="N23" s="40" t="s">
        <v>24</v>
      </c>
      <c r="O23" s="18" t="s">
        <v>32</v>
      </c>
      <c r="P23" s="20" t="s">
        <v>26</v>
      </c>
      <c r="Q23" s="20" t="s">
        <v>26</v>
      </c>
    </row>
    <row r="24" spans="1:18" x14ac:dyDescent="0.25">
      <c r="A24" s="34">
        <v>42983</v>
      </c>
      <c r="B24" s="1" t="s">
        <v>16</v>
      </c>
      <c r="C24" s="1" t="s">
        <v>104</v>
      </c>
      <c r="D24" s="1" t="s">
        <v>219</v>
      </c>
      <c r="E24" s="13">
        <v>-113.797814</v>
      </c>
      <c r="F24" s="13">
        <v>40.82305496</v>
      </c>
      <c r="G24" s="14" t="s">
        <v>108</v>
      </c>
      <c r="H24" s="15" t="s">
        <v>109</v>
      </c>
      <c r="I24" s="1" t="s">
        <v>110</v>
      </c>
      <c r="J24" s="1" t="s">
        <v>30</v>
      </c>
      <c r="K24" s="16" t="s">
        <v>22</v>
      </c>
      <c r="L24" s="36" t="s">
        <v>448</v>
      </c>
      <c r="M24" s="17" t="s">
        <v>31</v>
      </c>
      <c r="N24" s="18" t="s">
        <v>32</v>
      </c>
      <c r="O24" s="19" t="s">
        <v>33</v>
      </c>
      <c r="P24" s="20" t="s">
        <v>26</v>
      </c>
      <c r="Q24" s="20" t="s">
        <v>26</v>
      </c>
    </row>
    <row r="25" spans="1:18" x14ac:dyDescent="0.25">
      <c r="A25" s="34">
        <v>42983</v>
      </c>
      <c r="B25" s="1" t="s">
        <v>16</v>
      </c>
      <c r="C25" s="1" t="s">
        <v>104</v>
      </c>
      <c r="D25" s="1" t="s">
        <v>219</v>
      </c>
      <c r="E25" s="13">
        <v>-113.797814</v>
      </c>
      <c r="F25" s="13">
        <v>40.82305496</v>
      </c>
      <c r="G25" s="14" t="s">
        <v>111</v>
      </c>
      <c r="H25" s="1" t="s">
        <v>112</v>
      </c>
      <c r="I25" s="1" t="s">
        <v>113</v>
      </c>
      <c r="J25" s="1" t="s">
        <v>37</v>
      </c>
      <c r="K25" s="16" t="s">
        <v>22</v>
      </c>
      <c r="L25" s="36" t="s">
        <v>447</v>
      </c>
      <c r="M25" s="41" t="s">
        <v>56</v>
      </c>
      <c r="N25" s="1"/>
      <c r="O25" s="16"/>
      <c r="P25" s="20" t="s">
        <v>26</v>
      </c>
      <c r="Q25" s="20" t="s">
        <v>26</v>
      </c>
    </row>
    <row r="31" spans="1:18" ht="15.75" customHeight="1" x14ac:dyDescent="0.2">
      <c r="L31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5D70-AA52-481A-8D1F-75813A4142D9}">
  <dimension ref="A1:CA71"/>
  <sheetViews>
    <sheetView topLeftCell="A35" workbookViewId="0">
      <selection activeCell="AE19" sqref="AE19"/>
    </sheetView>
  </sheetViews>
  <sheetFormatPr defaultRowHeight="12.75" x14ac:dyDescent="0.2"/>
  <cols>
    <col min="1" max="1" width="28.42578125" customWidth="1"/>
    <col min="2" max="2" width="15.42578125" customWidth="1"/>
    <col min="3" max="3" width="11.5703125" customWidth="1"/>
    <col min="4" max="5" width="9.7109375" customWidth="1"/>
    <col min="19" max="19" width="9.85546875" customWidth="1"/>
    <col min="62" max="62" width="13.28515625" customWidth="1"/>
    <col min="63" max="63" width="23" customWidth="1"/>
    <col min="65" max="65" width="0" hidden="1" customWidth="1"/>
    <col min="72" max="72" width="9.140625" hidden="1" customWidth="1"/>
  </cols>
  <sheetData>
    <row r="1" spans="1:58" s="82" customFormat="1" ht="52.5" thickBot="1" x14ac:dyDescent="0.3">
      <c r="A1" s="148" t="s">
        <v>380</v>
      </c>
      <c r="B1" s="149"/>
      <c r="C1" s="149" t="s">
        <v>386</v>
      </c>
      <c r="D1" s="149" t="s">
        <v>386</v>
      </c>
      <c r="E1" s="149"/>
      <c r="F1" s="150" t="s">
        <v>384</v>
      </c>
      <c r="G1" s="150" t="s">
        <v>384</v>
      </c>
      <c r="H1" s="150" t="s">
        <v>384</v>
      </c>
      <c r="I1" s="150" t="s">
        <v>384</v>
      </c>
      <c r="J1" s="151" t="s">
        <v>379</v>
      </c>
      <c r="K1" s="151"/>
      <c r="L1" s="151" t="s">
        <v>379</v>
      </c>
      <c r="M1" s="151" t="s">
        <v>379</v>
      </c>
      <c r="N1" s="151" t="s">
        <v>379</v>
      </c>
      <c r="O1" s="151" t="s">
        <v>379</v>
      </c>
      <c r="P1" s="152" t="s">
        <v>385</v>
      </c>
      <c r="Q1" s="152" t="s">
        <v>410</v>
      </c>
      <c r="R1" s="152"/>
      <c r="S1" s="153" t="s">
        <v>381</v>
      </c>
      <c r="T1" s="149" t="s">
        <v>387</v>
      </c>
      <c r="U1" s="154" t="s">
        <v>382</v>
      </c>
      <c r="AD1" s="148" t="s">
        <v>380</v>
      </c>
      <c r="AE1" s="149"/>
      <c r="AF1" s="149" t="s">
        <v>386</v>
      </c>
      <c r="AG1" s="149" t="s">
        <v>386</v>
      </c>
      <c r="AH1" s="150" t="s">
        <v>384</v>
      </c>
      <c r="AI1" s="150" t="s">
        <v>384</v>
      </c>
      <c r="AJ1" s="150" t="s">
        <v>384</v>
      </c>
      <c r="AK1" s="150" t="s">
        <v>384</v>
      </c>
      <c r="AL1" s="151" t="s">
        <v>379</v>
      </c>
      <c r="AM1" s="151" t="s">
        <v>379</v>
      </c>
      <c r="AN1" s="151" t="s">
        <v>379</v>
      </c>
      <c r="AO1" s="151" t="s">
        <v>379</v>
      </c>
      <c r="AP1" s="151" t="s">
        <v>379</v>
      </c>
      <c r="AQ1" s="153" t="s">
        <v>381</v>
      </c>
      <c r="AR1" s="149" t="s">
        <v>387</v>
      </c>
      <c r="AS1" s="154" t="s">
        <v>382</v>
      </c>
    </row>
    <row r="2" spans="1:58" ht="15" x14ac:dyDescent="0.25">
      <c r="A2" t="s">
        <v>356</v>
      </c>
      <c r="B2" t="s">
        <v>214</v>
      </c>
      <c r="C2" t="s">
        <v>210</v>
      </c>
      <c r="D2" s="134" t="s">
        <v>193</v>
      </c>
      <c r="E2" s="134"/>
      <c r="F2" t="s">
        <v>204</v>
      </c>
      <c r="G2" t="s">
        <v>207</v>
      </c>
      <c r="H2" t="s">
        <v>203</v>
      </c>
      <c r="I2" t="s">
        <v>177</v>
      </c>
      <c r="J2" t="s">
        <v>209</v>
      </c>
      <c r="L2" t="s">
        <v>189</v>
      </c>
      <c r="M2" t="s">
        <v>179</v>
      </c>
      <c r="N2" t="s">
        <v>202</v>
      </c>
      <c r="O2" t="s">
        <v>176</v>
      </c>
      <c r="P2" t="s">
        <v>175</v>
      </c>
      <c r="Q2" t="s">
        <v>172</v>
      </c>
      <c r="S2" t="s">
        <v>185</v>
      </c>
      <c r="T2" t="s">
        <v>211</v>
      </c>
      <c r="U2" t="s">
        <v>206</v>
      </c>
      <c r="AD2" t="s">
        <v>356</v>
      </c>
      <c r="AE2" t="s">
        <v>214</v>
      </c>
      <c r="AF2" t="s">
        <v>210</v>
      </c>
      <c r="AG2" s="134" t="s">
        <v>193</v>
      </c>
      <c r="AH2" t="s">
        <v>204</v>
      </c>
      <c r="AI2" t="s">
        <v>207</v>
      </c>
      <c r="AJ2" t="s">
        <v>203</v>
      </c>
      <c r="AK2" t="s">
        <v>177</v>
      </c>
      <c r="AL2" t="s">
        <v>209</v>
      </c>
      <c r="AM2" t="s">
        <v>189</v>
      </c>
      <c r="AN2" t="s">
        <v>179</v>
      </c>
      <c r="AO2" t="s">
        <v>202</v>
      </c>
      <c r="AP2" t="s">
        <v>176</v>
      </c>
      <c r="AQ2" t="s">
        <v>185</v>
      </c>
      <c r="AR2" t="s">
        <v>211</v>
      </c>
      <c r="AS2" t="s">
        <v>206</v>
      </c>
      <c r="AY2" s="134"/>
      <c r="AZ2" s="134"/>
      <c r="BA2" s="134"/>
      <c r="BB2" s="134"/>
    </row>
    <row r="3" spans="1:58" x14ac:dyDescent="0.2">
      <c r="A3" t="s">
        <v>356</v>
      </c>
      <c r="B3" t="s">
        <v>164</v>
      </c>
      <c r="C3" t="s">
        <v>162</v>
      </c>
      <c r="D3" t="s">
        <v>163</v>
      </c>
      <c r="F3" t="s">
        <v>162</v>
      </c>
      <c r="G3" t="s">
        <v>162</v>
      </c>
      <c r="H3" t="s">
        <v>162</v>
      </c>
      <c r="I3" t="s">
        <v>162</v>
      </c>
      <c r="J3" t="s">
        <v>162</v>
      </c>
      <c r="L3" t="s">
        <v>163</v>
      </c>
      <c r="M3" t="s">
        <v>162</v>
      </c>
      <c r="N3" t="s">
        <v>162</v>
      </c>
      <c r="O3" t="s">
        <v>162</v>
      </c>
      <c r="P3" t="s">
        <v>161</v>
      </c>
      <c r="Q3" t="s">
        <v>161</v>
      </c>
      <c r="S3" t="s">
        <v>162</v>
      </c>
      <c r="T3" t="s">
        <v>162</v>
      </c>
      <c r="U3" t="s">
        <v>162</v>
      </c>
      <c r="AD3" t="s">
        <v>356</v>
      </c>
      <c r="AE3" t="s">
        <v>164</v>
      </c>
      <c r="AF3" t="s">
        <v>162</v>
      </c>
      <c r="AG3" t="s">
        <v>163</v>
      </c>
      <c r="AH3" t="s">
        <v>162</v>
      </c>
      <c r="AI3" t="s">
        <v>162</v>
      </c>
      <c r="AJ3" t="s">
        <v>162</v>
      </c>
      <c r="AK3" t="s">
        <v>162</v>
      </c>
      <c r="AL3" t="s">
        <v>162</v>
      </c>
      <c r="AM3" t="s">
        <v>163</v>
      </c>
      <c r="AN3" t="s">
        <v>162</v>
      </c>
      <c r="AO3" t="s">
        <v>162</v>
      </c>
      <c r="AP3" t="s">
        <v>162</v>
      </c>
      <c r="AQ3" t="s">
        <v>162</v>
      </c>
      <c r="AR3" t="s">
        <v>162</v>
      </c>
      <c r="AS3" t="s">
        <v>162</v>
      </c>
    </row>
    <row r="4" spans="1:58" hidden="1" x14ac:dyDescent="0.2">
      <c r="A4" t="s">
        <v>356</v>
      </c>
      <c r="B4" t="s">
        <v>159</v>
      </c>
      <c r="C4">
        <v>5</v>
      </c>
      <c r="D4">
        <v>0.01</v>
      </c>
      <c r="F4">
        <v>2</v>
      </c>
      <c r="G4">
        <v>2</v>
      </c>
      <c r="H4">
        <v>10</v>
      </c>
      <c r="I4">
        <v>1</v>
      </c>
      <c r="J4">
        <v>1</v>
      </c>
      <c r="L4">
        <v>1E-3</v>
      </c>
      <c r="M4">
        <v>1</v>
      </c>
      <c r="N4">
        <v>10</v>
      </c>
      <c r="O4">
        <v>1</v>
      </c>
      <c r="P4">
        <v>0.01</v>
      </c>
      <c r="Q4">
        <v>0.03</v>
      </c>
      <c r="S4">
        <v>1</v>
      </c>
      <c r="T4">
        <v>1</v>
      </c>
      <c r="U4">
        <v>2</v>
      </c>
      <c r="AD4" t="s">
        <v>356</v>
      </c>
      <c r="AE4" t="s">
        <v>159</v>
      </c>
      <c r="AF4">
        <v>5</v>
      </c>
      <c r="AG4">
        <v>0.01</v>
      </c>
      <c r="AH4">
        <v>2</v>
      </c>
      <c r="AI4">
        <v>2</v>
      </c>
      <c r="AJ4">
        <v>10</v>
      </c>
      <c r="AK4">
        <v>1</v>
      </c>
      <c r="AL4">
        <v>1</v>
      </c>
      <c r="AM4">
        <v>1E-3</v>
      </c>
      <c r="AN4">
        <v>1</v>
      </c>
      <c r="AO4">
        <v>10</v>
      </c>
      <c r="AP4">
        <v>1</v>
      </c>
      <c r="AQ4">
        <v>1</v>
      </c>
      <c r="AR4">
        <v>1</v>
      </c>
      <c r="AS4">
        <v>2</v>
      </c>
    </row>
    <row r="5" spans="1:58" ht="15.75" thickBot="1" x14ac:dyDescent="0.3">
      <c r="A5" t="s">
        <v>357</v>
      </c>
      <c r="B5" t="s">
        <v>158</v>
      </c>
      <c r="C5" t="s">
        <v>157</v>
      </c>
      <c r="D5" t="s">
        <v>157</v>
      </c>
      <c r="F5" t="s">
        <v>157</v>
      </c>
      <c r="G5" t="s">
        <v>157</v>
      </c>
      <c r="H5" t="s">
        <v>157</v>
      </c>
      <c r="I5" t="s">
        <v>157</v>
      </c>
      <c r="J5" t="s">
        <v>157</v>
      </c>
      <c r="L5" t="s">
        <v>157</v>
      </c>
      <c r="M5" t="s">
        <v>157</v>
      </c>
      <c r="N5" t="s">
        <v>157</v>
      </c>
      <c r="O5" t="s">
        <v>157</v>
      </c>
      <c r="P5" t="s">
        <v>156</v>
      </c>
      <c r="Q5" t="s">
        <v>156</v>
      </c>
      <c r="S5" t="s">
        <v>157</v>
      </c>
      <c r="T5" t="s">
        <v>157</v>
      </c>
      <c r="U5" t="s">
        <v>157</v>
      </c>
      <c r="AD5" t="s">
        <v>357</v>
      </c>
      <c r="AE5" t="s">
        <v>158</v>
      </c>
      <c r="AF5" t="s">
        <v>157</v>
      </c>
      <c r="AG5" t="s">
        <v>157</v>
      </c>
      <c r="AH5" t="s">
        <v>157</v>
      </c>
      <c r="AI5" t="s">
        <v>157</v>
      </c>
      <c r="AJ5" t="s">
        <v>157</v>
      </c>
      <c r="AK5" t="s">
        <v>157</v>
      </c>
      <c r="AL5" t="s">
        <v>157</v>
      </c>
      <c r="AM5" t="s">
        <v>157</v>
      </c>
      <c r="AN5" t="s">
        <v>157</v>
      </c>
      <c r="AO5" t="s">
        <v>157</v>
      </c>
      <c r="AP5" t="s">
        <v>157</v>
      </c>
      <c r="AQ5" t="s">
        <v>157</v>
      </c>
      <c r="AR5" t="s">
        <v>157</v>
      </c>
      <c r="AS5" t="s">
        <v>157</v>
      </c>
      <c r="AY5" s="134"/>
      <c r="AZ5" s="134"/>
      <c r="BA5" s="134"/>
      <c r="BB5" s="134"/>
    </row>
    <row r="6" spans="1:58" s="137" customFormat="1" ht="13.5" thickBot="1" x14ac:dyDescent="0.25">
      <c r="A6" s="136" t="s">
        <v>352</v>
      </c>
      <c r="B6" s="137" t="s">
        <v>149</v>
      </c>
      <c r="C6" s="137">
        <v>26</v>
      </c>
      <c r="D6" s="137">
        <v>0.18</v>
      </c>
      <c r="F6" s="137" t="s">
        <v>117</v>
      </c>
      <c r="G6" s="137" t="s">
        <v>117</v>
      </c>
      <c r="H6" s="137" t="s">
        <v>114</v>
      </c>
      <c r="I6" s="137" t="s">
        <v>116</v>
      </c>
      <c r="J6" s="137" t="s">
        <v>116</v>
      </c>
      <c r="L6" s="137">
        <v>7.0000000000000001E-3</v>
      </c>
      <c r="M6" s="137">
        <v>3</v>
      </c>
      <c r="N6" s="137">
        <v>25</v>
      </c>
      <c r="O6" s="137">
        <v>1</v>
      </c>
      <c r="P6" s="137" t="s">
        <v>115</v>
      </c>
      <c r="Q6" s="137">
        <v>19.2</v>
      </c>
      <c r="S6" s="137">
        <v>337</v>
      </c>
      <c r="T6" s="137">
        <v>3</v>
      </c>
      <c r="U6" s="137">
        <v>7</v>
      </c>
      <c r="AB6" s="136"/>
      <c r="AD6" s="136" t="s">
        <v>352</v>
      </c>
      <c r="AE6" s="137" t="s">
        <v>149</v>
      </c>
      <c r="AF6" s="137">
        <v>26</v>
      </c>
      <c r="AG6" s="137">
        <v>0.18</v>
      </c>
      <c r="AH6" s="137">
        <v>0</v>
      </c>
      <c r="AI6" s="137">
        <v>0</v>
      </c>
      <c r="AJ6" s="137">
        <v>0</v>
      </c>
      <c r="AK6" s="137">
        <v>0</v>
      </c>
      <c r="AL6" s="137">
        <v>0</v>
      </c>
      <c r="AM6" s="137">
        <v>7.0000000000000001E-3</v>
      </c>
      <c r="AN6" s="137">
        <v>3</v>
      </c>
      <c r="AO6" s="137">
        <v>25</v>
      </c>
      <c r="AP6" s="137">
        <v>0</v>
      </c>
      <c r="AQ6" s="137">
        <v>337</v>
      </c>
      <c r="AR6" s="137">
        <v>3</v>
      </c>
      <c r="AS6" s="137">
        <v>7</v>
      </c>
      <c r="AU6" s="136"/>
      <c r="BF6" s="136"/>
    </row>
    <row r="7" spans="1:58" s="139" customFormat="1" ht="15.75" thickBot="1" x14ac:dyDescent="0.3">
      <c r="A7" s="174" t="s">
        <v>390</v>
      </c>
      <c r="B7" s="139" t="s">
        <v>138</v>
      </c>
      <c r="C7" s="139">
        <v>13</v>
      </c>
      <c r="D7" s="139">
        <v>0.16</v>
      </c>
      <c r="F7" s="139" t="s">
        <v>117</v>
      </c>
      <c r="G7" s="139" t="s">
        <v>117</v>
      </c>
      <c r="H7" s="139" t="s">
        <v>114</v>
      </c>
      <c r="I7" s="139" t="s">
        <v>116</v>
      </c>
      <c r="J7" s="139">
        <v>2</v>
      </c>
      <c r="L7" s="139">
        <v>3.0000000000000001E-3</v>
      </c>
      <c r="M7" s="139">
        <v>1</v>
      </c>
      <c r="N7" s="139">
        <v>20</v>
      </c>
      <c r="O7" s="139" t="s">
        <v>116</v>
      </c>
      <c r="P7" s="139" t="s">
        <v>133</v>
      </c>
      <c r="Q7" s="139" t="s">
        <v>137</v>
      </c>
      <c r="S7" s="139">
        <v>593</v>
      </c>
      <c r="T7" s="139">
        <v>5</v>
      </c>
      <c r="U7" s="139">
        <v>3</v>
      </c>
      <c r="AB7" s="138"/>
      <c r="AD7" s="138" t="s">
        <v>352</v>
      </c>
      <c r="AE7" s="139" t="s">
        <v>138</v>
      </c>
      <c r="AF7" s="139">
        <v>13</v>
      </c>
      <c r="AG7" s="139">
        <v>0.16</v>
      </c>
      <c r="AH7" s="139">
        <v>0</v>
      </c>
      <c r="AI7" s="139">
        <v>0</v>
      </c>
      <c r="AJ7" s="139">
        <v>0</v>
      </c>
      <c r="AK7" s="139">
        <v>0</v>
      </c>
      <c r="AL7" s="139">
        <v>2</v>
      </c>
      <c r="AM7" s="139">
        <v>3.0000000000000001E-3</v>
      </c>
      <c r="AN7" s="139">
        <v>1</v>
      </c>
      <c r="AO7" s="139">
        <v>20</v>
      </c>
      <c r="AP7" s="139">
        <v>0</v>
      </c>
      <c r="AQ7" s="139">
        <v>593</v>
      </c>
      <c r="AR7" s="139">
        <v>5</v>
      </c>
      <c r="AS7" s="139">
        <v>3</v>
      </c>
      <c r="AU7" s="138"/>
      <c r="AX7" s="137"/>
      <c r="BC7" s="140"/>
      <c r="BF7" s="138"/>
    </row>
    <row r="8" spans="1:58" s="135" customFormat="1" ht="15.75" thickBot="1" x14ac:dyDescent="0.3">
      <c r="AD8" s="138" t="s">
        <v>352</v>
      </c>
      <c r="AE8" s="135" t="s">
        <v>397</v>
      </c>
      <c r="AF8" s="135">
        <f>AVERAGE(AF6:AF7)</f>
        <v>19.5</v>
      </c>
      <c r="AG8" s="135">
        <f t="shared" ref="AG8:AS8" si="0">AVERAGE(AG6:AG7)</f>
        <v>0.16999999999999998</v>
      </c>
      <c r="AH8" s="135">
        <f t="shared" si="0"/>
        <v>0</v>
      </c>
      <c r="AI8" s="135">
        <f t="shared" si="0"/>
        <v>0</v>
      </c>
      <c r="AJ8" s="135">
        <f t="shared" si="0"/>
        <v>0</v>
      </c>
      <c r="AK8" s="135">
        <f t="shared" si="0"/>
        <v>0</v>
      </c>
      <c r="AL8" s="135">
        <f t="shared" si="0"/>
        <v>1</v>
      </c>
      <c r="AM8" s="135">
        <f t="shared" si="0"/>
        <v>5.0000000000000001E-3</v>
      </c>
      <c r="AN8" s="135">
        <f t="shared" si="0"/>
        <v>2</v>
      </c>
      <c r="AO8" s="135">
        <f t="shared" si="0"/>
        <v>22.5</v>
      </c>
      <c r="AP8" s="135">
        <f t="shared" si="0"/>
        <v>0</v>
      </c>
      <c r="AQ8" s="135">
        <f t="shared" si="0"/>
        <v>465</v>
      </c>
      <c r="AR8" s="135">
        <f t="shared" si="0"/>
        <v>4</v>
      </c>
      <c r="AS8" s="135">
        <f t="shared" si="0"/>
        <v>5</v>
      </c>
      <c r="AX8" s="137"/>
      <c r="BC8" s="143"/>
    </row>
    <row r="9" spans="1:58" ht="15.75" thickBot="1" x14ac:dyDescent="0.3">
      <c r="A9" t="s">
        <v>351</v>
      </c>
      <c r="B9" t="s">
        <v>152</v>
      </c>
      <c r="C9" s="132" t="s">
        <v>115</v>
      </c>
      <c r="D9">
        <v>0.05</v>
      </c>
      <c r="F9" t="s">
        <v>117</v>
      </c>
      <c r="G9" t="s">
        <v>117</v>
      </c>
      <c r="H9" t="s">
        <v>114</v>
      </c>
      <c r="I9" t="s">
        <v>116</v>
      </c>
      <c r="J9" t="s">
        <v>116</v>
      </c>
      <c r="L9" s="132" t="s">
        <v>125</v>
      </c>
      <c r="M9" t="s">
        <v>116</v>
      </c>
      <c r="N9" s="132" t="s">
        <v>114</v>
      </c>
      <c r="O9" t="s">
        <v>116</v>
      </c>
      <c r="P9" t="s">
        <v>124</v>
      </c>
      <c r="Q9" t="s">
        <v>123</v>
      </c>
      <c r="S9">
        <v>147</v>
      </c>
      <c r="T9" t="s">
        <v>116</v>
      </c>
      <c r="U9">
        <v>87</v>
      </c>
      <c r="AD9" t="s">
        <v>351</v>
      </c>
      <c r="AE9" t="s">
        <v>152</v>
      </c>
      <c r="AF9" s="132"/>
      <c r="AG9">
        <v>0.05</v>
      </c>
      <c r="AH9">
        <v>0</v>
      </c>
      <c r="AI9">
        <v>0</v>
      </c>
      <c r="AJ9">
        <v>0</v>
      </c>
      <c r="AK9">
        <v>0</v>
      </c>
      <c r="AL9">
        <v>0</v>
      </c>
      <c r="AM9" s="132">
        <v>0</v>
      </c>
      <c r="AN9">
        <v>0</v>
      </c>
      <c r="AO9" s="132">
        <v>0</v>
      </c>
      <c r="AP9">
        <v>0</v>
      </c>
      <c r="AQ9">
        <v>147</v>
      </c>
      <c r="AR9">
        <v>0</v>
      </c>
      <c r="AS9">
        <v>87</v>
      </c>
      <c r="AX9" s="137"/>
      <c r="BC9" s="133"/>
    </row>
    <row r="10" spans="1:58" ht="15.75" thickBot="1" x14ac:dyDescent="0.3">
      <c r="A10" s="142" t="s">
        <v>353</v>
      </c>
      <c r="B10" t="s">
        <v>143</v>
      </c>
      <c r="C10" s="132">
        <v>13</v>
      </c>
      <c r="D10">
        <v>0.14000000000000001</v>
      </c>
      <c r="F10" t="s">
        <v>117</v>
      </c>
      <c r="G10" t="s">
        <v>117</v>
      </c>
      <c r="H10" t="s">
        <v>114</v>
      </c>
      <c r="I10" t="s">
        <v>116</v>
      </c>
      <c r="J10" t="s">
        <v>116</v>
      </c>
      <c r="L10" s="132">
        <v>1E-3</v>
      </c>
      <c r="M10" t="s">
        <v>116</v>
      </c>
      <c r="N10" s="132" t="s">
        <v>114</v>
      </c>
      <c r="O10" t="s">
        <v>116</v>
      </c>
      <c r="P10" t="s">
        <v>124</v>
      </c>
      <c r="Q10" t="s">
        <v>123</v>
      </c>
      <c r="S10">
        <v>101</v>
      </c>
      <c r="T10" t="s">
        <v>116</v>
      </c>
      <c r="U10" s="132" t="s">
        <v>117</v>
      </c>
      <c r="AD10" t="s">
        <v>351</v>
      </c>
      <c r="AE10" t="s">
        <v>143</v>
      </c>
      <c r="AF10" s="132">
        <v>13</v>
      </c>
      <c r="AG10">
        <v>0.14000000000000001</v>
      </c>
      <c r="AH10">
        <v>0</v>
      </c>
      <c r="AI10">
        <v>0</v>
      </c>
      <c r="AJ10">
        <v>0</v>
      </c>
      <c r="AK10">
        <v>0</v>
      </c>
      <c r="AL10">
        <v>0</v>
      </c>
      <c r="AM10" s="132">
        <v>1E-3</v>
      </c>
      <c r="AN10">
        <v>0</v>
      </c>
      <c r="AO10" s="132">
        <v>0</v>
      </c>
      <c r="AP10">
        <v>0</v>
      </c>
      <c r="AQ10">
        <v>101</v>
      </c>
      <c r="AR10">
        <v>0</v>
      </c>
      <c r="AS10" s="132">
        <v>0</v>
      </c>
      <c r="AX10" s="137"/>
      <c r="BC10" s="133"/>
    </row>
    <row r="11" spans="1:58" ht="15.75" thickBot="1" x14ac:dyDescent="0.3">
      <c r="A11" t="s">
        <v>351</v>
      </c>
      <c r="B11" t="s">
        <v>142</v>
      </c>
      <c r="C11" s="132">
        <v>6</v>
      </c>
      <c r="D11">
        <v>0.09</v>
      </c>
      <c r="F11" t="s">
        <v>117</v>
      </c>
      <c r="G11" t="s">
        <v>117</v>
      </c>
      <c r="H11" t="s">
        <v>114</v>
      </c>
      <c r="I11" t="s">
        <v>116</v>
      </c>
      <c r="J11" t="s">
        <v>116</v>
      </c>
      <c r="L11" s="132">
        <v>1E-3</v>
      </c>
      <c r="M11" t="s">
        <v>116</v>
      </c>
      <c r="N11" s="132">
        <v>11</v>
      </c>
      <c r="O11" t="s">
        <v>116</v>
      </c>
      <c r="P11" t="s">
        <v>124</v>
      </c>
      <c r="Q11" t="s">
        <v>123</v>
      </c>
      <c r="S11">
        <v>152</v>
      </c>
      <c r="T11" t="s">
        <v>116</v>
      </c>
      <c r="U11">
        <v>114</v>
      </c>
      <c r="AD11" t="s">
        <v>351</v>
      </c>
      <c r="AE11" t="s">
        <v>142</v>
      </c>
      <c r="AF11" s="132">
        <v>6</v>
      </c>
      <c r="AG11">
        <v>0.09</v>
      </c>
      <c r="AH11">
        <v>0</v>
      </c>
      <c r="AI11">
        <v>0</v>
      </c>
      <c r="AJ11">
        <v>0</v>
      </c>
      <c r="AK11">
        <v>0</v>
      </c>
      <c r="AL11">
        <v>0</v>
      </c>
      <c r="AM11" s="132">
        <v>1E-3</v>
      </c>
      <c r="AN11">
        <v>0</v>
      </c>
      <c r="AO11" s="132">
        <v>11</v>
      </c>
      <c r="AP11">
        <v>0</v>
      </c>
      <c r="AQ11">
        <v>152</v>
      </c>
      <c r="AR11">
        <v>0</v>
      </c>
      <c r="AS11">
        <v>114</v>
      </c>
      <c r="AX11" s="137"/>
      <c r="BC11" s="133"/>
    </row>
    <row r="12" spans="1:58" ht="15.75" thickBot="1" x14ac:dyDescent="0.3">
      <c r="A12" t="s">
        <v>351</v>
      </c>
      <c r="B12" t="s">
        <v>139</v>
      </c>
      <c r="C12" s="132" t="s">
        <v>115</v>
      </c>
      <c r="D12">
        <v>0.09</v>
      </c>
      <c r="F12" t="s">
        <v>117</v>
      </c>
      <c r="G12" t="s">
        <v>117</v>
      </c>
      <c r="H12" t="s">
        <v>114</v>
      </c>
      <c r="I12" t="s">
        <v>116</v>
      </c>
      <c r="J12" t="s">
        <v>116</v>
      </c>
      <c r="L12" s="132" t="s">
        <v>125</v>
      </c>
      <c r="M12" t="s">
        <v>116</v>
      </c>
      <c r="N12" s="132" t="s">
        <v>114</v>
      </c>
      <c r="O12" t="s">
        <v>116</v>
      </c>
      <c r="P12" t="s">
        <v>124</v>
      </c>
      <c r="Q12" t="s">
        <v>123</v>
      </c>
      <c r="S12">
        <v>71</v>
      </c>
      <c r="T12" t="s">
        <v>116</v>
      </c>
      <c r="U12" s="132" t="s">
        <v>117</v>
      </c>
      <c r="AD12" t="s">
        <v>351</v>
      </c>
      <c r="AE12" t="s">
        <v>139</v>
      </c>
      <c r="AF12" s="132"/>
      <c r="AG12">
        <v>0.09</v>
      </c>
      <c r="AH12">
        <v>0</v>
      </c>
      <c r="AI12">
        <v>0</v>
      </c>
      <c r="AJ12">
        <v>0</v>
      </c>
      <c r="AK12">
        <v>0</v>
      </c>
      <c r="AL12">
        <v>0</v>
      </c>
      <c r="AM12" s="132">
        <v>0</v>
      </c>
      <c r="AN12">
        <v>0</v>
      </c>
      <c r="AO12" s="132">
        <v>0</v>
      </c>
      <c r="AP12">
        <v>0</v>
      </c>
      <c r="AQ12">
        <v>71</v>
      </c>
      <c r="AR12">
        <v>0</v>
      </c>
      <c r="AS12" s="132">
        <v>0</v>
      </c>
      <c r="AX12" s="137"/>
      <c r="BC12" s="133"/>
    </row>
    <row r="13" spans="1:58" ht="15.75" thickBot="1" x14ac:dyDescent="0.3">
      <c r="C13" s="132"/>
      <c r="L13" s="132"/>
      <c r="N13" s="132"/>
      <c r="U13" s="132"/>
      <c r="AD13" t="str">
        <f>AD12</f>
        <v>lower halite</v>
      </c>
      <c r="AE13" s="135" t="s">
        <v>397</v>
      </c>
      <c r="AF13" s="132">
        <f>AVERAGE(AF9:AF12)</f>
        <v>9.5</v>
      </c>
      <c r="AG13" s="132">
        <f t="shared" ref="AG13:AS13" si="1">AVERAGE(AG9:AG12)</f>
        <v>9.2499999999999999E-2</v>
      </c>
      <c r="AH13" s="132">
        <f t="shared" si="1"/>
        <v>0</v>
      </c>
      <c r="AI13" s="132">
        <f t="shared" si="1"/>
        <v>0</v>
      </c>
      <c r="AJ13" s="132">
        <f t="shared" si="1"/>
        <v>0</v>
      </c>
      <c r="AK13" s="132">
        <f t="shared" si="1"/>
        <v>0</v>
      </c>
      <c r="AL13" s="132">
        <f t="shared" si="1"/>
        <v>0</v>
      </c>
      <c r="AM13" s="132">
        <f t="shared" si="1"/>
        <v>5.0000000000000001E-4</v>
      </c>
      <c r="AN13" s="132">
        <f t="shared" si="1"/>
        <v>0</v>
      </c>
      <c r="AO13" s="132">
        <f t="shared" si="1"/>
        <v>2.75</v>
      </c>
      <c r="AP13" s="132">
        <f t="shared" si="1"/>
        <v>0</v>
      </c>
      <c r="AQ13" s="132">
        <f t="shared" si="1"/>
        <v>117.75</v>
      </c>
      <c r="AR13" s="132">
        <f t="shared" si="1"/>
        <v>0</v>
      </c>
      <c r="AS13" s="132">
        <f t="shared" si="1"/>
        <v>50.25</v>
      </c>
      <c r="AX13" s="137"/>
      <c r="BC13" s="133"/>
    </row>
    <row r="14" spans="1:58" s="137" customFormat="1" ht="15.75" thickBot="1" x14ac:dyDescent="0.3">
      <c r="A14" s="136" t="s">
        <v>354</v>
      </c>
      <c r="B14" s="137" t="s">
        <v>148</v>
      </c>
      <c r="C14" s="146">
        <v>12</v>
      </c>
      <c r="D14" s="137">
        <v>0.08</v>
      </c>
      <c r="F14" s="137" t="s">
        <v>117</v>
      </c>
      <c r="G14" s="137" t="s">
        <v>117</v>
      </c>
      <c r="H14" s="137" t="s">
        <v>114</v>
      </c>
      <c r="I14" s="137" t="s">
        <v>116</v>
      </c>
      <c r="J14" s="137" t="s">
        <v>116</v>
      </c>
      <c r="L14" s="146">
        <v>2E-3</v>
      </c>
      <c r="M14" s="137" t="s">
        <v>116</v>
      </c>
      <c r="N14" s="146">
        <v>15</v>
      </c>
      <c r="O14" s="137" t="s">
        <v>116</v>
      </c>
      <c r="P14" s="137" t="s">
        <v>131</v>
      </c>
      <c r="Q14" s="137" t="s">
        <v>123</v>
      </c>
      <c r="S14" s="137">
        <v>230</v>
      </c>
      <c r="T14" s="137" t="s">
        <v>116</v>
      </c>
      <c r="U14" s="137">
        <v>35</v>
      </c>
      <c r="AB14" s="136"/>
      <c r="AD14" s="136" t="s">
        <v>354</v>
      </c>
      <c r="AE14" s="137" t="s">
        <v>148</v>
      </c>
      <c r="AF14" s="146">
        <v>12</v>
      </c>
      <c r="AG14" s="137">
        <v>0.08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46">
        <v>2E-3</v>
      </c>
      <c r="AN14" s="137">
        <v>0</v>
      </c>
      <c r="AO14" s="146">
        <v>15</v>
      </c>
      <c r="AP14" s="137">
        <v>0</v>
      </c>
      <c r="AQ14" s="137">
        <v>230</v>
      </c>
      <c r="AR14" s="137">
        <v>0</v>
      </c>
      <c r="AS14" s="137">
        <v>35</v>
      </c>
      <c r="AU14" s="136"/>
      <c r="BC14" s="141"/>
      <c r="BF14" s="136"/>
    </row>
    <row r="15" spans="1:58" s="135" customFormat="1" ht="15.75" thickBot="1" x14ac:dyDescent="0.3">
      <c r="A15" s="142" t="s">
        <v>354</v>
      </c>
      <c r="B15" s="135" t="s">
        <v>145</v>
      </c>
      <c r="C15" s="144">
        <v>9</v>
      </c>
      <c r="D15" s="135">
        <v>0.22</v>
      </c>
      <c r="F15" s="135" t="s">
        <v>117</v>
      </c>
      <c r="G15" s="135" t="s">
        <v>117</v>
      </c>
      <c r="H15" s="135" t="s">
        <v>114</v>
      </c>
      <c r="I15" s="135" t="s">
        <v>116</v>
      </c>
      <c r="J15" s="135" t="s">
        <v>116</v>
      </c>
      <c r="L15" s="144">
        <v>2E-3</v>
      </c>
      <c r="M15" s="135" t="s">
        <v>116</v>
      </c>
      <c r="N15" s="144">
        <v>29</v>
      </c>
      <c r="O15" s="135" t="s">
        <v>116</v>
      </c>
      <c r="P15" s="135" t="s">
        <v>133</v>
      </c>
      <c r="Q15" s="135" t="s">
        <v>137</v>
      </c>
      <c r="S15" s="135">
        <v>714</v>
      </c>
      <c r="T15" s="135" t="s">
        <v>116</v>
      </c>
      <c r="U15" s="135">
        <v>3</v>
      </c>
      <c r="AB15" s="142"/>
      <c r="AD15" s="142" t="s">
        <v>354</v>
      </c>
      <c r="AE15" s="135" t="s">
        <v>145</v>
      </c>
      <c r="AF15" s="144">
        <v>9</v>
      </c>
      <c r="AG15" s="135">
        <v>0.22</v>
      </c>
      <c r="AH15" s="139">
        <v>0</v>
      </c>
      <c r="AI15" s="139">
        <v>0</v>
      </c>
      <c r="AJ15" s="139">
        <v>0</v>
      </c>
      <c r="AK15" s="139">
        <v>0</v>
      </c>
      <c r="AL15" s="139">
        <v>0</v>
      </c>
      <c r="AM15" s="144">
        <v>2E-3</v>
      </c>
      <c r="AN15" s="139">
        <v>0</v>
      </c>
      <c r="AO15" s="144">
        <v>29</v>
      </c>
      <c r="AP15" s="139">
        <v>0</v>
      </c>
      <c r="AQ15" s="135">
        <v>714</v>
      </c>
      <c r="AR15" s="139">
        <v>0</v>
      </c>
      <c r="AS15" s="135">
        <v>3</v>
      </c>
      <c r="AU15" s="142"/>
      <c r="AX15" s="137"/>
      <c r="BC15" s="143"/>
      <c r="BF15" s="142"/>
    </row>
    <row r="16" spans="1:58" s="139" customFormat="1" ht="15.75" thickBot="1" x14ac:dyDescent="0.3">
      <c r="A16" s="138" t="s">
        <v>354</v>
      </c>
      <c r="B16" s="139" t="s">
        <v>132</v>
      </c>
      <c r="C16" s="147">
        <v>7</v>
      </c>
      <c r="D16" s="139">
        <v>7.0000000000000007E-2</v>
      </c>
      <c r="F16" s="139" t="s">
        <v>117</v>
      </c>
      <c r="G16" s="139" t="s">
        <v>117</v>
      </c>
      <c r="H16" s="139" t="s">
        <v>114</v>
      </c>
      <c r="I16" s="139" t="s">
        <v>116</v>
      </c>
      <c r="J16" s="139" t="s">
        <v>116</v>
      </c>
      <c r="L16" s="147">
        <v>2E-3</v>
      </c>
      <c r="M16" s="139" t="s">
        <v>116</v>
      </c>
      <c r="N16" s="147">
        <v>12</v>
      </c>
      <c r="O16" s="139" t="s">
        <v>116</v>
      </c>
      <c r="P16" s="139" t="s">
        <v>131</v>
      </c>
      <c r="Q16" s="139" t="s">
        <v>123</v>
      </c>
      <c r="S16" s="139">
        <v>260</v>
      </c>
      <c r="T16" s="139" t="s">
        <v>116</v>
      </c>
      <c r="U16" s="139">
        <v>5</v>
      </c>
      <c r="AB16" s="138"/>
      <c r="AD16" s="138" t="s">
        <v>354</v>
      </c>
      <c r="AE16" s="139" t="s">
        <v>132</v>
      </c>
      <c r="AF16" s="147">
        <v>7</v>
      </c>
      <c r="AG16" s="139">
        <v>7.0000000000000007E-2</v>
      </c>
      <c r="AH16">
        <v>0</v>
      </c>
      <c r="AI16">
        <v>0</v>
      </c>
      <c r="AJ16">
        <v>0</v>
      </c>
      <c r="AK16">
        <v>0</v>
      </c>
      <c r="AL16">
        <v>0</v>
      </c>
      <c r="AM16" s="147">
        <v>2E-3</v>
      </c>
      <c r="AN16">
        <v>0</v>
      </c>
      <c r="AO16" s="147">
        <v>12</v>
      </c>
      <c r="AP16">
        <v>0</v>
      </c>
      <c r="AQ16" s="139">
        <v>260</v>
      </c>
      <c r="AR16">
        <v>0</v>
      </c>
      <c r="AS16" s="139">
        <v>5</v>
      </c>
      <c r="AU16" s="138"/>
      <c r="AX16" s="137"/>
      <c r="BC16" s="140"/>
      <c r="BF16" s="138"/>
    </row>
    <row r="17" spans="1:58" s="135" customFormat="1" ht="15.75" thickBot="1" x14ac:dyDescent="0.3">
      <c r="C17" s="144"/>
      <c r="L17" s="144"/>
      <c r="N17" s="144"/>
      <c r="AD17" t="str">
        <f>AD16</f>
        <v>lower halite and gypsum</v>
      </c>
      <c r="AE17" s="135" t="s">
        <v>397</v>
      </c>
      <c r="AF17" s="144">
        <f>AVERAGE(AF14:AF16)</f>
        <v>9.3333333333333339</v>
      </c>
      <c r="AG17" s="144">
        <f t="shared" ref="AG17:AS17" si="2">AVERAGE(AG14:AG16)</f>
        <v>0.12333333333333334</v>
      </c>
      <c r="AH17" s="144">
        <f t="shared" si="2"/>
        <v>0</v>
      </c>
      <c r="AI17" s="144">
        <f t="shared" si="2"/>
        <v>0</v>
      </c>
      <c r="AJ17" s="144">
        <f t="shared" si="2"/>
        <v>0</v>
      </c>
      <c r="AK17" s="144">
        <f t="shared" si="2"/>
        <v>0</v>
      </c>
      <c r="AL17" s="144">
        <f t="shared" si="2"/>
        <v>0</v>
      </c>
      <c r="AM17" s="144">
        <f t="shared" si="2"/>
        <v>2E-3</v>
      </c>
      <c r="AN17" s="144">
        <f t="shared" si="2"/>
        <v>0</v>
      </c>
      <c r="AO17" s="144">
        <f t="shared" si="2"/>
        <v>18.666666666666668</v>
      </c>
      <c r="AP17" s="144">
        <f t="shared" si="2"/>
        <v>0</v>
      </c>
      <c r="AQ17" s="144">
        <f t="shared" si="2"/>
        <v>401.33333333333331</v>
      </c>
      <c r="AR17" s="144">
        <f t="shared" si="2"/>
        <v>0</v>
      </c>
      <c r="AS17" s="144">
        <f t="shared" si="2"/>
        <v>14.333333333333334</v>
      </c>
      <c r="AX17" s="137"/>
      <c r="BC17" s="143"/>
    </row>
    <row r="18" spans="1:58" ht="15.75" thickBot="1" x14ac:dyDescent="0.3">
      <c r="A18" t="s">
        <v>23</v>
      </c>
      <c r="B18" t="s">
        <v>154</v>
      </c>
      <c r="C18" s="132" t="s">
        <v>115</v>
      </c>
      <c r="D18">
        <v>0.17</v>
      </c>
      <c r="F18" t="s">
        <v>117</v>
      </c>
      <c r="G18" t="s">
        <v>117</v>
      </c>
      <c r="H18" t="s">
        <v>114</v>
      </c>
      <c r="I18" t="s">
        <v>116</v>
      </c>
      <c r="J18" t="s">
        <v>116</v>
      </c>
      <c r="L18" s="132" t="s">
        <v>125</v>
      </c>
      <c r="M18" t="s">
        <v>116</v>
      </c>
      <c r="N18" s="132" t="s">
        <v>114</v>
      </c>
      <c r="O18" t="s">
        <v>116</v>
      </c>
      <c r="P18" t="s">
        <v>124</v>
      </c>
      <c r="Q18" t="s">
        <v>123</v>
      </c>
      <c r="S18">
        <v>105</v>
      </c>
      <c r="T18">
        <v>2</v>
      </c>
      <c r="U18" s="132" t="s">
        <v>117</v>
      </c>
      <c r="AD18" t="s">
        <v>23</v>
      </c>
      <c r="AE18" t="s">
        <v>154</v>
      </c>
      <c r="AF18" s="132"/>
      <c r="AG18">
        <v>0.17</v>
      </c>
      <c r="AH18">
        <v>0</v>
      </c>
      <c r="AI18">
        <v>0</v>
      </c>
      <c r="AJ18">
        <v>0</v>
      </c>
      <c r="AK18">
        <v>0</v>
      </c>
      <c r="AL18">
        <v>0</v>
      </c>
      <c r="AM18" s="132">
        <v>0</v>
      </c>
      <c r="AN18">
        <v>0</v>
      </c>
      <c r="AO18" s="132">
        <v>0</v>
      </c>
      <c r="AP18">
        <v>0</v>
      </c>
      <c r="AQ18">
        <v>105</v>
      </c>
      <c r="AR18">
        <v>2</v>
      </c>
      <c r="AS18" s="132">
        <v>0</v>
      </c>
      <c r="AX18" s="137"/>
      <c r="BC18" s="133"/>
    </row>
    <row r="19" spans="1:58" ht="15.75" thickBot="1" x14ac:dyDescent="0.3">
      <c r="A19" t="s">
        <v>23</v>
      </c>
      <c r="B19" t="s">
        <v>151</v>
      </c>
      <c r="C19" s="134">
        <v>42</v>
      </c>
      <c r="D19">
        <v>0.26</v>
      </c>
      <c r="F19" t="s">
        <v>117</v>
      </c>
      <c r="G19" s="133">
        <v>2</v>
      </c>
      <c r="H19" t="s">
        <v>114</v>
      </c>
      <c r="I19" t="s">
        <v>116</v>
      </c>
      <c r="J19" t="s">
        <v>116</v>
      </c>
      <c r="L19" s="133">
        <v>3.0000000000000001E-3</v>
      </c>
      <c r="M19" s="133">
        <v>1</v>
      </c>
      <c r="N19" s="132">
        <v>14</v>
      </c>
      <c r="O19" t="s">
        <v>116</v>
      </c>
      <c r="P19" t="s">
        <v>131</v>
      </c>
      <c r="Q19" t="s">
        <v>123</v>
      </c>
      <c r="S19">
        <v>260</v>
      </c>
      <c r="T19">
        <v>3</v>
      </c>
      <c r="U19">
        <v>13</v>
      </c>
      <c r="AD19" t="s">
        <v>23</v>
      </c>
      <c r="AE19" t="s">
        <v>151</v>
      </c>
      <c r="AF19" s="134">
        <v>42</v>
      </c>
      <c r="AG19">
        <v>0.26</v>
      </c>
      <c r="AH19" s="139">
        <v>0</v>
      </c>
      <c r="AI19" s="133">
        <v>2</v>
      </c>
      <c r="AJ19" s="139">
        <v>0</v>
      </c>
      <c r="AK19" s="139">
        <v>0</v>
      </c>
      <c r="AL19" s="139">
        <v>0</v>
      </c>
      <c r="AM19" s="133">
        <v>3.0000000000000001E-3</v>
      </c>
      <c r="AN19" s="139">
        <v>1</v>
      </c>
      <c r="AO19" s="132">
        <v>14</v>
      </c>
      <c r="AP19" s="139">
        <v>0</v>
      </c>
      <c r="AQ19">
        <v>260</v>
      </c>
      <c r="AR19">
        <v>3</v>
      </c>
      <c r="AS19">
        <v>13</v>
      </c>
      <c r="AX19" s="137"/>
      <c r="BC19" s="133"/>
    </row>
    <row r="20" spans="1:58" ht="15.75" thickBot="1" x14ac:dyDescent="0.3">
      <c r="A20" t="s">
        <v>23</v>
      </c>
      <c r="B20" t="s">
        <v>147</v>
      </c>
      <c r="C20" s="132" t="s">
        <v>115</v>
      </c>
      <c r="D20">
        <v>0.12</v>
      </c>
      <c r="F20" t="s">
        <v>117</v>
      </c>
      <c r="G20" t="s">
        <v>117</v>
      </c>
      <c r="H20" t="s">
        <v>114</v>
      </c>
      <c r="I20" t="s">
        <v>116</v>
      </c>
      <c r="J20" t="s">
        <v>116</v>
      </c>
      <c r="L20" s="132" t="s">
        <v>125</v>
      </c>
      <c r="M20" t="s">
        <v>116</v>
      </c>
      <c r="N20" s="132" t="s">
        <v>114</v>
      </c>
      <c r="O20" t="s">
        <v>116</v>
      </c>
      <c r="P20" t="s">
        <v>124</v>
      </c>
      <c r="Q20" t="s">
        <v>123</v>
      </c>
      <c r="S20">
        <v>39</v>
      </c>
      <c r="T20">
        <v>2</v>
      </c>
      <c r="U20">
        <v>7</v>
      </c>
      <c r="AD20" t="s">
        <v>23</v>
      </c>
      <c r="AE20" t="s">
        <v>147</v>
      </c>
      <c r="AF20" s="132"/>
      <c r="AG20">
        <v>0.12</v>
      </c>
      <c r="AH20">
        <v>0</v>
      </c>
      <c r="AI20">
        <v>0</v>
      </c>
      <c r="AJ20">
        <v>0</v>
      </c>
      <c r="AK20">
        <v>0</v>
      </c>
      <c r="AL20">
        <v>0</v>
      </c>
      <c r="AM20" s="132">
        <v>0</v>
      </c>
      <c r="AN20">
        <v>0</v>
      </c>
      <c r="AO20" s="132">
        <v>0</v>
      </c>
      <c r="AP20">
        <v>0</v>
      </c>
      <c r="AQ20">
        <v>39</v>
      </c>
      <c r="AR20">
        <v>2</v>
      </c>
      <c r="AS20">
        <v>7</v>
      </c>
      <c r="AX20" s="137"/>
      <c r="BC20" s="133"/>
    </row>
    <row r="21" spans="1:58" ht="15.75" thickBot="1" x14ac:dyDescent="0.3">
      <c r="A21" t="s">
        <v>23</v>
      </c>
      <c r="B21" t="s">
        <v>144</v>
      </c>
      <c r="C21" s="132" t="s">
        <v>115</v>
      </c>
      <c r="D21">
        <v>0.28999999999999998</v>
      </c>
      <c r="F21" t="s">
        <v>117</v>
      </c>
      <c r="G21" t="s">
        <v>117</v>
      </c>
      <c r="H21" t="s">
        <v>114</v>
      </c>
      <c r="I21" t="s">
        <v>116</v>
      </c>
      <c r="J21" t="s">
        <v>116</v>
      </c>
      <c r="L21" s="132" t="s">
        <v>125</v>
      </c>
      <c r="M21" t="s">
        <v>116</v>
      </c>
      <c r="N21" s="132" t="s">
        <v>114</v>
      </c>
      <c r="O21" t="s">
        <v>116</v>
      </c>
      <c r="P21" t="s">
        <v>124</v>
      </c>
      <c r="Q21" t="s">
        <v>123</v>
      </c>
      <c r="S21">
        <v>55</v>
      </c>
      <c r="T21" t="s">
        <v>116</v>
      </c>
      <c r="U21">
        <v>9</v>
      </c>
      <c r="AD21" t="s">
        <v>23</v>
      </c>
      <c r="AE21" t="s">
        <v>144</v>
      </c>
      <c r="AF21" s="132"/>
      <c r="AG21">
        <v>0.28999999999999998</v>
      </c>
      <c r="AH21">
        <v>0</v>
      </c>
      <c r="AI21">
        <v>0</v>
      </c>
      <c r="AJ21">
        <v>0</v>
      </c>
      <c r="AK21">
        <v>0</v>
      </c>
      <c r="AL21">
        <v>0</v>
      </c>
      <c r="AM21" s="132">
        <v>0</v>
      </c>
      <c r="AN21">
        <v>0</v>
      </c>
      <c r="AO21" s="132">
        <v>0</v>
      </c>
      <c r="AP21">
        <v>0</v>
      </c>
      <c r="AQ21">
        <v>55</v>
      </c>
      <c r="AR21">
        <v>0</v>
      </c>
      <c r="AS21">
        <v>9</v>
      </c>
      <c r="AX21" s="137"/>
      <c r="BC21" s="133"/>
    </row>
    <row r="22" spans="1:58" ht="15.75" thickBot="1" x14ac:dyDescent="0.3">
      <c r="A22" t="s">
        <v>23</v>
      </c>
      <c r="B22" t="s">
        <v>141</v>
      </c>
      <c r="C22" s="132">
        <v>5</v>
      </c>
      <c r="D22">
        <v>0.25</v>
      </c>
      <c r="F22" t="s">
        <v>117</v>
      </c>
      <c r="G22" t="s">
        <v>117</v>
      </c>
      <c r="H22" t="s">
        <v>114</v>
      </c>
      <c r="I22" t="s">
        <v>116</v>
      </c>
      <c r="J22" t="s">
        <v>116</v>
      </c>
      <c r="L22" s="132" t="s">
        <v>125</v>
      </c>
      <c r="M22" t="s">
        <v>116</v>
      </c>
      <c r="N22" s="132" t="s">
        <v>114</v>
      </c>
      <c r="O22" t="s">
        <v>116</v>
      </c>
      <c r="P22" t="s">
        <v>124</v>
      </c>
      <c r="Q22" t="s">
        <v>123</v>
      </c>
      <c r="S22">
        <v>57</v>
      </c>
      <c r="T22" t="s">
        <v>116</v>
      </c>
      <c r="U22" s="132" t="s">
        <v>117</v>
      </c>
      <c r="AD22" t="s">
        <v>23</v>
      </c>
      <c r="AE22" t="s">
        <v>141</v>
      </c>
      <c r="AF22" s="132">
        <v>5</v>
      </c>
      <c r="AG22">
        <v>0.25</v>
      </c>
      <c r="AH22">
        <v>0</v>
      </c>
      <c r="AI22">
        <v>0</v>
      </c>
      <c r="AJ22">
        <v>0</v>
      </c>
      <c r="AK22">
        <v>0</v>
      </c>
      <c r="AL22">
        <v>0</v>
      </c>
      <c r="AM22" s="132">
        <v>0</v>
      </c>
      <c r="AN22">
        <v>0</v>
      </c>
      <c r="AO22" s="132">
        <v>0</v>
      </c>
      <c r="AP22">
        <v>0</v>
      </c>
      <c r="AQ22">
        <v>57</v>
      </c>
      <c r="AR22">
        <v>0</v>
      </c>
      <c r="AS22" s="132">
        <v>0</v>
      </c>
      <c r="AX22" s="137"/>
      <c r="BC22" s="133"/>
    </row>
    <row r="23" spans="1:58" ht="15.75" thickBot="1" x14ac:dyDescent="0.3">
      <c r="A23" t="s">
        <v>23</v>
      </c>
      <c r="B23" t="s">
        <v>135</v>
      </c>
      <c r="C23">
        <v>18</v>
      </c>
      <c r="D23">
        <v>0.21</v>
      </c>
      <c r="F23" t="s">
        <v>117</v>
      </c>
      <c r="G23" t="s">
        <v>117</v>
      </c>
      <c r="H23" t="s">
        <v>114</v>
      </c>
      <c r="I23" t="s">
        <v>116</v>
      </c>
      <c r="J23" t="s">
        <v>116</v>
      </c>
      <c r="L23" s="132">
        <v>1E-3</v>
      </c>
      <c r="M23" t="s">
        <v>116</v>
      </c>
      <c r="N23" s="132" t="s">
        <v>114</v>
      </c>
      <c r="O23" t="s">
        <v>116</v>
      </c>
      <c r="P23" t="s">
        <v>124</v>
      </c>
      <c r="Q23" t="s">
        <v>123</v>
      </c>
      <c r="S23">
        <v>167</v>
      </c>
      <c r="T23">
        <v>1</v>
      </c>
      <c r="U23" s="132" t="s">
        <v>117</v>
      </c>
      <c r="AD23" t="s">
        <v>23</v>
      </c>
      <c r="AE23" t="s">
        <v>135</v>
      </c>
      <c r="AF23">
        <v>18</v>
      </c>
      <c r="AG23">
        <v>0.21</v>
      </c>
      <c r="AH23">
        <v>0</v>
      </c>
      <c r="AI23">
        <v>0</v>
      </c>
      <c r="AJ23">
        <v>0</v>
      </c>
      <c r="AK23">
        <v>0</v>
      </c>
      <c r="AL23">
        <v>0</v>
      </c>
      <c r="AM23" s="132">
        <v>1E-3</v>
      </c>
      <c r="AN23">
        <v>0</v>
      </c>
      <c r="AO23" s="132">
        <v>0</v>
      </c>
      <c r="AP23">
        <v>0</v>
      </c>
      <c r="AQ23">
        <v>167</v>
      </c>
      <c r="AR23">
        <v>1</v>
      </c>
      <c r="AS23" s="132">
        <v>0</v>
      </c>
      <c r="AX23" s="137"/>
      <c r="BC23" s="133"/>
    </row>
    <row r="24" spans="1:58" ht="15.75" thickBot="1" x14ac:dyDescent="0.3">
      <c r="A24" t="s">
        <v>23</v>
      </c>
      <c r="B24" t="s">
        <v>129</v>
      </c>
      <c r="C24">
        <v>17</v>
      </c>
      <c r="D24">
        <v>0.11</v>
      </c>
      <c r="F24" t="s">
        <v>117</v>
      </c>
      <c r="G24" t="s">
        <v>117</v>
      </c>
      <c r="H24" t="s">
        <v>114</v>
      </c>
      <c r="I24" t="s">
        <v>116</v>
      </c>
      <c r="J24" t="s">
        <v>116</v>
      </c>
      <c r="L24" s="132" t="s">
        <v>125</v>
      </c>
      <c r="M24" t="s">
        <v>116</v>
      </c>
      <c r="N24" s="132" t="s">
        <v>114</v>
      </c>
      <c r="O24" t="s">
        <v>116</v>
      </c>
      <c r="P24" t="s">
        <v>124</v>
      </c>
      <c r="Q24" t="s">
        <v>123</v>
      </c>
      <c r="S24">
        <v>83</v>
      </c>
      <c r="T24" t="s">
        <v>116</v>
      </c>
      <c r="U24">
        <v>351</v>
      </c>
      <c r="AD24" t="s">
        <v>23</v>
      </c>
      <c r="AE24" t="s">
        <v>129</v>
      </c>
      <c r="AF24">
        <v>17</v>
      </c>
      <c r="AG24">
        <v>0.11</v>
      </c>
      <c r="AH24" s="137">
        <v>0</v>
      </c>
      <c r="AI24" s="137">
        <v>0</v>
      </c>
      <c r="AJ24" s="137">
        <v>0</v>
      </c>
      <c r="AK24" s="137">
        <v>0</v>
      </c>
      <c r="AL24" s="137">
        <v>0</v>
      </c>
      <c r="AM24" s="132">
        <v>0</v>
      </c>
      <c r="AN24" s="137">
        <v>0</v>
      </c>
      <c r="AO24" s="132">
        <v>0</v>
      </c>
      <c r="AP24" s="137">
        <v>0</v>
      </c>
      <c r="AQ24">
        <v>83</v>
      </c>
      <c r="AR24">
        <v>0</v>
      </c>
      <c r="AS24">
        <v>351</v>
      </c>
      <c r="AX24" s="137"/>
      <c r="BC24" s="133"/>
    </row>
    <row r="25" spans="1:58" ht="15.75" thickBot="1" x14ac:dyDescent="0.3">
      <c r="A25" t="s">
        <v>23</v>
      </c>
      <c r="B25" t="s">
        <v>127</v>
      </c>
      <c r="C25" s="132" t="s">
        <v>383</v>
      </c>
      <c r="D25">
        <v>0.16</v>
      </c>
      <c r="F25" t="s">
        <v>117</v>
      </c>
      <c r="G25" t="s">
        <v>117</v>
      </c>
      <c r="H25" t="s">
        <v>114</v>
      </c>
      <c r="I25" t="s">
        <v>116</v>
      </c>
      <c r="J25" t="s">
        <v>116</v>
      </c>
      <c r="L25" s="132" t="s">
        <v>125</v>
      </c>
      <c r="M25" t="s">
        <v>116</v>
      </c>
      <c r="N25" s="132" t="s">
        <v>114</v>
      </c>
      <c r="O25" t="s">
        <v>116</v>
      </c>
      <c r="P25" t="s">
        <v>124</v>
      </c>
      <c r="Q25" t="s">
        <v>123</v>
      </c>
      <c r="S25">
        <v>85</v>
      </c>
      <c r="T25" t="s">
        <v>116</v>
      </c>
      <c r="U25" s="132" t="s">
        <v>117</v>
      </c>
      <c r="AD25" t="s">
        <v>23</v>
      </c>
      <c r="AE25" t="s">
        <v>127</v>
      </c>
      <c r="AF25" s="132"/>
      <c r="AG25">
        <v>0.16</v>
      </c>
      <c r="AH25" s="139">
        <v>0</v>
      </c>
      <c r="AI25" s="139">
        <v>0</v>
      </c>
      <c r="AJ25" s="137">
        <v>0</v>
      </c>
      <c r="AK25" s="139">
        <v>0</v>
      </c>
      <c r="AL25" s="139">
        <v>0</v>
      </c>
      <c r="AM25" s="132">
        <v>0</v>
      </c>
      <c r="AN25" s="139">
        <v>0</v>
      </c>
      <c r="AO25" s="132">
        <v>0</v>
      </c>
      <c r="AP25" s="139">
        <v>0</v>
      </c>
      <c r="AQ25">
        <v>85</v>
      </c>
      <c r="AR25">
        <v>0</v>
      </c>
      <c r="AS25" s="132">
        <v>0</v>
      </c>
      <c r="AX25" s="137"/>
      <c r="BC25" s="133"/>
    </row>
    <row r="26" spans="1:58" ht="15.75" thickBot="1" x14ac:dyDescent="0.3">
      <c r="C26" s="132"/>
      <c r="L26" s="132"/>
      <c r="N26" s="132"/>
      <c r="U26" s="132"/>
      <c r="AD26" t="str">
        <f>AD25</f>
        <v>surface halite</v>
      </c>
      <c r="AE26" s="135" t="s">
        <v>397</v>
      </c>
      <c r="AF26" s="132">
        <f>AVERAGE(AF18:AF25)</f>
        <v>20.5</v>
      </c>
      <c r="AG26" s="132">
        <f t="shared" ref="AG26:AS26" si="3">AVERAGE(AG18:AG25)</f>
        <v>0.19625000000000001</v>
      </c>
      <c r="AH26" s="132">
        <f t="shared" si="3"/>
        <v>0</v>
      </c>
      <c r="AI26" s="132">
        <f t="shared" si="3"/>
        <v>0.25</v>
      </c>
      <c r="AJ26" s="132">
        <f t="shared" si="3"/>
        <v>0</v>
      </c>
      <c r="AK26" s="132">
        <f t="shared" si="3"/>
        <v>0</v>
      </c>
      <c r="AL26" s="132">
        <f t="shared" si="3"/>
        <v>0</v>
      </c>
      <c r="AM26" s="132">
        <f t="shared" si="3"/>
        <v>5.0000000000000001E-4</v>
      </c>
      <c r="AN26" s="132">
        <f t="shared" si="3"/>
        <v>0.125</v>
      </c>
      <c r="AO26" s="132">
        <f t="shared" si="3"/>
        <v>1.75</v>
      </c>
      <c r="AP26" s="132">
        <f t="shared" si="3"/>
        <v>0</v>
      </c>
      <c r="AQ26" s="132">
        <f t="shared" si="3"/>
        <v>106.375</v>
      </c>
      <c r="AR26" s="132">
        <f t="shared" si="3"/>
        <v>1</v>
      </c>
      <c r="AS26" s="132">
        <f t="shared" si="3"/>
        <v>47.5</v>
      </c>
      <c r="AX26" s="137"/>
      <c r="BC26" s="133"/>
    </row>
    <row r="27" spans="1:58" s="137" customFormat="1" ht="13.5" thickBot="1" x14ac:dyDescent="0.25">
      <c r="A27" s="136" t="s">
        <v>353</v>
      </c>
      <c r="B27" s="137" t="s">
        <v>153</v>
      </c>
      <c r="C27" s="137">
        <v>30</v>
      </c>
      <c r="D27" s="137">
        <v>0.19</v>
      </c>
      <c r="F27" s="137">
        <v>2</v>
      </c>
      <c r="G27" s="137" t="s">
        <v>117</v>
      </c>
      <c r="H27" s="137" t="s">
        <v>114</v>
      </c>
      <c r="I27" s="137" t="s">
        <v>116</v>
      </c>
      <c r="J27" s="137" t="s">
        <v>116</v>
      </c>
      <c r="L27" s="137">
        <v>6.0000000000000001E-3</v>
      </c>
      <c r="M27" s="137">
        <v>2</v>
      </c>
      <c r="N27" s="137">
        <v>27</v>
      </c>
      <c r="O27" s="137">
        <v>1</v>
      </c>
      <c r="P27" s="137" t="s">
        <v>114</v>
      </c>
      <c r="Q27" s="137" t="s">
        <v>133</v>
      </c>
      <c r="S27" s="137">
        <v>398</v>
      </c>
      <c r="T27" s="137">
        <v>3</v>
      </c>
      <c r="U27" s="137">
        <v>3</v>
      </c>
      <c r="AB27" s="136"/>
      <c r="AD27" s="136" t="s">
        <v>353</v>
      </c>
      <c r="AE27" s="137" t="s">
        <v>153</v>
      </c>
      <c r="AF27" s="137">
        <v>30</v>
      </c>
      <c r="AG27" s="137">
        <v>0.19</v>
      </c>
      <c r="AH27" s="137">
        <v>2</v>
      </c>
      <c r="AI27" s="137">
        <v>0</v>
      </c>
      <c r="AJ27" s="137">
        <v>0</v>
      </c>
      <c r="AK27">
        <v>0</v>
      </c>
      <c r="AL27">
        <v>0</v>
      </c>
      <c r="AM27" s="137">
        <v>6.0000000000000001E-3</v>
      </c>
      <c r="AN27" s="137">
        <v>2</v>
      </c>
      <c r="AO27" s="137">
        <v>27</v>
      </c>
      <c r="AP27" s="137">
        <v>1</v>
      </c>
      <c r="AQ27" s="137">
        <v>398</v>
      </c>
      <c r="AR27" s="137">
        <v>3</v>
      </c>
      <c r="AS27" s="137">
        <v>3</v>
      </c>
      <c r="AU27" s="136"/>
      <c r="BF27" s="136"/>
    </row>
    <row r="28" spans="1:58" s="135" customFormat="1" ht="13.5" thickBot="1" x14ac:dyDescent="0.25">
      <c r="A28" s="142" t="s">
        <v>353</v>
      </c>
      <c r="B28" s="135" t="s">
        <v>150</v>
      </c>
      <c r="C28" s="135">
        <v>44</v>
      </c>
      <c r="D28" s="135">
        <v>0.18</v>
      </c>
      <c r="F28" s="135">
        <v>2</v>
      </c>
      <c r="G28" s="135" t="s">
        <v>117</v>
      </c>
      <c r="H28" s="135" t="s">
        <v>114</v>
      </c>
      <c r="I28" s="135" t="s">
        <v>116</v>
      </c>
      <c r="J28" s="135" t="s">
        <v>116</v>
      </c>
      <c r="L28" s="135">
        <v>6.0000000000000001E-3</v>
      </c>
      <c r="M28" s="135">
        <v>2</v>
      </c>
      <c r="N28" s="135">
        <v>22</v>
      </c>
      <c r="O28" s="135">
        <v>1</v>
      </c>
      <c r="P28" s="135" t="s">
        <v>114</v>
      </c>
      <c r="Q28" s="135" t="s">
        <v>133</v>
      </c>
      <c r="S28" s="135">
        <v>344</v>
      </c>
      <c r="T28" s="135">
        <v>3</v>
      </c>
      <c r="U28" s="135">
        <v>537</v>
      </c>
      <c r="AB28" s="142"/>
      <c r="AD28" s="142" t="s">
        <v>353</v>
      </c>
      <c r="AE28" s="135" t="s">
        <v>150</v>
      </c>
      <c r="AF28" s="135">
        <v>44</v>
      </c>
      <c r="AG28" s="135">
        <v>0.18</v>
      </c>
      <c r="AH28" s="135">
        <v>2</v>
      </c>
      <c r="AI28" s="135">
        <v>0</v>
      </c>
      <c r="AJ28" s="137">
        <v>0</v>
      </c>
      <c r="AK28">
        <v>0</v>
      </c>
      <c r="AL28">
        <v>0</v>
      </c>
      <c r="AM28" s="135">
        <v>6.0000000000000001E-3</v>
      </c>
      <c r="AN28" s="135">
        <v>2</v>
      </c>
      <c r="AO28" s="135">
        <v>22</v>
      </c>
      <c r="AP28" s="135">
        <v>1</v>
      </c>
      <c r="AQ28" s="135">
        <v>344</v>
      </c>
      <c r="AR28" s="135">
        <v>3</v>
      </c>
      <c r="AS28" s="135">
        <v>537</v>
      </c>
      <c r="AU28" s="142"/>
      <c r="AX28" s="137"/>
      <c r="BF28" s="142"/>
    </row>
    <row r="29" spans="1:58" s="135" customFormat="1" ht="15.75" thickBot="1" x14ac:dyDescent="0.3">
      <c r="A29" s="142" t="s">
        <v>353</v>
      </c>
      <c r="B29" s="135" t="s">
        <v>146</v>
      </c>
      <c r="C29" s="135">
        <v>50</v>
      </c>
      <c r="D29" s="135">
        <v>0.28999999999999998</v>
      </c>
      <c r="F29" s="135">
        <v>3</v>
      </c>
      <c r="G29" s="135">
        <v>4</v>
      </c>
      <c r="H29" s="135">
        <v>15</v>
      </c>
      <c r="I29" s="135">
        <v>1</v>
      </c>
      <c r="J29" s="135">
        <v>2</v>
      </c>
      <c r="L29" s="135">
        <v>0.01</v>
      </c>
      <c r="M29" s="135">
        <v>4</v>
      </c>
      <c r="N29" s="135">
        <v>48</v>
      </c>
      <c r="O29" s="135">
        <v>2</v>
      </c>
      <c r="P29" s="135" t="s">
        <v>133</v>
      </c>
      <c r="Q29" s="135" t="s">
        <v>137</v>
      </c>
      <c r="S29" s="135">
        <v>747</v>
      </c>
      <c r="T29" s="135">
        <v>3</v>
      </c>
      <c r="U29" s="135">
        <v>6</v>
      </c>
      <c r="AB29" s="142"/>
      <c r="AC29" s="143"/>
      <c r="AD29" s="142" t="s">
        <v>353</v>
      </c>
      <c r="AE29" s="135" t="s">
        <v>146</v>
      </c>
      <c r="AF29" s="135">
        <v>50</v>
      </c>
      <c r="AG29" s="135">
        <v>0.28999999999999998</v>
      </c>
      <c r="AH29" s="135">
        <v>3</v>
      </c>
      <c r="AI29" s="135">
        <v>4</v>
      </c>
      <c r="AJ29" s="135">
        <v>15</v>
      </c>
      <c r="AK29" s="135">
        <v>1</v>
      </c>
      <c r="AL29" s="135">
        <v>2</v>
      </c>
      <c r="AM29" s="135">
        <v>0.01</v>
      </c>
      <c r="AN29" s="135">
        <v>4</v>
      </c>
      <c r="AO29" s="135">
        <v>48</v>
      </c>
      <c r="AP29" s="135">
        <v>2</v>
      </c>
      <c r="AQ29" s="135">
        <v>747</v>
      </c>
      <c r="AR29" s="135">
        <v>3</v>
      </c>
      <c r="AS29" s="135">
        <v>6</v>
      </c>
      <c r="AU29" s="142"/>
      <c r="AW29" s="144"/>
      <c r="AX29" s="137"/>
      <c r="BF29" s="142"/>
    </row>
    <row r="30" spans="1:58" s="135" customFormat="1" ht="15.75" thickBot="1" x14ac:dyDescent="0.3">
      <c r="A30" s="175" t="s">
        <v>353</v>
      </c>
      <c r="B30" s="135" t="s">
        <v>140</v>
      </c>
      <c r="C30" s="135">
        <v>27</v>
      </c>
      <c r="D30" s="135">
        <v>0.19</v>
      </c>
      <c r="F30" s="135" t="s">
        <v>117</v>
      </c>
      <c r="G30" s="135" t="s">
        <v>117</v>
      </c>
      <c r="H30" s="135" t="s">
        <v>114</v>
      </c>
      <c r="I30" s="135" t="s">
        <v>116</v>
      </c>
      <c r="J30" s="135" t="s">
        <v>116</v>
      </c>
      <c r="L30" s="135">
        <v>2E-3</v>
      </c>
      <c r="M30" s="135" t="s">
        <v>116</v>
      </c>
      <c r="N30" s="135">
        <v>12</v>
      </c>
      <c r="O30" s="135" t="s">
        <v>116</v>
      </c>
      <c r="P30" s="143" t="s">
        <v>124</v>
      </c>
      <c r="Q30" s="143" t="s">
        <v>123</v>
      </c>
      <c r="R30" s="143"/>
      <c r="S30" s="135">
        <v>143</v>
      </c>
      <c r="T30" s="135">
        <v>1</v>
      </c>
      <c r="U30" s="135" t="s">
        <v>117</v>
      </c>
      <c r="AB30" s="142"/>
      <c r="AD30" s="142" t="s">
        <v>353</v>
      </c>
      <c r="AE30" s="135" t="s">
        <v>140</v>
      </c>
      <c r="AF30" s="135">
        <v>27</v>
      </c>
      <c r="AG30" s="135">
        <v>0.19</v>
      </c>
      <c r="AH30" s="135">
        <v>0</v>
      </c>
      <c r="AI30" s="135">
        <v>0</v>
      </c>
      <c r="AJ30" s="135">
        <v>0</v>
      </c>
      <c r="AK30">
        <v>0</v>
      </c>
      <c r="AL30">
        <v>0</v>
      </c>
      <c r="AM30" s="135">
        <v>2E-3</v>
      </c>
      <c r="AN30" s="135">
        <v>0</v>
      </c>
      <c r="AO30" s="135">
        <v>12</v>
      </c>
      <c r="AP30" s="135">
        <v>0</v>
      </c>
      <c r="AQ30" s="135">
        <v>143</v>
      </c>
      <c r="AR30" s="135">
        <v>1</v>
      </c>
      <c r="AS30" s="135">
        <v>0</v>
      </c>
      <c r="AU30" s="142"/>
      <c r="AX30" s="137"/>
      <c r="BC30" s="143"/>
      <c r="BF30" s="142"/>
    </row>
    <row r="31" spans="1:58" s="135" customFormat="1" ht="13.5" thickBot="1" x14ac:dyDescent="0.25">
      <c r="A31" s="142" t="s">
        <v>353</v>
      </c>
      <c r="B31" s="135" t="s">
        <v>134</v>
      </c>
      <c r="C31" s="135">
        <v>16</v>
      </c>
      <c r="D31" s="135">
        <v>0.13</v>
      </c>
      <c r="F31" s="135" t="s">
        <v>117</v>
      </c>
      <c r="G31" s="135" t="s">
        <v>117</v>
      </c>
      <c r="H31" s="135" t="s">
        <v>114</v>
      </c>
      <c r="I31" s="135" t="s">
        <v>116</v>
      </c>
      <c r="J31" s="135" t="s">
        <v>116</v>
      </c>
      <c r="L31" s="135">
        <v>3.0000000000000001E-3</v>
      </c>
      <c r="M31" s="135">
        <v>2</v>
      </c>
      <c r="N31" s="135">
        <v>20</v>
      </c>
      <c r="O31" s="135" t="s">
        <v>116</v>
      </c>
      <c r="P31" s="135" t="s">
        <v>114</v>
      </c>
      <c r="Q31" s="135" t="s">
        <v>133</v>
      </c>
      <c r="S31" s="135">
        <v>526</v>
      </c>
      <c r="T31" s="135" t="s">
        <v>116</v>
      </c>
      <c r="U31" s="135">
        <v>2</v>
      </c>
      <c r="AB31" s="142"/>
      <c r="AD31" s="142" t="s">
        <v>353</v>
      </c>
      <c r="AE31" s="135" t="s">
        <v>134</v>
      </c>
      <c r="AF31" s="135">
        <v>16</v>
      </c>
      <c r="AG31" s="135">
        <v>0.13</v>
      </c>
      <c r="AH31" s="135">
        <v>0</v>
      </c>
      <c r="AI31" s="135">
        <v>0</v>
      </c>
      <c r="AJ31" s="135">
        <v>0</v>
      </c>
      <c r="AK31">
        <v>0</v>
      </c>
      <c r="AL31">
        <v>0</v>
      </c>
      <c r="AM31" s="135">
        <v>3.0000000000000001E-3</v>
      </c>
      <c r="AN31" s="135">
        <v>2</v>
      </c>
      <c r="AO31" s="135">
        <v>20</v>
      </c>
      <c r="AP31" s="135">
        <v>0</v>
      </c>
      <c r="AQ31" s="135">
        <v>526</v>
      </c>
      <c r="AR31" s="135">
        <v>0</v>
      </c>
      <c r="AS31" s="135">
        <v>2</v>
      </c>
      <c r="AU31" s="142"/>
      <c r="AX31" s="137"/>
      <c r="BF31" s="142"/>
    </row>
    <row r="32" spans="1:58" s="135" customFormat="1" ht="15.75" thickBot="1" x14ac:dyDescent="0.3">
      <c r="A32" s="142" t="s">
        <v>353</v>
      </c>
      <c r="B32" s="135" t="s">
        <v>128</v>
      </c>
      <c r="C32" s="135">
        <v>79</v>
      </c>
      <c r="D32" s="135">
        <v>0.28000000000000003</v>
      </c>
      <c r="F32" s="135">
        <v>5</v>
      </c>
      <c r="G32" s="135">
        <v>9</v>
      </c>
      <c r="H32" s="135">
        <v>23</v>
      </c>
      <c r="I32" s="135">
        <v>2</v>
      </c>
      <c r="J32" s="135">
        <v>4</v>
      </c>
      <c r="L32" s="135">
        <v>1.6E-2</v>
      </c>
      <c r="M32" s="135">
        <v>7</v>
      </c>
      <c r="N32" s="135">
        <v>51</v>
      </c>
      <c r="O32" s="135">
        <v>4</v>
      </c>
      <c r="P32" s="135" t="s">
        <v>115</v>
      </c>
      <c r="Q32" s="135" t="s">
        <v>114</v>
      </c>
      <c r="S32" s="135">
        <v>928</v>
      </c>
      <c r="T32" s="135">
        <v>6</v>
      </c>
      <c r="U32" s="135">
        <v>11</v>
      </c>
      <c r="AB32" s="142"/>
      <c r="AC32" s="143"/>
      <c r="AD32" s="142" t="s">
        <v>353</v>
      </c>
      <c r="AE32" s="135" t="s">
        <v>128</v>
      </c>
      <c r="AF32" s="135">
        <v>79</v>
      </c>
      <c r="AG32" s="135">
        <v>0.28000000000000003</v>
      </c>
      <c r="AH32" s="135">
        <v>5</v>
      </c>
      <c r="AI32" s="135">
        <v>9</v>
      </c>
      <c r="AJ32" s="135">
        <v>23</v>
      </c>
      <c r="AK32" s="135">
        <v>2</v>
      </c>
      <c r="AL32" s="135">
        <v>4</v>
      </c>
      <c r="AM32" s="135">
        <v>1.6E-2</v>
      </c>
      <c r="AN32" s="135">
        <v>7</v>
      </c>
      <c r="AO32" s="135">
        <v>51</v>
      </c>
      <c r="AP32" s="135">
        <v>4</v>
      </c>
      <c r="AQ32" s="135">
        <v>928</v>
      </c>
      <c r="AR32" s="135">
        <v>6</v>
      </c>
      <c r="AS32" s="135">
        <v>11</v>
      </c>
      <c r="AU32" s="142"/>
      <c r="AW32" s="144"/>
      <c r="AX32" s="137"/>
      <c r="BF32" s="142"/>
    </row>
    <row r="33" spans="1:58" s="139" customFormat="1" ht="13.5" thickBot="1" x14ac:dyDescent="0.25">
      <c r="A33" s="138" t="s">
        <v>353</v>
      </c>
      <c r="B33" s="139" t="s">
        <v>122</v>
      </c>
      <c r="C33" s="139">
        <v>20</v>
      </c>
      <c r="D33" s="139">
        <v>0.18</v>
      </c>
      <c r="F33" s="139">
        <v>2</v>
      </c>
      <c r="G33" s="139" t="s">
        <v>117</v>
      </c>
      <c r="H33" s="139" t="s">
        <v>114</v>
      </c>
      <c r="I33" s="139" t="s">
        <v>116</v>
      </c>
      <c r="J33" s="139" t="s">
        <v>116</v>
      </c>
      <c r="L33" s="139">
        <v>5.0000000000000001E-3</v>
      </c>
      <c r="M33" s="139">
        <v>3</v>
      </c>
      <c r="N33" s="139">
        <v>25</v>
      </c>
      <c r="O33" s="139">
        <v>1</v>
      </c>
      <c r="P33" s="139" t="s">
        <v>115</v>
      </c>
      <c r="Q33" s="139" t="s">
        <v>114</v>
      </c>
      <c r="S33" s="139">
        <v>451</v>
      </c>
      <c r="T33" s="139">
        <v>1</v>
      </c>
      <c r="U33" s="139">
        <v>3</v>
      </c>
      <c r="AB33" s="138"/>
      <c r="AD33" s="138" t="s">
        <v>353</v>
      </c>
      <c r="AE33" s="139" t="s">
        <v>122</v>
      </c>
      <c r="AF33" s="139">
        <v>20</v>
      </c>
      <c r="AG33" s="139">
        <v>0.18</v>
      </c>
      <c r="AH33" s="139">
        <v>2</v>
      </c>
      <c r="AI33" s="139">
        <v>0</v>
      </c>
      <c r="AJ33" s="139">
        <v>0</v>
      </c>
      <c r="AK33" s="139">
        <v>0</v>
      </c>
      <c r="AL33" s="139">
        <v>0</v>
      </c>
      <c r="AM33" s="139">
        <v>5.0000000000000001E-3</v>
      </c>
      <c r="AN33" s="139">
        <v>3</v>
      </c>
      <c r="AO33" s="139">
        <v>25</v>
      </c>
      <c r="AP33" s="139">
        <v>1</v>
      </c>
      <c r="AQ33" s="139">
        <v>451</v>
      </c>
      <c r="AR33" s="139">
        <v>1</v>
      </c>
      <c r="AS33" s="139">
        <v>3</v>
      </c>
      <c r="AU33" s="138"/>
      <c r="AX33" s="137"/>
      <c r="BF33" s="138"/>
    </row>
    <row r="34" spans="1:58" s="135" customFormat="1" x14ac:dyDescent="0.2">
      <c r="AD34" t="str">
        <f>AD33</f>
        <v>upper gypsum</v>
      </c>
      <c r="AE34" s="135" t="s">
        <v>397</v>
      </c>
      <c r="AF34" s="135">
        <f>AVERAGE(AF27:AF33)</f>
        <v>38</v>
      </c>
      <c r="AG34" s="135">
        <f t="shared" ref="AG34:AS34" si="4">AVERAGE(AG27:AG33)</f>
        <v>0.20571428571428568</v>
      </c>
      <c r="AH34" s="135">
        <f t="shared" si="4"/>
        <v>2</v>
      </c>
      <c r="AI34" s="135">
        <f t="shared" si="4"/>
        <v>1.8571428571428572</v>
      </c>
      <c r="AJ34" s="135">
        <f t="shared" si="4"/>
        <v>5.4285714285714288</v>
      </c>
      <c r="AK34" s="135">
        <f t="shared" si="4"/>
        <v>0.42857142857142855</v>
      </c>
      <c r="AL34" s="135">
        <f t="shared" si="4"/>
        <v>0.8571428571428571</v>
      </c>
      <c r="AM34" s="135">
        <f t="shared" si="4"/>
        <v>6.8571428571428559E-3</v>
      </c>
      <c r="AN34" s="135">
        <f t="shared" si="4"/>
        <v>2.8571428571428572</v>
      </c>
      <c r="AO34" s="135">
        <f t="shared" si="4"/>
        <v>29.285714285714285</v>
      </c>
      <c r="AP34" s="135">
        <f t="shared" si="4"/>
        <v>1.2857142857142858</v>
      </c>
      <c r="AQ34" s="135">
        <f t="shared" si="4"/>
        <v>505.28571428571428</v>
      </c>
      <c r="AR34" s="135">
        <f t="shared" si="4"/>
        <v>2.4285714285714284</v>
      </c>
      <c r="AS34" s="135">
        <f t="shared" si="4"/>
        <v>80.285714285714292</v>
      </c>
    </row>
    <row r="35" spans="1:58" x14ac:dyDescent="0.2">
      <c r="AD35" s="161" t="s">
        <v>395</v>
      </c>
      <c r="AF35">
        <v>24.111111111111111</v>
      </c>
      <c r="AG35">
        <v>0.17041666666666666</v>
      </c>
      <c r="AH35">
        <v>0.58333333333333337</v>
      </c>
      <c r="AI35">
        <v>0.625</v>
      </c>
      <c r="AJ35">
        <v>1.5833333333333333</v>
      </c>
      <c r="AK35">
        <v>0.125</v>
      </c>
      <c r="AL35">
        <v>0.33333333333333331</v>
      </c>
      <c r="AM35">
        <v>2.9166666666666668E-3</v>
      </c>
      <c r="AN35">
        <v>1.0416666666666667</v>
      </c>
      <c r="AO35">
        <v>13.791666666666666</v>
      </c>
      <c r="AP35">
        <v>0.375</v>
      </c>
      <c r="AQ35">
        <v>291.375</v>
      </c>
      <c r="AR35">
        <v>1.375</v>
      </c>
      <c r="AS35">
        <v>49.833333333333336</v>
      </c>
    </row>
    <row r="36" spans="1:58" x14ac:dyDescent="0.2">
      <c r="AD36" s="161" t="s">
        <v>396</v>
      </c>
      <c r="AF36">
        <v>19.13385939018573</v>
      </c>
      <c r="AG36">
        <v>7.0617103893595393E-2</v>
      </c>
      <c r="AH36">
        <v>1.2825472842090011</v>
      </c>
      <c r="AI36">
        <v>1.995919750935371</v>
      </c>
      <c r="AJ36">
        <v>5.4924190177613603</v>
      </c>
      <c r="AK36">
        <v>0.44842720314644063</v>
      </c>
      <c r="AL36">
        <v>0.96308682468615359</v>
      </c>
      <c r="AM36">
        <v>3.8664292780702502E-3</v>
      </c>
      <c r="AN36">
        <v>1.756458063130524</v>
      </c>
      <c r="AO36">
        <v>15.142738729565535</v>
      </c>
      <c r="AP36">
        <v>0.92372120770566779</v>
      </c>
      <c r="AQ36">
        <v>250.45746189201731</v>
      </c>
      <c r="AR36">
        <v>1.7646898976258147</v>
      </c>
      <c r="AS36">
        <v>127.57424664013149</v>
      </c>
    </row>
    <row r="38" spans="1:58" x14ac:dyDescent="0.2">
      <c r="AH38" t="s">
        <v>277</v>
      </c>
    </row>
    <row r="39" spans="1:58" x14ac:dyDescent="0.2">
      <c r="AK39" t="s">
        <v>277</v>
      </c>
    </row>
    <row r="42" spans="1:58" ht="13.5" thickBot="1" x14ac:dyDescent="0.25"/>
    <row r="43" spans="1:58" ht="52.5" thickBot="1" x14ac:dyDescent="0.3">
      <c r="A43" s="148" t="s">
        <v>380</v>
      </c>
      <c r="B43" s="149"/>
      <c r="C43" s="149" t="s">
        <v>388</v>
      </c>
      <c r="D43" s="149" t="s">
        <v>386</v>
      </c>
      <c r="E43" s="149"/>
      <c r="F43" s="150" t="s">
        <v>384</v>
      </c>
      <c r="G43" s="150" t="s">
        <v>384</v>
      </c>
      <c r="H43" s="150" t="s">
        <v>384</v>
      </c>
      <c r="I43" s="150" t="s">
        <v>384</v>
      </c>
      <c r="J43" s="151" t="s">
        <v>379</v>
      </c>
      <c r="K43" s="151"/>
      <c r="L43" s="151" t="s">
        <v>379</v>
      </c>
      <c r="M43" s="151" t="s">
        <v>379</v>
      </c>
      <c r="N43" s="151" t="s">
        <v>379</v>
      </c>
      <c r="O43" s="151" t="s">
        <v>379</v>
      </c>
      <c r="P43" s="152" t="s">
        <v>385</v>
      </c>
      <c r="Q43" s="152" t="s">
        <v>385</v>
      </c>
      <c r="R43" s="152"/>
      <c r="S43" s="153" t="s">
        <v>381</v>
      </c>
      <c r="T43" s="149" t="s">
        <v>387</v>
      </c>
      <c r="U43" s="154" t="s">
        <v>382</v>
      </c>
    </row>
    <row r="44" spans="1:58" ht="15" x14ac:dyDescent="0.25">
      <c r="A44" t="s">
        <v>356</v>
      </c>
      <c r="B44" t="s">
        <v>214</v>
      </c>
      <c r="C44" t="s">
        <v>210</v>
      </c>
      <c r="D44" s="134" t="s">
        <v>193</v>
      </c>
      <c r="E44" s="134"/>
      <c r="F44" t="s">
        <v>204</v>
      </c>
      <c r="G44" t="s">
        <v>207</v>
      </c>
      <c r="H44" t="s">
        <v>203</v>
      </c>
      <c r="I44" t="s">
        <v>177</v>
      </c>
      <c r="J44" t="s">
        <v>209</v>
      </c>
      <c r="L44" t="s">
        <v>189</v>
      </c>
      <c r="M44" t="s">
        <v>179</v>
      </c>
      <c r="N44" t="s">
        <v>202</v>
      </c>
      <c r="O44" t="s">
        <v>176</v>
      </c>
      <c r="P44" t="s">
        <v>175</v>
      </c>
      <c r="Q44" t="s">
        <v>172</v>
      </c>
      <c r="S44" t="s">
        <v>185</v>
      </c>
      <c r="T44" t="s">
        <v>211</v>
      </c>
      <c r="U44" t="s">
        <v>206</v>
      </c>
    </row>
    <row r="45" spans="1:58" x14ac:dyDescent="0.2">
      <c r="A45" t="s">
        <v>356</v>
      </c>
      <c r="B45" t="s">
        <v>164</v>
      </c>
      <c r="C45" t="s">
        <v>162</v>
      </c>
      <c r="D45" t="s">
        <v>163</v>
      </c>
      <c r="F45" t="s">
        <v>162</v>
      </c>
      <c r="G45" t="s">
        <v>162</v>
      </c>
      <c r="H45" t="s">
        <v>162</v>
      </c>
      <c r="I45" t="s">
        <v>162</v>
      </c>
      <c r="J45" t="s">
        <v>162</v>
      </c>
      <c r="L45" t="s">
        <v>163</v>
      </c>
      <c r="M45" t="s">
        <v>162</v>
      </c>
      <c r="N45" t="s">
        <v>162</v>
      </c>
      <c r="O45" t="s">
        <v>162</v>
      </c>
      <c r="P45" t="s">
        <v>161</v>
      </c>
      <c r="Q45" t="s">
        <v>161</v>
      </c>
      <c r="S45" t="s">
        <v>162</v>
      </c>
      <c r="T45" t="s">
        <v>162</v>
      </c>
      <c r="U45" t="s">
        <v>162</v>
      </c>
    </row>
    <row r="46" spans="1:58" x14ac:dyDescent="0.2">
      <c r="A46" t="s">
        <v>356</v>
      </c>
      <c r="B46" t="s">
        <v>159</v>
      </c>
      <c r="C46">
        <v>5</v>
      </c>
      <c r="D46">
        <v>0.01</v>
      </c>
      <c r="F46">
        <v>2</v>
      </c>
      <c r="G46">
        <v>2</v>
      </c>
      <c r="H46">
        <v>10</v>
      </c>
      <c r="I46">
        <v>1</v>
      </c>
      <c r="J46">
        <v>1</v>
      </c>
      <c r="L46">
        <v>1E-3</v>
      </c>
      <c r="M46">
        <v>1</v>
      </c>
      <c r="N46">
        <v>10</v>
      </c>
      <c r="O46">
        <v>1</v>
      </c>
      <c r="P46">
        <v>0.01</v>
      </c>
      <c r="Q46">
        <v>0.03</v>
      </c>
      <c r="S46">
        <v>1</v>
      </c>
      <c r="T46">
        <v>1</v>
      </c>
      <c r="U46">
        <v>2</v>
      </c>
    </row>
    <row r="47" spans="1:58" ht="15" x14ac:dyDescent="0.25">
      <c r="A47" t="s">
        <v>356</v>
      </c>
      <c r="B47" t="s">
        <v>214</v>
      </c>
      <c r="C47" t="s">
        <v>210</v>
      </c>
      <c r="D47" s="134" t="s">
        <v>193</v>
      </c>
      <c r="E47" s="134"/>
      <c r="F47" t="s">
        <v>204</v>
      </c>
      <c r="G47" t="s">
        <v>207</v>
      </c>
      <c r="H47" t="s">
        <v>203</v>
      </c>
      <c r="I47" t="s">
        <v>177</v>
      </c>
      <c r="J47" t="s">
        <v>209</v>
      </c>
      <c r="L47" t="s">
        <v>189</v>
      </c>
      <c r="M47" t="s">
        <v>179</v>
      </c>
      <c r="N47" t="s">
        <v>202</v>
      </c>
      <c r="O47" t="s">
        <v>176</v>
      </c>
      <c r="P47" t="s">
        <v>175</v>
      </c>
      <c r="Q47" t="s">
        <v>172</v>
      </c>
      <c r="S47" t="s">
        <v>185</v>
      </c>
      <c r="T47" t="s">
        <v>211</v>
      </c>
      <c r="U47" t="s">
        <v>206</v>
      </c>
    </row>
    <row r="48" spans="1:58" ht="15" x14ac:dyDescent="0.25">
      <c r="A48" t="s">
        <v>23</v>
      </c>
      <c r="B48" t="s">
        <v>154</v>
      </c>
      <c r="C48" s="132" t="s">
        <v>115</v>
      </c>
      <c r="D48">
        <v>0.17</v>
      </c>
      <c r="E48" t="s">
        <v>154</v>
      </c>
      <c r="F48" t="s">
        <v>117</v>
      </c>
      <c r="G48" t="s">
        <v>117</v>
      </c>
      <c r="H48" t="s">
        <v>114</v>
      </c>
      <c r="I48" t="s">
        <v>116</v>
      </c>
      <c r="J48" t="s">
        <v>116</v>
      </c>
      <c r="K48" t="s">
        <v>154</v>
      </c>
      <c r="L48" s="132" t="s">
        <v>125</v>
      </c>
      <c r="M48" t="s">
        <v>116</v>
      </c>
      <c r="N48" s="132" t="s">
        <v>114</v>
      </c>
      <c r="O48" t="s">
        <v>116</v>
      </c>
      <c r="P48" t="s">
        <v>124</v>
      </c>
      <c r="Q48" t="s">
        <v>123</v>
      </c>
      <c r="R48" t="s">
        <v>154</v>
      </c>
      <c r="S48">
        <v>105</v>
      </c>
      <c r="T48">
        <v>2</v>
      </c>
      <c r="U48" s="132" t="s">
        <v>117</v>
      </c>
    </row>
    <row r="49" spans="1:79" ht="51.75" x14ac:dyDescent="0.25">
      <c r="A49" t="s">
        <v>23</v>
      </c>
      <c r="B49" t="s">
        <v>151</v>
      </c>
      <c r="C49" s="134">
        <v>42</v>
      </c>
      <c r="D49">
        <v>0.26</v>
      </c>
      <c r="E49" t="s">
        <v>151</v>
      </c>
      <c r="F49" t="s">
        <v>117</v>
      </c>
      <c r="G49" s="133">
        <v>2</v>
      </c>
      <c r="H49" t="s">
        <v>114</v>
      </c>
      <c r="I49" t="s">
        <v>116</v>
      </c>
      <c r="J49" t="s">
        <v>116</v>
      </c>
      <c r="K49" t="s">
        <v>151</v>
      </c>
      <c r="L49" s="133">
        <v>3.0000000000000001E-3</v>
      </c>
      <c r="M49" s="133">
        <v>1</v>
      </c>
      <c r="N49" s="132">
        <v>14</v>
      </c>
      <c r="O49" t="s">
        <v>116</v>
      </c>
      <c r="P49" t="s">
        <v>131</v>
      </c>
      <c r="Q49" t="s">
        <v>123</v>
      </c>
      <c r="R49" t="s">
        <v>151</v>
      </c>
      <c r="S49">
        <v>260</v>
      </c>
      <c r="T49">
        <v>3</v>
      </c>
      <c r="U49">
        <v>13</v>
      </c>
      <c r="BK49" s="82"/>
      <c r="BL49" s="82" t="s">
        <v>386</v>
      </c>
      <c r="BM49" s="82" t="s">
        <v>386</v>
      </c>
      <c r="BN49" s="82"/>
      <c r="BO49" s="82" t="s">
        <v>384</v>
      </c>
      <c r="BP49" s="82" t="s">
        <v>384</v>
      </c>
      <c r="BQ49" s="82" t="s">
        <v>384</v>
      </c>
      <c r="BR49" s="82" t="s">
        <v>384</v>
      </c>
      <c r="BS49" s="82" t="s">
        <v>379</v>
      </c>
      <c r="BT49" s="82" t="s">
        <v>379</v>
      </c>
      <c r="BU49" s="82"/>
      <c r="BV49" s="82" t="s">
        <v>379</v>
      </c>
      <c r="BW49" s="82" t="s">
        <v>379</v>
      </c>
      <c r="BX49" s="82" t="s">
        <v>379</v>
      </c>
      <c r="BY49" s="82" t="s">
        <v>381</v>
      </c>
      <c r="BZ49" s="82" t="s">
        <v>387</v>
      </c>
      <c r="CA49" s="82" t="s">
        <v>382</v>
      </c>
    </row>
    <row r="50" spans="1:79" ht="15" x14ac:dyDescent="0.25">
      <c r="A50" t="s">
        <v>23</v>
      </c>
      <c r="B50" t="s">
        <v>147</v>
      </c>
      <c r="C50" s="132" t="s">
        <v>115</v>
      </c>
      <c r="D50">
        <v>0.12</v>
      </c>
      <c r="E50" t="s">
        <v>147</v>
      </c>
      <c r="F50" t="s">
        <v>117</v>
      </c>
      <c r="G50" t="s">
        <v>117</v>
      </c>
      <c r="H50" t="s">
        <v>114</v>
      </c>
      <c r="I50" t="s">
        <v>116</v>
      </c>
      <c r="J50" t="s">
        <v>116</v>
      </c>
      <c r="K50" t="s">
        <v>147</v>
      </c>
      <c r="L50" s="132" t="s">
        <v>125</v>
      </c>
      <c r="M50" t="s">
        <v>116</v>
      </c>
      <c r="N50" s="132" t="s">
        <v>114</v>
      </c>
      <c r="O50" t="s">
        <v>116</v>
      </c>
      <c r="P50" t="s">
        <v>124</v>
      </c>
      <c r="Q50" t="s">
        <v>123</v>
      </c>
      <c r="R50" t="s">
        <v>147</v>
      </c>
      <c r="S50">
        <v>39</v>
      </c>
      <c r="T50">
        <v>2</v>
      </c>
      <c r="U50">
        <v>7</v>
      </c>
      <c r="BK50" s="82" t="s">
        <v>214</v>
      </c>
      <c r="BL50" s="82" t="s">
        <v>210</v>
      </c>
      <c r="BM50" s="82" t="s">
        <v>193</v>
      </c>
      <c r="BN50" s="82" t="s">
        <v>193</v>
      </c>
      <c r="BO50" s="82" t="s">
        <v>204</v>
      </c>
      <c r="BP50" s="82" t="s">
        <v>207</v>
      </c>
      <c r="BQ50" s="82" t="s">
        <v>203</v>
      </c>
      <c r="BR50" s="82" t="s">
        <v>177</v>
      </c>
      <c r="BS50" s="82" t="s">
        <v>209</v>
      </c>
      <c r="BT50" s="82" t="s">
        <v>189</v>
      </c>
      <c r="BU50" s="82" t="s">
        <v>398</v>
      </c>
      <c r="BV50" s="82" t="s">
        <v>179</v>
      </c>
      <c r="BW50" s="82" t="s">
        <v>202</v>
      </c>
      <c r="BX50" s="82" t="s">
        <v>176</v>
      </c>
      <c r="BY50" s="82" t="s">
        <v>185</v>
      </c>
      <c r="BZ50" s="82" t="s">
        <v>211</v>
      </c>
      <c r="CA50" s="82" t="s">
        <v>206</v>
      </c>
    </row>
    <row r="51" spans="1:79" ht="15.75" thickBot="1" x14ac:dyDescent="0.3">
      <c r="A51" t="s">
        <v>23</v>
      </c>
      <c r="B51" t="s">
        <v>144</v>
      </c>
      <c r="C51" s="132" t="s">
        <v>115</v>
      </c>
      <c r="D51">
        <v>0.28999999999999998</v>
      </c>
      <c r="E51" t="s">
        <v>144</v>
      </c>
      <c r="F51" t="s">
        <v>117</v>
      </c>
      <c r="G51" t="s">
        <v>117</v>
      </c>
      <c r="H51" t="s">
        <v>114</v>
      </c>
      <c r="I51" t="s">
        <v>116</v>
      </c>
      <c r="J51" t="s">
        <v>116</v>
      </c>
      <c r="K51" t="s">
        <v>144</v>
      </c>
      <c r="L51" s="132" t="s">
        <v>125</v>
      </c>
      <c r="M51" t="s">
        <v>116</v>
      </c>
      <c r="N51" s="132" t="s">
        <v>114</v>
      </c>
      <c r="O51" t="s">
        <v>116</v>
      </c>
      <c r="P51" t="s">
        <v>124</v>
      </c>
      <c r="Q51" t="s">
        <v>123</v>
      </c>
      <c r="R51" t="s">
        <v>144</v>
      </c>
      <c r="S51">
        <v>55</v>
      </c>
      <c r="T51" t="s">
        <v>116</v>
      </c>
      <c r="U51">
        <v>9</v>
      </c>
      <c r="BK51" s="82" t="s">
        <v>164</v>
      </c>
      <c r="BL51" s="82" t="s">
        <v>162</v>
      </c>
      <c r="BM51" s="82" t="s">
        <v>163</v>
      </c>
      <c r="BN51" s="82" t="s">
        <v>162</v>
      </c>
      <c r="BO51" s="82" t="s">
        <v>162</v>
      </c>
      <c r="BP51" s="82" t="s">
        <v>162</v>
      </c>
      <c r="BQ51" s="82" t="s">
        <v>162</v>
      </c>
      <c r="BR51" s="82" t="s">
        <v>162</v>
      </c>
      <c r="BS51" s="82" t="s">
        <v>162</v>
      </c>
      <c r="BT51" s="82" t="s">
        <v>163</v>
      </c>
      <c r="BU51" s="82" t="s">
        <v>162</v>
      </c>
      <c r="BV51" s="82" t="s">
        <v>162</v>
      </c>
      <c r="BW51" s="82" t="s">
        <v>162</v>
      </c>
      <c r="BX51" s="82" t="s">
        <v>162</v>
      </c>
      <c r="BY51" s="82" t="s">
        <v>162</v>
      </c>
      <c r="BZ51" s="82" t="s">
        <v>162</v>
      </c>
      <c r="CA51" s="82" t="s">
        <v>162</v>
      </c>
    </row>
    <row r="52" spans="1:79" ht="15.75" thickBot="1" x14ac:dyDescent="0.3">
      <c r="C52" s="132"/>
      <c r="L52" s="132"/>
      <c r="N52" s="132"/>
      <c r="U52" s="132"/>
      <c r="BK52" s="162" t="s">
        <v>23</v>
      </c>
      <c r="BL52" s="163">
        <v>20.5</v>
      </c>
      <c r="BM52" s="163">
        <v>0.19625000000000001</v>
      </c>
      <c r="BN52" s="163">
        <f>BM52*10000</f>
        <v>1962.5</v>
      </c>
      <c r="BO52" s="164">
        <v>0</v>
      </c>
      <c r="BP52" s="163">
        <v>0.25</v>
      </c>
      <c r="BQ52" s="164">
        <v>0</v>
      </c>
      <c r="BR52" s="164">
        <v>0</v>
      </c>
      <c r="BS52" s="164">
        <v>0</v>
      </c>
      <c r="BT52" s="163">
        <v>5.0000000000000001E-4</v>
      </c>
      <c r="BU52" s="164">
        <f>BT52*10000</f>
        <v>5</v>
      </c>
      <c r="BV52" s="163">
        <v>0.125</v>
      </c>
      <c r="BW52" s="163">
        <v>1.75</v>
      </c>
      <c r="BX52" s="163">
        <v>0</v>
      </c>
      <c r="BY52" s="163">
        <v>106.375</v>
      </c>
      <c r="BZ52" s="163">
        <v>1</v>
      </c>
      <c r="CA52" s="165">
        <v>47.5</v>
      </c>
    </row>
    <row r="53" spans="1:79" ht="15.75" thickBot="1" x14ac:dyDescent="0.3">
      <c r="A53" t="s">
        <v>23</v>
      </c>
      <c r="B53" t="s">
        <v>135</v>
      </c>
      <c r="C53">
        <v>18</v>
      </c>
      <c r="D53">
        <v>0.21</v>
      </c>
      <c r="E53" t="s">
        <v>135</v>
      </c>
      <c r="F53" t="s">
        <v>117</v>
      </c>
      <c r="G53" t="s">
        <v>117</v>
      </c>
      <c r="H53" t="s">
        <v>114</v>
      </c>
      <c r="I53" t="s">
        <v>116</v>
      </c>
      <c r="J53" t="s">
        <v>116</v>
      </c>
      <c r="K53" t="s">
        <v>135</v>
      </c>
      <c r="L53" s="132">
        <v>1E-3</v>
      </c>
      <c r="M53" t="s">
        <v>116</v>
      </c>
      <c r="N53" s="132" t="s">
        <v>114</v>
      </c>
      <c r="O53" t="s">
        <v>116</v>
      </c>
      <c r="P53" t="s">
        <v>124</v>
      </c>
      <c r="Q53" t="s">
        <v>123</v>
      </c>
      <c r="R53" t="s">
        <v>135</v>
      </c>
      <c r="S53">
        <v>167</v>
      </c>
      <c r="T53">
        <v>1</v>
      </c>
      <c r="U53" s="132" t="s">
        <v>117</v>
      </c>
      <c r="BK53" s="166" t="s">
        <v>353</v>
      </c>
      <c r="BL53" s="167">
        <v>38</v>
      </c>
      <c r="BM53" s="167">
        <v>0.20571428571428568</v>
      </c>
      <c r="BN53" s="163">
        <f t="shared" ref="BN53:BN56" si="5">BM53*10000</f>
        <v>2057.1428571428569</v>
      </c>
      <c r="BO53" s="167">
        <v>2</v>
      </c>
      <c r="BP53" s="167">
        <v>1.8571428571428572</v>
      </c>
      <c r="BQ53" s="167">
        <v>5.4285714285714288</v>
      </c>
      <c r="BR53" s="167">
        <v>0.42857142857142855</v>
      </c>
      <c r="BS53" s="167">
        <v>0.8571428571428571</v>
      </c>
      <c r="BT53" s="167">
        <v>6.8571428571428559E-3</v>
      </c>
      <c r="BU53" s="163">
        <f t="shared" ref="BU53:BU56" si="6">BT53*10000</f>
        <v>68.571428571428555</v>
      </c>
      <c r="BV53" s="167">
        <v>2.8571428571428572</v>
      </c>
      <c r="BW53" s="167">
        <v>29.285714285714285</v>
      </c>
      <c r="BX53" s="167">
        <v>1.2857142857142858</v>
      </c>
      <c r="BY53" s="167">
        <v>505.28571428571428</v>
      </c>
      <c r="BZ53" s="167">
        <v>2.4285714285714284</v>
      </c>
      <c r="CA53" s="168">
        <v>80.285714285714292</v>
      </c>
    </row>
    <row r="54" spans="1:79" ht="15.75" thickBot="1" x14ac:dyDescent="0.3">
      <c r="A54" t="s">
        <v>23</v>
      </c>
      <c r="B54" t="s">
        <v>129</v>
      </c>
      <c r="C54">
        <v>17</v>
      </c>
      <c r="D54">
        <v>0.11</v>
      </c>
      <c r="E54" t="s">
        <v>129</v>
      </c>
      <c r="F54" t="s">
        <v>117</v>
      </c>
      <c r="G54" t="s">
        <v>117</v>
      </c>
      <c r="H54" t="s">
        <v>114</v>
      </c>
      <c r="I54" t="s">
        <v>116</v>
      </c>
      <c r="J54" t="s">
        <v>116</v>
      </c>
      <c r="K54" t="s">
        <v>129</v>
      </c>
      <c r="L54" s="132" t="s">
        <v>125</v>
      </c>
      <c r="M54" t="s">
        <v>116</v>
      </c>
      <c r="N54" s="132" t="s">
        <v>114</v>
      </c>
      <c r="O54" t="s">
        <v>116</v>
      </c>
      <c r="P54" t="s">
        <v>124</v>
      </c>
      <c r="Q54" t="s">
        <v>123</v>
      </c>
      <c r="R54" t="s">
        <v>129</v>
      </c>
      <c r="S54">
        <v>83</v>
      </c>
      <c r="T54" t="s">
        <v>116</v>
      </c>
      <c r="U54">
        <v>351</v>
      </c>
      <c r="BK54" s="169" t="s">
        <v>351</v>
      </c>
      <c r="BL54" s="170">
        <v>9.5</v>
      </c>
      <c r="BM54" s="170">
        <v>9.2499999999999999E-2</v>
      </c>
      <c r="BN54" s="164">
        <f t="shared" si="5"/>
        <v>925</v>
      </c>
      <c r="BO54" s="171">
        <v>0</v>
      </c>
      <c r="BP54" s="171">
        <v>0</v>
      </c>
      <c r="BQ54" s="171">
        <v>0</v>
      </c>
      <c r="BR54" s="171">
        <v>0</v>
      </c>
      <c r="BS54" s="171">
        <v>0</v>
      </c>
      <c r="BT54" s="170">
        <v>5.0000000000000001E-4</v>
      </c>
      <c r="BU54" s="164">
        <f t="shared" si="6"/>
        <v>5</v>
      </c>
      <c r="BV54" s="170">
        <v>0</v>
      </c>
      <c r="BW54" s="170">
        <v>2.75</v>
      </c>
      <c r="BX54" s="170">
        <v>0</v>
      </c>
      <c r="BY54" s="170">
        <v>117.75</v>
      </c>
      <c r="BZ54" s="170">
        <v>0</v>
      </c>
      <c r="CA54" s="172">
        <v>50.25</v>
      </c>
    </row>
    <row r="55" spans="1:79" ht="15.75" thickBot="1" x14ac:dyDescent="0.3">
      <c r="A55" t="s">
        <v>23</v>
      </c>
      <c r="B55" t="s">
        <v>127</v>
      </c>
      <c r="C55" s="132" t="s">
        <v>383</v>
      </c>
      <c r="D55">
        <v>0.16</v>
      </c>
      <c r="E55" t="s">
        <v>127</v>
      </c>
      <c r="F55" t="s">
        <v>117</v>
      </c>
      <c r="G55" t="s">
        <v>117</v>
      </c>
      <c r="H55" t="s">
        <v>114</v>
      </c>
      <c r="I55" t="s">
        <v>116</v>
      </c>
      <c r="J55" t="s">
        <v>116</v>
      </c>
      <c r="K55" t="s">
        <v>127</v>
      </c>
      <c r="L55" s="132" t="s">
        <v>125</v>
      </c>
      <c r="M55" t="s">
        <v>116</v>
      </c>
      <c r="N55" s="132" t="s">
        <v>114</v>
      </c>
      <c r="O55" t="s">
        <v>116</v>
      </c>
      <c r="P55" t="s">
        <v>124</v>
      </c>
      <c r="Q55" t="s">
        <v>123</v>
      </c>
      <c r="R55" t="s">
        <v>127</v>
      </c>
      <c r="S55">
        <v>85</v>
      </c>
      <c r="T55" t="s">
        <v>116</v>
      </c>
      <c r="U55" s="132" t="s">
        <v>117</v>
      </c>
      <c r="BK55" s="169" t="s">
        <v>354</v>
      </c>
      <c r="BL55" s="170">
        <v>9.3333333333333339</v>
      </c>
      <c r="BM55" s="170">
        <v>0.12333333333333334</v>
      </c>
      <c r="BN55" s="164">
        <f t="shared" si="5"/>
        <v>1233.3333333333333</v>
      </c>
      <c r="BO55" s="171">
        <v>0</v>
      </c>
      <c r="BP55" s="171">
        <v>0</v>
      </c>
      <c r="BQ55" s="171">
        <v>0</v>
      </c>
      <c r="BR55" s="171">
        <v>0</v>
      </c>
      <c r="BS55" s="171">
        <v>0</v>
      </c>
      <c r="BT55" s="170">
        <v>2E-3</v>
      </c>
      <c r="BU55" s="164">
        <f t="shared" si="6"/>
        <v>20</v>
      </c>
      <c r="BV55" s="170">
        <v>0</v>
      </c>
      <c r="BW55" s="170">
        <v>18.666666666666668</v>
      </c>
      <c r="BX55" s="170">
        <v>0</v>
      </c>
      <c r="BY55" s="170">
        <v>401.33333333333331</v>
      </c>
      <c r="BZ55" s="170">
        <v>0</v>
      </c>
      <c r="CA55" s="172">
        <v>14.333333333333334</v>
      </c>
    </row>
    <row r="56" spans="1:79" ht="15.75" thickBot="1" x14ac:dyDescent="0.3">
      <c r="A56" s="136" t="s">
        <v>353</v>
      </c>
      <c r="B56" s="137" t="s">
        <v>153</v>
      </c>
      <c r="C56" s="137">
        <v>30</v>
      </c>
      <c r="D56" s="137">
        <v>0.19</v>
      </c>
      <c r="E56" s="137" t="s">
        <v>153</v>
      </c>
      <c r="F56" s="137">
        <v>2</v>
      </c>
      <c r="G56" s="137" t="s">
        <v>117</v>
      </c>
      <c r="H56" s="137" t="s">
        <v>114</v>
      </c>
      <c r="I56" s="137" t="s">
        <v>116</v>
      </c>
      <c r="J56" s="137" t="s">
        <v>116</v>
      </c>
      <c r="K56" s="137" t="s">
        <v>153</v>
      </c>
      <c r="L56" s="137">
        <v>6.0000000000000001E-3</v>
      </c>
      <c r="M56" s="137">
        <v>2</v>
      </c>
      <c r="N56" s="137">
        <v>27</v>
      </c>
      <c r="O56" s="137">
        <v>1</v>
      </c>
      <c r="P56" s="137" t="s">
        <v>114</v>
      </c>
      <c r="Q56" s="137" t="s">
        <v>133</v>
      </c>
      <c r="R56" s="137" t="s">
        <v>153</v>
      </c>
      <c r="S56" s="137">
        <v>398</v>
      </c>
      <c r="T56" s="137">
        <v>3</v>
      </c>
      <c r="U56" s="137">
        <v>3</v>
      </c>
      <c r="BK56" s="162" t="s">
        <v>352</v>
      </c>
      <c r="BL56" s="163">
        <v>19.5</v>
      </c>
      <c r="BM56" s="163">
        <v>0.16999999999999998</v>
      </c>
      <c r="BN56" s="163">
        <f t="shared" si="5"/>
        <v>1699.9999999999998</v>
      </c>
      <c r="BO56" s="164">
        <v>0</v>
      </c>
      <c r="BP56" s="164">
        <v>0</v>
      </c>
      <c r="BQ56" s="164">
        <v>0</v>
      </c>
      <c r="BR56" s="164">
        <v>0</v>
      </c>
      <c r="BS56" s="163">
        <v>1</v>
      </c>
      <c r="BT56" s="163">
        <v>5.0000000000000001E-3</v>
      </c>
      <c r="BU56" s="163">
        <f t="shared" si="6"/>
        <v>50</v>
      </c>
      <c r="BV56" s="163">
        <v>2</v>
      </c>
      <c r="BW56" s="163">
        <v>22.5</v>
      </c>
      <c r="BX56" s="163">
        <v>0</v>
      </c>
      <c r="BY56" s="163">
        <v>465</v>
      </c>
      <c r="BZ56" s="163">
        <v>4</v>
      </c>
      <c r="CA56" s="165">
        <v>5</v>
      </c>
    </row>
    <row r="57" spans="1:79" ht="13.5" thickBot="1" x14ac:dyDescent="0.25">
      <c r="A57" s="142" t="s">
        <v>353</v>
      </c>
      <c r="B57" s="135" t="s">
        <v>150</v>
      </c>
      <c r="C57" s="135">
        <v>44</v>
      </c>
      <c r="D57" s="135">
        <v>0.18</v>
      </c>
      <c r="E57" s="135" t="s">
        <v>150</v>
      </c>
      <c r="F57" s="135">
        <v>2</v>
      </c>
      <c r="G57" s="135" t="s">
        <v>117</v>
      </c>
      <c r="H57" s="135" t="s">
        <v>114</v>
      </c>
      <c r="I57" s="135" t="s">
        <v>116</v>
      </c>
      <c r="J57" s="135" t="s">
        <v>116</v>
      </c>
      <c r="K57" s="135" t="s">
        <v>150</v>
      </c>
      <c r="L57" s="135">
        <v>6.0000000000000001E-3</v>
      </c>
      <c r="M57" s="135">
        <v>2</v>
      </c>
      <c r="N57" s="135">
        <v>22</v>
      </c>
      <c r="O57" s="135">
        <v>1</v>
      </c>
      <c r="P57" s="135" t="s">
        <v>114</v>
      </c>
      <c r="Q57" s="135" t="s">
        <v>133</v>
      </c>
      <c r="R57" s="135" t="s">
        <v>150</v>
      </c>
      <c r="S57" s="135">
        <v>344</v>
      </c>
      <c r="T57" s="135">
        <v>3</v>
      </c>
      <c r="U57" s="135">
        <v>537</v>
      </c>
      <c r="BK57" s="166" t="s">
        <v>395</v>
      </c>
      <c r="BL57" s="167">
        <v>24.111111111111111</v>
      </c>
      <c r="BM57" s="167">
        <v>0.17041666666666666</v>
      </c>
      <c r="BN57" s="167">
        <f>AVERAGE(BN52:BN56)</f>
        <v>1575.5952380952381</v>
      </c>
      <c r="BO57" s="167">
        <v>0.58333333333333337</v>
      </c>
      <c r="BP57" s="167">
        <v>0.625</v>
      </c>
      <c r="BQ57" s="167">
        <v>1.5833333333333333</v>
      </c>
      <c r="BR57" s="167">
        <v>0.125</v>
      </c>
      <c r="BS57" s="167">
        <v>0.33333333333333331</v>
      </c>
      <c r="BT57" s="167">
        <v>2.9166666666666668E-3</v>
      </c>
      <c r="BU57" s="163">
        <f>AVERAGE(BU52:BU56)</f>
        <v>29.714285714285712</v>
      </c>
      <c r="BV57" s="167">
        <v>1.0416666666666667</v>
      </c>
      <c r="BW57" s="167">
        <v>13.791666666666666</v>
      </c>
      <c r="BX57" s="167">
        <v>0.375</v>
      </c>
      <c r="BY57" s="167">
        <v>291.375</v>
      </c>
      <c r="BZ57" s="167">
        <v>1.375</v>
      </c>
      <c r="CA57" s="168">
        <v>49.833333333333336</v>
      </c>
    </row>
    <row r="58" spans="1:79" x14ac:dyDescent="0.2">
      <c r="A58" s="142" t="s">
        <v>353</v>
      </c>
      <c r="B58" s="135" t="s">
        <v>146</v>
      </c>
      <c r="C58" s="135">
        <v>50</v>
      </c>
      <c r="D58" s="135">
        <v>0.28999999999999998</v>
      </c>
      <c r="E58" s="135" t="s">
        <v>146</v>
      </c>
      <c r="F58" s="135">
        <v>3</v>
      </c>
      <c r="G58" s="135">
        <v>4</v>
      </c>
      <c r="H58" s="135">
        <v>15</v>
      </c>
      <c r="I58" s="135">
        <v>1</v>
      </c>
      <c r="J58" s="135">
        <v>2</v>
      </c>
      <c r="K58" s="135" t="s">
        <v>146</v>
      </c>
      <c r="L58" s="135">
        <v>0.01</v>
      </c>
      <c r="M58" s="135">
        <v>4</v>
      </c>
      <c r="N58" s="135">
        <v>48</v>
      </c>
      <c r="O58" s="135">
        <v>2</v>
      </c>
      <c r="P58" s="135" t="s">
        <v>133</v>
      </c>
      <c r="Q58" s="135" t="s">
        <v>137</v>
      </c>
      <c r="R58" s="135" t="s">
        <v>146</v>
      </c>
      <c r="S58" s="135">
        <v>747</v>
      </c>
      <c r="T58" s="135">
        <v>3</v>
      </c>
      <c r="U58" s="135">
        <v>6</v>
      </c>
      <c r="BK58" s="82" t="s">
        <v>396</v>
      </c>
      <c r="BL58" s="82">
        <v>19.13385939018573</v>
      </c>
      <c r="BM58" s="82">
        <v>7.0617103893595393E-2</v>
      </c>
      <c r="BN58" s="173">
        <f>_xlfn.STDEV.S(BN52:BN57)</f>
        <v>433.00746512341834</v>
      </c>
      <c r="BO58" s="82">
        <v>1.2825472842090011</v>
      </c>
      <c r="BP58" s="82">
        <v>1.995919750935371</v>
      </c>
      <c r="BQ58" s="82">
        <v>5.4924190177613603</v>
      </c>
      <c r="BR58" s="82">
        <v>0.44842720314644063</v>
      </c>
      <c r="BS58" s="82">
        <v>0.96308682468615359</v>
      </c>
      <c r="BT58" s="82">
        <v>3.8664292780702502E-3</v>
      </c>
      <c r="BU58" s="82">
        <v>7.0617103893595407E-2</v>
      </c>
      <c r="BV58" s="82">
        <v>1.756458063130524</v>
      </c>
      <c r="BW58" s="82">
        <v>15.142738729565535</v>
      </c>
      <c r="BX58" s="82">
        <v>0.92372120770566779</v>
      </c>
      <c r="BY58" s="82">
        <v>250.45746189201731</v>
      </c>
      <c r="BZ58" s="82">
        <v>1.7646898976258147</v>
      </c>
      <c r="CA58" s="82">
        <v>127.57424664013149</v>
      </c>
    </row>
    <row r="59" spans="1:79" ht="15" x14ac:dyDescent="0.25">
      <c r="A59" s="142" t="s">
        <v>353</v>
      </c>
      <c r="B59" s="135" t="s">
        <v>140</v>
      </c>
      <c r="C59" s="135">
        <v>27</v>
      </c>
      <c r="D59" s="135">
        <v>0.19</v>
      </c>
      <c r="E59" s="135" t="s">
        <v>140</v>
      </c>
      <c r="F59" s="135" t="s">
        <v>117</v>
      </c>
      <c r="G59" s="135" t="s">
        <v>117</v>
      </c>
      <c r="H59" s="135" t="s">
        <v>114</v>
      </c>
      <c r="I59" s="135" t="s">
        <v>116</v>
      </c>
      <c r="J59" s="135" t="s">
        <v>116</v>
      </c>
      <c r="K59" s="135" t="s">
        <v>140</v>
      </c>
      <c r="L59" s="135">
        <v>2E-3</v>
      </c>
      <c r="M59" s="135" t="s">
        <v>116</v>
      </c>
      <c r="N59" s="135">
        <v>12</v>
      </c>
      <c r="O59" s="135" t="s">
        <v>116</v>
      </c>
      <c r="P59" s="143" t="s">
        <v>124</v>
      </c>
      <c r="Q59" s="143" t="s">
        <v>123</v>
      </c>
      <c r="R59" s="135" t="s">
        <v>140</v>
      </c>
      <c r="S59" s="135">
        <v>143</v>
      </c>
      <c r="T59" s="135">
        <v>1</v>
      </c>
      <c r="U59" s="135" t="s">
        <v>117</v>
      </c>
    </row>
    <row r="60" spans="1:79" x14ac:dyDescent="0.2">
      <c r="A60" s="142" t="s">
        <v>353</v>
      </c>
      <c r="B60" s="135" t="s">
        <v>134</v>
      </c>
      <c r="C60" s="135">
        <v>16</v>
      </c>
      <c r="D60" s="135">
        <v>0.13</v>
      </c>
      <c r="E60" s="135" t="s">
        <v>134</v>
      </c>
      <c r="F60" s="135" t="s">
        <v>117</v>
      </c>
      <c r="G60" s="135" t="s">
        <v>117</v>
      </c>
      <c r="H60" s="135" t="s">
        <v>114</v>
      </c>
      <c r="I60" s="135" t="s">
        <v>116</v>
      </c>
      <c r="J60" s="135" t="s">
        <v>116</v>
      </c>
      <c r="K60" s="135" t="s">
        <v>134</v>
      </c>
      <c r="L60" s="135">
        <v>3.0000000000000001E-3</v>
      </c>
      <c r="M60" s="135">
        <v>2</v>
      </c>
      <c r="N60" s="135">
        <v>20</v>
      </c>
      <c r="O60" s="135" t="s">
        <v>116</v>
      </c>
      <c r="P60" s="135" t="s">
        <v>114</v>
      </c>
      <c r="Q60" s="135" t="s">
        <v>133</v>
      </c>
      <c r="R60" s="135" t="s">
        <v>134</v>
      </c>
      <c r="S60" s="135">
        <v>526</v>
      </c>
      <c r="T60" s="135" t="s">
        <v>116</v>
      </c>
      <c r="U60" s="135">
        <v>2</v>
      </c>
    </row>
    <row r="61" spans="1:79" x14ac:dyDescent="0.2">
      <c r="A61" s="142" t="s">
        <v>353</v>
      </c>
      <c r="B61" s="135" t="s">
        <v>128</v>
      </c>
      <c r="C61" s="135">
        <v>79</v>
      </c>
      <c r="D61" s="135">
        <v>0.28000000000000003</v>
      </c>
      <c r="E61" s="135" t="s">
        <v>128</v>
      </c>
      <c r="F61" s="135">
        <v>5</v>
      </c>
      <c r="G61" s="135">
        <v>9</v>
      </c>
      <c r="H61" s="135">
        <v>23</v>
      </c>
      <c r="I61" s="135">
        <v>2</v>
      </c>
      <c r="J61" s="135">
        <v>4</v>
      </c>
      <c r="K61" s="135" t="s">
        <v>128</v>
      </c>
      <c r="L61" s="135">
        <v>1.6E-2</v>
      </c>
      <c r="M61" s="135">
        <v>7</v>
      </c>
      <c r="N61" s="135">
        <v>51</v>
      </c>
      <c r="O61" s="135">
        <v>4</v>
      </c>
      <c r="P61" s="135" t="s">
        <v>115</v>
      </c>
      <c r="Q61" s="135" t="s">
        <v>114</v>
      </c>
      <c r="R61" s="135" t="s">
        <v>128</v>
      </c>
      <c r="S61" s="135">
        <v>928</v>
      </c>
      <c r="T61" s="135">
        <v>6</v>
      </c>
      <c r="U61" s="135">
        <v>11</v>
      </c>
    </row>
    <row r="62" spans="1:79" ht="13.5" thickBot="1" x14ac:dyDescent="0.25">
      <c r="A62" s="138" t="s">
        <v>353</v>
      </c>
      <c r="B62" s="139" t="s">
        <v>122</v>
      </c>
      <c r="C62" s="139">
        <v>20</v>
      </c>
      <c r="D62" s="139">
        <v>0.18</v>
      </c>
      <c r="E62" s="139" t="s">
        <v>122</v>
      </c>
      <c r="F62" s="139">
        <v>2</v>
      </c>
      <c r="G62" s="139" t="s">
        <v>117</v>
      </c>
      <c r="H62" s="139" t="s">
        <v>114</v>
      </c>
      <c r="I62" s="139" t="s">
        <v>116</v>
      </c>
      <c r="J62" s="139" t="s">
        <v>116</v>
      </c>
      <c r="K62" s="139" t="s">
        <v>122</v>
      </c>
      <c r="L62" s="139">
        <v>5.0000000000000001E-3</v>
      </c>
      <c r="M62" s="139">
        <v>3</v>
      </c>
      <c r="N62" s="139">
        <v>25</v>
      </c>
      <c r="O62" s="139">
        <v>1</v>
      </c>
      <c r="P62" s="139" t="s">
        <v>115</v>
      </c>
      <c r="Q62" s="139" t="s">
        <v>114</v>
      </c>
      <c r="R62" s="139" t="s">
        <v>122</v>
      </c>
      <c r="S62" s="139">
        <v>451</v>
      </c>
      <c r="T62" s="139">
        <v>1</v>
      </c>
      <c r="U62" s="139">
        <v>3</v>
      </c>
    </row>
    <row r="63" spans="1:79" ht="15" x14ac:dyDescent="0.25">
      <c r="A63" t="s">
        <v>351</v>
      </c>
      <c r="B63" t="s">
        <v>152</v>
      </c>
      <c r="C63" s="132" t="s">
        <v>115</v>
      </c>
      <c r="D63">
        <v>0.05</v>
      </c>
      <c r="E63" t="s">
        <v>152</v>
      </c>
      <c r="F63" t="s">
        <v>117</v>
      </c>
      <c r="G63" t="s">
        <v>117</v>
      </c>
      <c r="H63" t="s">
        <v>114</v>
      </c>
      <c r="I63" t="s">
        <v>116</v>
      </c>
      <c r="J63" t="s">
        <v>116</v>
      </c>
      <c r="K63" t="s">
        <v>152</v>
      </c>
      <c r="L63" s="132" t="s">
        <v>125</v>
      </c>
      <c r="M63" t="s">
        <v>116</v>
      </c>
      <c r="N63" s="132" t="s">
        <v>114</v>
      </c>
      <c r="O63" t="s">
        <v>116</v>
      </c>
      <c r="P63" t="s">
        <v>124</v>
      </c>
      <c r="Q63" t="s">
        <v>123</v>
      </c>
      <c r="R63" t="s">
        <v>152</v>
      </c>
      <c r="S63">
        <v>147</v>
      </c>
      <c r="T63" t="s">
        <v>116</v>
      </c>
      <c r="U63">
        <v>87</v>
      </c>
    </row>
    <row r="64" spans="1:79" ht="15" x14ac:dyDescent="0.25">
      <c r="A64" t="s">
        <v>351</v>
      </c>
      <c r="B64" t="s">
        <v>143</v>
      </c>
      <c r="C64" s="132">
        <v>13</v>
      </c>
      <c r="D64">
        <v>0.14000000000000001</v>
      </c>
      <c r="E64" t="s">
        <v>143</v>
      </c>
      <c r="F64" t="s">
        <v>117</v>
      </c>
      <c r="G64" t="s">
        <v>117</v>
      </c>
      <c r="H64" t="s">
        <v>114</v>
      </c>
      <c r="I64" t="s">
        <v>116</v>
      </c>
      <c r="J64" t="s">
        <v>116</v>
      </c>
      <c r="K64" t="s">
        <v>143</v>
      </c>
      <c r="L64" s="132">
        <v>1E-3</v>
      </c>
      <c r="M64" t="s">
        <v>116</v>
      </c>
      <c r="N64" s="132" t="s">
        <v>114</v>
      </c>
      <c r="O64" t="s">
        <v>116</v>
      </c>
      <c r="P64" t="s">
        <v>124</v>
      </c>
      <c r="Q64" t="s">
        <v>123</v>
      </c>
      <c r="R64" t="s">
        <v>143</v>
      </c>
      <c r="S64">
        <v>101</v>
      </c>
      <c r="T64" t="s">
        <v>116</v>
      </c>
      <c r="U64" s="132" t="s">
        <v>117</v>
      </c>
    </row>
    <row r="65" spans="1:21" ht="15" x14ac:dyDescent="0.25">
      <c r="A65" t="s">
        <v>351</v>
      </c>
      <c r="B65" t="s">
        <v>142</v>
      </c>
      <c r="C65" s="132">
        <v>6</v>
      </c>
      <c r="D65">
        <v>0.09</v>
      </c>
      <c r="E65" t="s">
        <v>142</v>
      </c>
      <c r="F65" t="s">
        <v>117</v>
      </c>
      <c r="G65" t="s">
        <v>117</v>
      </c>
      <c r="H65" t="s">
        <v>114</v>
      </c>
      <c r="I65" t="s">
        <v>116</v>
      </c>
      <c r="J65" t="s">
        <v>116</v>
      </c>
      <c r="K65" t="s">
        <v>142</v>
      </c>
      <c r="L65" s="132">
        <v>1E-3</v>
      </c>
      <c r="M65" t="s">
        <v>116</v>
      </c>
      <c r="N65" s="132">
        <v>11</v>
      </c>
      <c r="O65" t="s">
        <v>116</v>
      </c>
      <c r="P65" t="s">
        <v>124</v>
      </c>
      <c r="Q65" t="s">
        <v>123</v>
      </c>
      <c r="R65" t="s">
        <v>142</v>
      </c>
      <c r="S65">
        <v>152</v>
      </c>
      <c r="T65" t="s">
        <v>116</v>
      </c>
      <c r="U65">
        <v>114</v>
      </c>
    </row>
    <row r="66" spans="1:21" ht="15.75" thickBot="1" x14ac:dyDescent="0.3">
      <c r="A66" t="s">
        <v>351</v>
      </c>
      <c r="B66" t="s">
        <v>139</v>
      </c>
      <c r="C66" s="132" t="s">
        <v>115</v>
      </c>
      <c r="D66">
        <v>0.09</v>
      </c>
      <c r="E66" t="s">
        <v>139</v>
      </c>
      <c r="F66" t="s">
        <v>117</v>
      </c>
      <c r="G66" t="s">
        <v>117</v>
      </c>
      <c r="H66" t="s">
        <v>114</v>
      </c>
      <c r="I66" t="s">
        <v>116</v>
      </c>
      <c r="J66" t="s">
        <v>116</v>
      </c>
      <c r="K66" t="s">
        <v>139</v>
      </c>
      <c r="L66" s="132" t="s">
        <v>125</v>
      </c>
      <c r="M66" t="s">
        <v>116</v>
      </c>
      <c r="N66" s="132" t="s">
        <v>114</v>
      </c>
      <c r="O66" t="s">
        <v>116</v>
      </c>
      <c r="P66" t="s">
        <v>124</v>
      </c>
      <c r="Q66" t="s">
        <v>123</v>
      </c>
      <c r="R66" t="s">
        <v>139</v>
      </c>
      <c r="S66">
        <v>71</v>
      </c>
      <c r="T66" t="s">
        <v>116</v>
      </c>
      <c r="U66" s="132" t="s">
        <v>117</v>
      </c>
    </row>
    <row r="67" spans="1:21" ht="15" x14ac:dyDescent="0.25">
      <c r="A67" s="136" t="s">
        <v>354</v>
      </c>
      <c r="B67" s="137" t="s">
        <v>148</v>
      </c>
      <c r="C67" s="146">
        <v>12</v>
      </c>
      <c r="D67" s="137">
        <v>0.08</v>
      </c>
      <c r="E67" s="137" t="s">
        <v>148</v>
      </c>
      <c r="F67" s="137" t="s">
        <v>117</v>
      </c>
      <c r="G67" s="137" t="s">
        <v>117</v>
      </c>
      <c r="H67" s="137" t="s">
        <v>114</v>
      </c>
      <c r="I67" s="137" t="s">
        <v>116</v>
      </c>
      <c r="J67" s="137" t="s">
        <v>116</v>
      </c>
      <c r="K67" s="137" t="s">
        <v>148</v>
      </c>
      <c r="L67" s="146">
        <v>2E-3</v>
      </c>
      <c r="M67" s="137" t="s">
        <v>116</v>
      </c>
      <c r="N67" s="146">
        <v>15</v>
      </c>
      <c r="O67" s="137" t="s">
        <v>116</v>
      </c>
      <c r="P67" s="137" t="s">
        <v>131</v>
      </c>
      <c r="Q67" s="137" t="s">
        <v>123</v>
      </c>
      <c r="R67" s="137" t="s">
        <v>148</v>
      </c>
      <c r="S67" s="137">
        <v>230</v>
      </c>
      <c r="T67" s="137" t="s">
        <v>116</v>
      </c>
      <c r="U67" s="137">
        <v>35</v>
      </c>
    </row>
    <row r="68" spans="1:21" ht="15" x14ac:dyDescent="0.25">
      <c r="A68" s="142" t="s">
        <v>354</v>
      </c>
      <c r="B68" s="135" t="s">
        <v>145</v>
      </c>
      <c r="C68" s="144">
        <v>9</v>
      </c>
      <c r="D68" s="135">
        <v>0.22</v>
      </c>
      <c r="E68" s="135" t="s">
        <v>145</v>
      </c>
      <c r="F68" s="135" t="s">
        <v>117</v>
      </c>
      <c r="G68" s="135" t="s">
        <v>117</v>
      </c>
      <c r="H68" s="135" t="s">
        <v>114</v>
      </c>
      <c r="I68" s="135" t="s">
        <v>116</v>
      </c>
      <c r="J68" s="135" t="s">
        <v>116</v>
      </c>
      <c r="K68" s="135" t="s">
        <v>145</v>
      </c>
      <c r="L68" s="144">
        <v>2E-3</v>
      </c>
      <c r="M68" s="135" t="s">
        <v>116</v>
      </c>
      <c r="N68" s="144">
        <v>29</v>
      </c>
      <c r="O68" s="135" t="s">
        <v>116</v>
      </c>
      <c r="P68" s="135" t="s">
        <v>133</v>
      </c>
      <c r="Q68" s="135" t="s">
        <v>137</v>
      </c>
      <c r="R68" s="135" t="s">
        <v>145</v>
      </c>
      <c r="S68" s="135">
        <v>714</v>
      </c>
      <c r="T68" s="135" t="s">
        <v>116</v>
      </c>
      <c r="U68" s="135">
        <v>3</v>
      </c>
    </row>
    <row r="69" spans="1:21" ht="15.75" thickBot="1" x14ac:dyDescent="0.3">
      <c r="A69" s="138" t="s">
        <v>354</v>
      </c>
      <c r="B69" s="139" t="s">
        <v>132</v>
      </c>
      <c r="C69" s="147">
        <v>7</v>
      </c>
      <c r="D69" s="139">
        <v>7.0000000000000007E-2</v>
      </c>
      <c r="E69" s="139" t="s">
        <v>132</v>
      </c>
      <c r="F69" s="139" t="s">
        <v>117</v>
      </c>
      <c r="G69" s="139" t="s">
        <v>117</v>
      </c>
      <c r="H69" s="139" t="s">
        <v>114</v>
      </c>
      <c r="I69" s="139" t="s">
        <v>116</v>
      </c>
      <c r="J69" s="139" t="s">
        <v>116</v>
      </c>
      <c r="K69" s="139" t="s">
        <v>132</v>
      </c>
      <c r="L69" s="147">
        <v>2E-3</v>
      </c>
      <c r="M69" s="139" t="s">
        <v>116</v>
      </c>
      <c r="N69" s="147">
        <v>12</v>
      </c>
      <c r="O69" s="139" t="s">
        <v>116</v>
      </c>
      <c r="P69" s="139" t="s">
        <v>131</v>
      </c>
      <c r="Q69" s="139" t="s">
        <v>123</v>
      </c>
      <c r="R69" s="139" t="s">
        <v>132</v>
      </c>
      <c r="S69" s="139">
        <v>260</v>
      </c>
      <c r="T69" s="139" t="s">
        <v>116</v>
      </c>
      <c r="U69" s="139">
        <v>5</v>
      </c>
    </row>
    <row r="70" spans="1:21" x14ac:dyDescent="0.2">
      <c r="A70" s="136" t="s">
        <v>352</v>
      </c>
      <c r="B70" s="137" t="s">
        <v>149</v>
      </c>
      <c r="C70" s="137">
        <v>26</v>
      </c>
      <c r="D70" s="137">
        <v>0.18</v>
      </c>
      <c r="E70" s="137" t="s">
        <v>149</v>
      </c>
      <c r="F70" s="137" t="s">
        <v>117</v>
      </c>
      <c r="G70" s="137" t="s">
        <v>117</v>
      </c>
      <c r="H70" s="137" t="s">
        <v>114</v>
      </c>
      <c r="I70" s="137" t="s">
        <v>116</v>
      </c>
      <c r="J70" s="137" t="s">
        <v>116</v>
      </c>
      <c r="K70" s="137" t="s">
        <v>149</v>
      </c>
      <c r="L70" s="137">
        <v>7.0000000000000001E-3</v>
      </c>
      <c r="M70" s="137">
        <v>3</v>
      </c>
      <c r="N70" s="137">
        <v>25</v>
      </c>
      <c r="O70" s="137">
        <v>1</v>
      </c>
      <c r="P70" s="137" t="s">
        <v>115</v>
      </c>
      <c r="Q70" s="137">
        <v>19.2</v>
      </c>
      <c r="R70" s="137" t="s">
        <v>149</v>
      </c>
      <c r="S70" s="137">
        <v>337</v>
      </c>
      <c r="T70" s="137">
        <v>3</v>
      </c>
      <c r="U70" s="137">
        <v>7</v>
      </c>
    </row>
    <row r="71" spans="1:21" ht="13.5" thickBot="1" x14ac:dyDescent="0.25">
      <c r="A71" s="138" t="s">
        <v>352</v>
      </c>
      <c r="B71" s="139" t="s">
        <v>138</v>
      </c>
      <c r="C71" s="139">
        <v>13</v>
      </c>
      <c r="D71" s="139">
        <v>0.16</v>
      </c>
      <c r="E71" s="139" t="s">
        <v>138</v>
      </c>
      <c r="F71" s="139" t="s">
        <v>117</v>
      </c>
      <c r="G71" s="139" t="s">
        <v>117</v>
      </c>
      <c r="H71" s="139" t="s">
        <v>114</v>
      </c>
      <c r="I71" s="139" t="s">
        <v>116</v>
      </c>
      <c r="J71" s="139">
        <v>2</v>
      </c>
      <c r="K71" s="139" t="s">
        <v>138</v>
      </c>
      <c r="L71" s="139">
        <v>3.0000000000000001E-3</v>
      </c>
      <c r="M71" s="139">
        <v>1</v>
      </c>
      <c r="N71" s="139">
        <v>20</v>
      </c>
      <c r="O71" s="139" t="s">
        <v>116</v>
      </c>
      <c r="P71" s="139" t="s">
        <v>133</v>
      </c>
      <c r="Q71" s="139" t="s">
        <v>137</v>
      </c>
      <c r="R71" s="139" t="s">
        <v>138</v>
      </c>
      <c r="S71" s="139">
        <v>593</v>
      </c>
      <c r="T71" s="139">
        <v>5</v>
      </c>
      <c r="U71" s="139">
        <v>3</v>
      </c>
    </row>
  </sheetData>
  <conditionalFormatting sqref="S6:S34 S48:S71">
    <cfRule type="cellIs" dxfId="43" priority="63" operator="greaterThan">
      <formula>400</formula>
    </cfRule>
  </conditionalFormatting>
  <conditionalFormatting sqref="BH6:BH34">
    <cfRule type="cellIs" dxfId="42" priority="57" operator="greaterThan">
      <formula>20</formula>
    </cfRule>
  </conditionalFormatting>
  <conditionalFormatting sqref="S1:S46 S48:S1048576">
    <cfRule type="cellIs" dxfId="41" priority="55" operator="lessThan">
      <formula>200</formula>
    </cfRule>
    <cfRule type="cellIs" dxfId="40" priority="56" operator="lessThan">
      <formula>125</formula>
    </cfRule>
  </conditionalFormatting>
  <conditionalFormatting sqref="L2:L42 L44:L46 L48:L1048576">
    <cfRule type="cellIs" dxfId="39" priority="54" operator="lessThan">
      <formula>0.003</formula>
    </cfRule>
  </conditionalFormatting>
  <conditionalFormatting sqref="I2:I42 I44:I46 I48:I1048576">
    <cfRule type="cellIs" dxfId="38" priority="53" operator="lessThan">
      <formula>0.1</formula>
    </cfRule>
  </conditionalFormatting>
  <conditionalFormatting sqref="C1:C46 U1:U46 AG8:AS8 U48:U1048576 C48:C1048576">
    <cfRule type="cellIs" dxfId="37" priority="51" operator="lessThan">
      <formula>10</formula>
    </cfRule>
  </conditionalFormatting>
  <conditionalFormatting sqref="C1:C8 C15:C17 C23:C24 C27:C46 C63:C1048576 AG8:AS8">
    <cfRule type="cellIs" dxfId="36" priority="49" operator="greaterThan">
      <formula>30</formula>
    </cfRule>
    <cfRule type="cellIs" dxfId="35" priority="50" operator="lessThan">
      <formula>15</formula>
    </cfRule>
  </conditionalFormatting>
  <conditionalFormatting sqref="N2:N42 N44:N46 N48:N1048576">
    <cfRule type="cellIs" dxfId="34" priority="48" operator="lessThan">
      <formula>20</formula>
    </cfRule>
  </conditionalFormatting>
  <conditionalFormatting sqref="D1:E46 D72:E1048576 D48:D71">
    <cfRule type="cellIs" dxfId="33" priority="42" operator="lessThan">
      <formula>0.1</formula>
    </cfRule>
    <cfRule type="cellIs" dxfId="32" priority="43" operator="greaterThan">
      <formula>0.2</formula>
    </cfRule>
  </conditionalFormatting>
  <conditionalFormatting sqref="C68:C69 C53:C54 C56:C62">
    <cfRule type="cellIs" dxfId="31" priority="34" operator="greaterThan">
      <formula>30</formula>
    </cfRule>
    <cfRule type="cellIs" dxfId="30" priority="35" operator="lessThan">
      <formula>15</formula>
    </cfRule>
  </conditionalFormatting>
  <conditionalFormatting sqref="S47">
    <cfRule type="cellIs" dxfId="29" priority="29" operator="lessThan">
      <formula>200</formula>
    </cfRule>
    <cfRule type="cellIs" dxfId="28" priority="30" operator="lessThan">
      <formula>125</formula>
    </cfRule>
  </conditionalFormatting>
  <conditionalFormatting sqref="L47">
    <cfRule type="cellIs" dxfId="27" priority="28" operator="lessThan">
      <formula>0.003</formula>
    </cfRule>
  </conditionalFormatting>
  <conditionalFormatting sqref="I47">
    <cfRule type="cellIs" dxfId="26" priority="27" operator="lessThan">
      <formula>0.1</formula>
    </cfRule>
  </conditionalFormatting>
  <conditionalFormatting sqref="C47 U47">
    <cfRule type="cellIs" dxfId="25" priority="26" operator="lessThan">
      <formula>10</formula>
    </cfRule>
  </conditionalFormatting>
  <conditionalFormatting sqref="C47">
    <cfRule type="cellIs" dxfId="24" priority="24" operator="greaterThan">
      <formula>30</formula>
    </cfRule>
    <cfRule type="cellIs" dxfId="23" priority="25" operator="lessThan">
      <formula>15</formula>
    </cfRule>
  </conditionalFormatting>
  <conditionalFormatting sqref="N47">
    <cfRule type="cellIs" dxfId="22" priority="23" operator="lessThan">
      <formula>20</formula>
    </cfRule>
  </conditionalFormatting>
  <conditionalFormatting sqref="D47:E47">
    <cfRule type="cellIs" dxfId="21" priority="21" operator="lessThan">
      <formula>0.1</formula>
    </cfRule>
    <cfRule type="cellIs" dxfId="20" priority="22" operator="greaterThan">
      <formula>0.2</formula>
    </cfRule>
  </conditionalFormatting>
  <conditionalFormatting sqref="AQ6:AQ7 AQ9:AQ12 AQ14:AQ16 AQ18:AQ25 AQ27:AQ33">
    <cfRule type="cellIs" dxfId="19" priority="20" operator="greaterThan">
      <formula>400</formula>
    </cfRule>
  </conditionalFormatting>
  <conditionalFormatting sqref="AQ1:AQ7 AQ9:AQ12 AQ14:AQ16 AQ18:AQ25 AQ27:AQ33">
    <cfRule type="cellIs" dxfId="18" priority="18" operator="lessThan">
      <formula>200</formula>
    </cfRule>
    <cfRule type="cellIs" dxfId="17" priority="19" operator="lessThan">
      <formula>125</formula>
    </cfRule>
  </conditionalFormatting>
  <conditionalFormatting sqref="AM2:AM7 AM9:AM12 AM14:AM16 AM18:AM25 AM27:AM33">
    <cfRule type="cellIs" dxfId="16" priority="17" operator="lessThan">
      <formula>0.003</formula>
    </cfRule>
  </conditionalFormatting>
  <conditionalFormatting sqref="AK2:AK5 AK29 AK32:AK33">
    <cfRule type="cellIs" dxfId="15" priority="16" operator="lessThan">
      <formula>0.1</formula>
    </cfRule>
  </conditionalFormatting>
  <conditionalFormatting sqref="AF1:AF34 AS1:AS7 AS9:AS12 AS14:AS16 AG13:AS13 AS18:AS25 AG17:AS17 AS27:AS33 AG26:AS26 AG34:AS34">
    <cfRule type="cellIs" dxfId="14" priority="15" operator="lessThan">
      <formula>10</formula>
    </cfRule>
  </conditionalFormatting>
  <conditionalFormatting sqref="AF1:AF8 AF15:AF17 AF23:AF24 AF27:AF34 AG17:AS17 AG34:AS34">
    <cfRule type="cellIs" dxfId="13" priority="13" operator="greaterThan">
      <formula>30</formula>
    </cfRule>
    <cfRule type="cellIs" dxfId="12" priority="14" operator="lessThan">
      <formula>15</formula>
    </cfRule>
  </conditionalFormatting>
  <conditionalFormatting sqref="AO2:AO7 AO9:AO12 AO14:AO16 AO18:AO25 AO27:AO33">
    <cfRule type="cellIs" dxfId="11" priority="12" operator="lessThan">
      <formula>20</formula>
    </cfRule>
  </conditionalFormatting>
  <conditionalFormatting sqref="AG1:AG7 AG9:AG12 AG14:AG16 AG18:AG25 AG27:AG33">
    <cfRule type="cellIs" dxfId="10" priority="10" operator="lessThan">
      <formula>0.1</formula>
    </cfRule>
    <cfRule type="cellIs" dxfId="9" priority="11" operator="greaterThan">
      <formula>0.2</formula>
    </cfRule>
  </conditionalFormatting>
  <conditionalFormatting sqref="BL52:BL56">
    <cfRule type="cellIs" dxfId="8" priority="9" operator="lessThan">
      <formula>24.111</formula>
    </cfRule>
  </conditionalFormatting>
  <conditionalFormatting sqref="BM52:BN56 BN58">
    <cfRule type="cellIs" dxfId="7" priority="8" operator="lessThan">
      <formula>0.17</formula>
    </cfRule>
  </conditionalFormatting>
  <conditionalFormatting sqref="BT52:BU52 BT53:BT56 BU53:BU57">
    <cfRule type="cellIs" dxfId="6" priority="7" operator="lessThan">
      <formula>0.0029</formula>
    </cfRule>
  </conditionalFormatting>
  <conditionalFormatting sqref="BV52:BV56">
    <cfRule type="cellIs" dxfId="5" priority="6" operator="lessThan">
      <formula>1.04</formula>
    </cfRule>
  </conditionalFormatting>
  <conditionalFormatting sqref="BW52:BW56">
    <cfRule type="cellIs" dxfId="4" priority="5" operator="lessThan">
      <formula>13.8</formula>
    </cfRule>
  </conditionalFormatting>
  <conditionalFormatting sqref="BX52:BX56">
    <cfRule type="cellIs" dxfId="3" priority="4" operator="lessThan">
      <formula>0.642857143</formula>
    </cfRule>
  </conditionalFormatting>
  <conditionalFormatting sqref="BZ52:BZ56">
    <cfRule type="cellIs" dxfId="2" priority="3" operator="lessThan">
      <formula>2</formula>
    </cfRule>
  </conditionalFormatting>
  <conditionalFormatting sqref="CA52:CA56">
    <cfRule type="cellIs" dxfId="1" priority="2" operator="lessThan">
      <formula>42.64285714</formula>
    </cfRule>
  </conditionalFormatting>
  <conditionalFormatting sqref="BY52:BY56">
    <cfRule type="cellIs" dxfId="0" priority="1" operator="lessThan">
      <formula>291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0C3C-1C12-4B7B-823F-24CABACF2A8D}">
  <dimension ref="A1:AA23"/>
  <sheetViews>
    <sheetView workbookViewId="0">
      <selection activeCell="R22" sqref="R22"/>
    </sheetView>
  </sheetViews>
  <sheetFormatPr defaultRowHeight="12.75" x14ac:dyDescent="0.2"/>
  <cols>
    <col min="3" max="3" width="0" hidden="1" customWidth="1"/>
    <col min="4" max="4" width="11.5703125" bestFit="1" customWidth="1"/>
    <col min="5" max="5" width="14.42578125" customWidth="1"/>
  </cols>
  <sheetData>
    <row r="1" spans="1:11" x14ac:dyDescent="0.2">
      <c r="A1" t="s">
        <v>214</v>
      </c>
      <c r="B1" t="s">
        <v>164</v>
      </c>
      <c r="C1" t="s">
        <v>23</v>
      </c>
      <c r="D1" t="s">
        <v>353</v>
      </c>
      <c r="E1" t="s">
        <v>351</v>
      </c>
      <c r="F1" t="s">
        <v>354</v>
      </c>
      <c r="G1" t="s">
        <v>352</v>
      </c>
    </row>
    <row r="2" spans="1:11" x14ac:dyDescent="0.2">
      <c r="A2" t="s">
        <v>193</v>
      </c>
      <c r="B2" t="s">
        <v>162</v>
      </c>
      <c r="C2">
        <v>1962.5</v>
      </c>
      <c r="D2">
        <v>2057.1428571428569</v>
      </c>
      <c r="E2">
        <v>925</v>
      </c>
      <c r="F2">
        <v>1233.3333333333333</v>
      </c>
      <c r="G2">
        <v>1699.9999999999998</v>
      </c>
    </row>
    <row r="3" spans="1:11" x14ac:dyDescent="0.2">
      <c r="A3" t="s">
        <v>185</v>
      </c>
      <c r="B3" t="s">
        <v>162</v>
      </c>
      <c r="C3">
        <v>106.375</v>
      </c>
      <c r="D3">
        <v>505.28571428571399</v>
      </c>
      <c r="E3">
        <v>117.75</v>
      </c>
      <c r="F3">
        <v>401.33333333333331</v>
      </c>
      <c r="G3">
        <v>465</v>
      </c>
      <c r="K3" t="s">
        <v>277</v>
      </c>
    </row>
    <row r="4" spans="1:11" x14ac:dyDescent="0.2">
      <c r="A4" t="s">
        <v>206</v>
      </c>
      <c r="B4" t="s">
        <v>162</v>
      </c>
      <c r="C4">
        <v>47.5</v>
      </c>
      <c r="D4">
        <v>80.285714285714292</v>
      </c>
      <c r="E4">
        <v>50.25</v>
      </c>
      <c r="F4">
        <v>14.333333333333334</v>
      </c>
      <c r="G4">
        <v>5</v>
      </c>
    </row>
    <row r="5" spans="1:11" x14ac:dyDescent="0.2">
      <c r="A5" t="s">
        <v>398</v>
      </c>
      <c r="B5" t="s">
        <v>162</v>
      </c>
      <c r="C5">
        <v>5</v>
      </c>
      <c r="D5">
        <v>68.571428571428555</v>
      </c>
      <c r="E5">
        <v>5</v>
      </c>
      <c r="F5">
        <v>20</v>
      </c>
      <c r="G5">
        <v>50</v>
      </c>
    </row>
    <row r="6" spans="1:11" x14ac:dyDescent="0.2">
      <c r="A6" t="s">
        <v>210</v>
      </c>
      <c r="B6" t="s">
        <v>162</v>
      </c>
      <c r="C6">
        <v>20.5</v>
      </c>
      <c r="D6">
        <v>38</v>
      </c>
      <c r="E6">
        <v>9.5</v>
      </c>
      <c r="F6">
        <v>9.3333333333333339</v>
      </c>
      <c r="G6">
        <v>19.5</v>
      </c>
    </row>
    <row r="7" spans="1:11" x14ac:dyDescent="0.2">
      <c r="A7" t="s">
        <v>202</v>
      </c>
      <c r="B7" t="s">
        <v>162</v>
      </c>
      <c r="C7">
        <v>1.75</v>
      </c>
      <c r="D7">
        <v>29.285714285714285</v>
      </c>
      <c r="E7">
        <v>2.75</v>
      </c>
      <c r="F7">
        <v>18.666666666666668</v>
      </c>
      <c r="G7">
        <v>22.5</v>
      </c>
    </row>
    <row r="8" spans="1:11" x14ac:dyDescent="0.2">
      <c r="A8" t="s">
        <v>203</v>
      </c>
      <c r="B8" t="s">
        <v>162</v>
      </c>
      <c r="C8">
        <v>0</v>
      </c>
      <c r="D8">
        <v>5.4285714285714288</v>
      </c>
      <c r="E8">
        <v>0</v>
      </c>
      <c r="F8">
        <v>0</v>
      </c>
      <c r="G8">
        <v>0</v>
      </c>
    </row>
    <row r="9" spans="1:11" x14ac:dyDescent="0.2">
      <c r="A9" t="s">
        <v>179</v>
      </c>
      <c r="B9" t="s">
        <v>162</v>
      </c>
      <c r="C9">
        <v>0.125</v>
      </c>
      <c r="D9">
        <v>2.8571428571428572</v>
      </c>
      <c r="E9">
        <v>0</v>
      </c>
      <c r="F9">
        <v>0</v>
      </c>
      <c r="G9">
        <v>2</v>
      </c>
    </row>
    <row r="10" spans="1:11" x14ac:dyDescent="0.2">
      <c r="A10" t="s">
        <v>211</v>
      </c>
      <c r="B10" t="s">
        <v>162</v>
      </c>
      <c r="C10">
        <v>1</v>
      </c>
      <c r="D10">
        <v>2.4285714285714284</v>
      </c>
      <c r="E10">
        <v>0</v>
      </c>
      <c r="F10">
        <v>0</v>
      </c>
      <c r="G10">
        <v>4</v>
      </c>
    </row>
    <row r="11" spans="1:11" x14ac:dyDescent="0.2">
      <c r="A11" t="s">
        <v>204</v>
      </c>
      <c r="B11" t="s">
        <v>162</v>
      </c>
      <c r="C11">
        <v>0</v>
      </c>
      <c r="D11">
        <v>2</v>
      </c>
      <c r="E11">
        <v>0</v>
      </c>
      <c r="F11">
        <v>0</v>
      </c>
      <c r="G11">
        <v>0</v>
      </c>
    </row>
    <row r="12" spans="1:11" x14ac:dyDescent="0.2">
      <c r="A12" t="s">
        <v>207</v>
      </c>
      <c r="B12" t="s">
        <v>162</v>
      </c>
      <c r="C12">
        <v>0.25</v>
      </c>
      <c r="D12">
        <v>1.8571428571428572</v>
      </c>
      <c r="E12">
        <v>0</v>
      </c>
      <c r="F12">
        <v>0</v>
      </c>
      <c r="G12">
        <v>0</v>
      </c>
    </row>
    <row r="13" spans="1:11" x14ac:dyDescent="0.2">
      <c r="A13" t="s">
        <v>176</v>
      </c>
      <c r="B13" t="s">
        <v>162</v>
      </c>
      <c r="C13">
        <v>0</v>
      </c>
      <c r="D13">
        <v>1.2857142857142858</v>
      </c>
      <c r="E13">
        <v>0</v>
      </c>
      <c r="F13">
        <v>0</v>
      </c>
      <c r="G13">
        <v>0</v>
      </c>
    </row>
    <row r="14" spans="1:11" x14ac:dyDescent="0.2">
      <c r="A14" t="s">
        <v>209</v>
      </c>
      <c r="B14" t="s">
        <v>162</v>
      </c>
      <c r="C14">
        <v>0</v>
      </c>
      <c r="D14">
        <v>0.8571428571428571</v>
      </c>
      <c r="E14">
        <v>0</v>
      </c>
      <c r="F14">
        <v>0</v>
      </c>
      <c r="G14">
        <v>1</v>
      </c>
    </row>
    <row r="15" spans="1:11" x14ac:dyDescent="0.2">
      <c r="A15" t="s">
        <v>177</v>
      </c>
      <c r="B15" t="s">
        <v>162</v>
      </c>
      <c r="C15">
        <v>0</v>
      </c>
      <c r="D15">
        <v>0.42857142857142855</v>
      </c>
      <c r="E15">
        <v>0</v>
      </c>
      <c r="F15">
        <v>0</v>
      </c>
      <c r="G15">
        <v>0</v>
      </c>
    </row>
    <row r="17" spans="11:27" x14ac:dyDescent="0.2">
      <c r="K17" t="s">
        <v>214</v>
      </c>
      <c r="L17" t="s">
        <v>210</v>
      </c>
      <c r="M17" t="s">
        <v>193</v>
      </c>
      <c r="N17" t="s">
        <v>193</v>
      </c>
      <c r="O17" t="s">
        <v>204</v>
      </c>
      <c r="P17" t="s">
        <v>207</v>
      </c>
      <c r="Q17" t="s">
        <v>203</v>
      </c>
      <c r="R17" t="s">
        <v>177</v>
      </c>
      <c r="S17" t="s">
        <v>209</v>
      </c>
      <c r="T17" t="s">
        <v>189</v>
      </c>
      <c r="U17" t="s">
        <v>398</v>
      </c>
      <c r="V17" t="s">
        <v>179</v>
      </c>
      <c r="W17" t="s">
        <v>202</v>
      </c>
      <c r="X17" t="s">
        <v>176</v>
      </c>
      <c r="Y17" t="s">
        <v>185</v>
      </c>
      <c r="Z17" t="s">
        <v>211</v>
      </c>
      <c r="AA17" t="s">
        <v>206</v>
      </c>
    </row>
    <row r="18" spans="11:27" x14ac:dyDescent="0.2">
      <c r="K18" t="s">
        <v>164</v>
      </c>
      <c r="L18" t="s">
        <v>162</v>
      </c>
      <c r="M18" t="s">
        <v>163</v>
      </c>
      <c r="N18" t="s">
        <v>162</v>
      </c>
      <c r="O18" t="s">
        <v>162</v>
      </c>
      <c r="P18" t="s">
        <v>162</v>
      </c>
      <c r="Q18" t="s">
        <v>162</v>
      </c>
      <c r="R18" t="s">
        <v>162</v>
      </c>
      <c r="S18" t="s">
        <v>162</v>
      </c>
      <c r="T18" t="s">
        <v>163</v>
      </c>
      <c r="U18" t="s">
        <v>162</v>
      </c>
      <c r="V18" t="s">
        <v>162</v>
      </c>
      <c r="W18" t="s">
        <v>162</v>
      </c>
      <c r="X18" t="s">
        <v>162</v>
      </c>
      <c r="Y18" t="s">
        <v>162</v>
      </c>
      <c r="Z18" t="s">
        <v>162</v>
      </c>
      <c r="AA18" t="s">
        <v>162</v>
      </c>
    </row>
    <row r="19" spans="11:27" x14ac:dyDescent="0.2">
      <c r="K19" t="s">
        <v>23</v>
      </c>
      <c r="L19">
        <v>20.5</v>
      </c>
      <c r="M19">
        <v>0.19625000000000001</v>
      </c>
      <c r="N19">
        <v>1962.5</v>
      </c>
      <c r="O19">
        <v>0</v>
      </c>
      <c r="P19">
        <v>0.25</v>
      </c>
      <c r="Q19">
        <v>0</v>
      </c>
      <c r="R19">
        <v>0</v>
      </c>
      <c r="S19">
        <v>0</v>
      </c>
      <c r="T19">
        <v>5.0000000000000001E-4</v>
      </c>
      <c r="U19">
        <v>5</v>
      </c>
      <c r="V19">
        <v>0.125</v>
      </c>
      <c r="W19">
        <v>1.75</v>
      </c>
      <c r="X19">
        <v>0</v>
      </c>
      <c r="Y19">
        <v>106.375</v>
      </c>
      <c r="Z19">
        <v>1</v>
      </c>
      <c r="AA19">
        <v>47.5</v>
      </c>
    </row>
    <row r="20" spans="11:27" x14ac:dyDescent="0.2">
      <c r="K20" t="s">
        <v>353</v>
      </c>
      <c r="L20">
        <v>38</v>
      </c>
      <c r="M20">
        <v>0.20571428571428568</v>
      </c>
      <c r="N20">
        <v>2057.1428571428569</v>
      </c>
      <c r="O20">
        <v>2</v>
      </c>
      <c r="P20">
        <v>1.8571428571428572</v>
      </c>
      <c r="Q20">
        <v>5.4285714285714288</v>
      </c>
      <c r="R20">
        <v>0.42857142857142855</v>
      </c>
      <c r="S20">
        <v>0.8571428571428571</v>
      </c>
      <c r="T20">
        <v>6.8571428571428559E-3</v>
      </c>
      <c r="U20">
        <v>68.571428571428555</v>
      </c>
      <c r="V20">
        <v>2.8571428571428572</v>
      </c>
      <c r="W20">
        <v>29.285714285714285</v>
      </c>
      <c r="X20">
        <v>1.2857142857142858</v>
      </c>
      <c r="Y20">
        <v>505.28571428571428</v>
      </c>
      <c r="Z20">
        <v>2.4285714285714284</v>
      </c>
      <c r="AA20">
        <v>80.285714285714292</v>
      </c>
    </row>
    <row r="21" spans="11:27" x14ac:dyDescent="0.2">
      <c r="K21" t="s">
        <v>351</v>
      </c>
      <c r="L21">
        <v>9.5</v>
      </c>
      <c r="M21">
        <v>9.2499999999999999E-2</v>
      </c>
      <c r="N21">
        <v>925</v>
      </c>
      <c r="O21">
        <v>0</v>
      </c>
      <c r="P21">
        <v>0</v>
      </c>
      <c r="Q21">
        <v>0</v>
      </c>
      <c r="R21">
        <v>0</v>
      </c>
      <c r="S21">
        <v>0</v>
      </c>
      <c r="T21">
        <v>5.0000000000000001E-4</v>
      </c>
      <c r="U21">
        <v>5</v>
      </c>
      <c r="V21">
        <v>0</v>
      </c>
      <c r="W21">
        <v>2.75</v>
      </c>
      <c r="X21">
        <v>0</v>
      </c>
      <c r="Y21">
        <v>117.75</v>
      </c>
      <c r="Z21">
        <v>0</v>
      </c>
      <c r="AA21">
        <v>50.25</v>
      </c>
    </row>
    <row r="22" spans="11:27" x14ac:dyDescent="0.2">
      <c r="K22" t="s">
        <v>354</v>
      </c>
      <c r="L22">
        <v>9.3333333333333339</v>
      </c>
      <c r="M22">
        <v>0.12333333333333334</v>
      </c>
      <c r="N22">
        <v>1233.3333333333333</v>
      </c>
      <c r="O22">
        <v>0</v>
      </c>
      <c r="P22">
        <v>0</v>
      </c>
      <c r="Q22">
        <v>0</v>
      </c>
      <c r="R22">
        <v>0</v>
      </c>
      <c r="S22">
        <v>0</v>
      </c>
      <c r="T22">
        <v>2E-3</v>
      </c>
      <c r="U22">
        <v>20</v>
      </c>
      <c r="V22">
        <v>0</v>
      </c>
      <c r="W22">
        <v>18.666666666666668</v>
      </c>
      <c r="X22">
        <v>0</v>
      </c>
      <c r="Y22">
        <v>401.33333333333331</v>
      </c>
      <c r="Z22">
        <v>0</v>
      </c>
      <c r="AA22">
        <v>14.333333333333334</v>
      </c>
    </row>
    <row r="23" spans="11:27" x14ac:dyDescent="0.2">
      <c r="K23" t="s">
        <v>352</v>
      </c>
      <c r="L23">
        <v>19.5</v>
      </c>
      <c r="M23">
        <v>0.16999999999999998</v>
      </c>
      <c r="N23">
        <v>1699.9999999999998</v>
      </c>
      <c r="O23">
        <v>0</v>
      </c>
      <c r="P23">
        <v>0</v>
      </c>
      <c r="Q23">
        <v>0</v>
      </c>
      <c r="R23">
        <v>0</v>
      </c>
      <c r="S23">
        <v>1</v>
      </c>
      <c r="T23">
        <v>5.0000000000000001E-3</v>
      </c>
      <c r="U23">
        <v>50</v>
      </c>
      <c r="V23">
        <v>2</v>
      </c>
      <c r="W23">
        <v>22.5</v>
      </c>
      <c r="X23">
        <v>0</v>
      </c>
      <c r="Y23">
        <v>465</v>
      </c>
      <c r="Z23">
        <v>4</v>
      </c>
      <c r="AA23">
        <v>5</v>
      </c>
    </row>
  </sheetData>
  <autoFilter ref="A1:AA1" xr:uid="{44EA6B66-62B5-4304-97AC-8D0FE6C986AF}">
    <sortState ref="A2:AA15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ClassificationDetails</vt:lpstr>
      <vt:lpstr>MineralAnalysis</vt:lpstr>
      <vt:lpstr>FieldData</vt:lpstr>
      <vt:lpstr>TraceElementAnalysis</vt:lpstr>
      <vt:lpstr>Sheet3</vt:lpstr>
      <vt:lpstr>ClassificationDetails!Print_Titles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Bernau</dc:creator>
  <cp:lastModifiedBy>Jeremiah Bernau</cp:lastModifiedBy>
  <dcterms:created xsi:type="dcterms:W3CDTF">2018-11-07T18:14:32Z</dcterms:created>
  <dcterms:modified xsi:type="dcterms:W3CDTF">2018-12-12T16:48:35Z</dcterms:modified>
</cp:coreProperties>
</file>