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ivengood\Dropbox (IVL)\Explorations\DanL\"/>
    </mc:Choice>
  </mc:AlternateContent>
  <xr:revisionPtr revIDLastSave="0" documentId="13_ncr:1_{6C84CD29-6F69-4668-AB3B-F4833A81297F}" xr6:coauthVersionLast="45" xr6:coauthVersionMax="45" xr10:uidLastSave="{00000000-0000-0000-0000-000000000000}"/>
  <bookViews>
    <workbookView xWindow="-120" yWindow="-120" windowWidth="57840" windowHeight="23640" xr2:uid="{4F2B8826-FCAD-4655-BFDE-6C7BDB7AF8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9" i="1" l="1"/>
  <c r="V19" i="1" s="1"/>
  <c r="AI19" i="1" s="1"/>
  <c r="J19" i="1"/>
  <c r="J20" i="1" s="1"/>
  <c r="K18" i="1"/>
  <c r="X18" i="1" s="1"/>
  <c r="J18" i="1"/>
  <c r="Y20" i="1"/>
  <c r="T20" i="1"/>
  <c r="S20" i="1"/>
  <c r="R20" i="1"/>
  <c r="Q20" i="1"/>
  <c r="P20" i="1"/>
  <c r="O20" i="1"/>
  <c r="N20" i="1"/>
  <c r="I20" i="1"/>
  <c r="H20" i="1"/>
  <c r="G20" i="1"/>
  <c r="AE19" i="1"/>
  <c r="AA19" i="1"/>
  <c r="X19" i="1"/>
  <c r="AE18" i="1"/>
  <c r="AA18" i="1"/>
  <c r="W18" i="1"/>
  <c r="U18" i="1"/>
  <c r="AH18" i="1" s="1"/>
  <c r="AE20" i="1" l="1"/>
  <c r="M19" i="1"/>
  <c r="AG19" i="1" s="1"/>
  <c r="W20" i="1"/>
  <c r="U20" i="1"/>
  <c r="AH20" i="1" s="1"/>
  <c r="M18" i="1"/>
  <c r="AF18" i="1" s="1"/>
  <c r="V18" i="1"/>
  <c r="AI18" i="1" s="1"/>
  <c r="K20" i="1"/>
  <c r="W19" i="1"/>
  <c r="U19" i="1"/>
  <c r="AH19" i="1" s="1"/>
  <c r="AA20" i="1"/>
  <c r="S16" i="1"/>
  <c r="Y16" i="1"/>
  <c r="T16" i="1"/>
  <c r="R16" i="1"/>
  <c r="P16" i="1"/>
  <c r="O16" i="1"/>
  <c r="N16" i="1"/>
  <c r="G16" i="1"/>
  <c r="K16" i="1"/>
  <c r="I16" i="1"/>
  <c r="H16" i="1"/>
  <c r="U15" i="1"/>
  <c r="J16" i="1"/>
  <c r="X16" i="1" l="1"/>
  <c r="AF19" i="1"/>
  <c r="AF20" i="1" s="1"/>
  <c r="AG18" i="1"/>
  <c r="M20" i="1"/>
  <c r="AG20" i="1" s="1"/>
  <c r="V20" i="1"/>
  <c r="AI20" i="1" s="1"/>
  <c r="X20" i="1"/>
  <c r="V16" i="1"/>
  <c r="AI16" i="1" s="1"/>
  <c r="Q16" i="1"/>
  <c r="U16" i="1" s="1"/>
  <c r="AJ20" i="1" l="1"/>
  <c r="AJ19" i="1" s="1"/>
  <c r="AK20" i="1"/>
  <c r="AN20" i="1" s="1"/>
  <c r="AJ18" i="1"/>
  <c r="AH16" i="1"/>
  <c r="W16" i="1"/>
  <c r="AA16" i="1"/>
  <c r="M15" i="1"/>
  <c r="M14" i="1"/>
  <c r="M12" i="1"/>
  <c r="M11" i="1"/>
  <c r="M9" i="1"/>
  <c r="M8" i="1"/>
  <c r="AE12" i="1"/>
  <c r="AA12" i="1"/>
  <c r="X12" i="1"/>
  <c r="W12" i="1"/>
  <c r="V12" i="1"/>
  <c r="AI12" i="1" s="1"/>
  <c r="U12" i="1"/>
  <c r="AH12" i="1" s="1"/>
  <c r="AE11" i="1"/>
  <c r="X11" i="1"/>
  <c r="W11" i="1"/>
  <c r="V11" i="1"/>
  <c r="AI11" i="1" s="1"/>
  <c r="U11" i="1"/>
  <c r="AH11" i="1" s="1"/>
  <c r="AE15" i="1"/>
  <c r="AA15" i="1"/>
  <c r="X15" i="1"/>
  <c r="W15" i="1"/>
  <c r="V15" i="1"/>
  <c r="AI15" i="1" s="1"/>
  <c r="AH15" i="1"/>
  <c r="AE14" i="1"/>
  <c r="AA14" i="1"/>
  <c r="X14" i="1"/>
  <c r="W14" i="1"/>
  <c r="V14" i="1"/>
  <c r="AI14" i="1" s="1"/>
  <c r="U14" i="1"/>
  <c r="AH14" i="1" s="1"/>
  <c r="AJ21" i="1" l="1"/>
  <c r="AL20" i="1"/>
  <c r="AL18" i="1" s="1"/>
  <c r="AG12" i="1"/>
  <c r="AK18" i="1"/>
  <c r="AN18" i="1" s="1"/>
  <c r="AK19" i="1"/>
  <c r="AN19" i="1" s="1"/>
  <c r="AM20" i="1"/>
  <c r="AM19" i="1" s="1"/>
  <c r="AE16" i="1"/>
  <c r="AG11" i="1"/>
  <c r="AG14" i="1"/>
  <c r="M16" i="1"/>
  <c r="AG15" i="1"/>
  <c r="AF15" i="1"/>
  <c r="AF12" i="1"/>
  <c r="AJ12" i="1" s="1"/>
  <c r="AL12" i="1" s="1"/>
  <c r="AF11" i="1"/>
  <c r="AJ11" i="1" s="1"/>
  <c r="AL11" i="1" s="1"/>
  <c r="AF14" i="1"/>
  <c r="AM18" i="1" l="1"/>
  <c r="AL19" i="1"/>
  <c r="AG16" i="1"/>
  <c r="AK11" i="1"/>
  <c r="AM11" i="1" s="1"/>
  <c r="AF16" i="1"/>
  <c r="AJ16" i="1" s="1"/>
  <c r="AK12" i="1"/>
  <c r="AM12" i="1" s="1"/>
  <c r="W8" i="1"/>
  <c r="U8" i="1"/>
  <c r="AH8" i="1" s="1"/>
  <c r="AA9" i="1"/>
  <c r="AA8" i="1"/>
  <c r="AA6" i="1"/>
  <c r="AJ8" i="1" l="1"/>
  <c r="AJ14" i="1"/>
  <c r="AJ17" i="1"/>
  <c r="AN12" i="1"/>
  <c r="AN11" i="1"/>
  <c r="AK16" i="1"/>
  <c r="AL16" i="1"/>
  <c r="AL15" i="1" s="1"/>
  <c r="AJ15" i="1"/>
  <c r="X9" i="1"/>
  <c r="W9" i="1"/>
  <c r="X8" i="1"/>
  <c r="V9" i="1"/>
  <c r="AI9" i="1" s="1"/>
  <c r="U9" i="1"/>
  <c r="AH9" i="1" s="1"/>
  <c r="V8" i="1"/>
  <c r="AI8" i="1" s="1"/>
  <c r="J5" i="1"/>
  <c r="K6" i="1"/>
  <c r="X6" i="1" s="1"/>
  <c r="J6" i="1"/>
  <c r="K5" i="1"/>
  <c r="X5" i="1" s="1"/>
  <c r="AE9" i="1"/>
  <c r="AF9" i="1" s="1"/>
  <c r="AJ9" i="1" s="1"/>
  <c r="AE8" i="1"/>
  <c r="AF8" i="1" s="1"/>
  <c r="AE6" i="1"/>
  <c r="AE5" i="1"/>
  <c r="V5" i="1" l="1"/>
  <c r="AI5" i="1" s="1"/>
  <c r="AL8" i="1"/>
  <c r="AK15" i="1"/>
  <c r="AN15" i="1" s="1"/>
  <c r="AK14" i="1"/>
  <c r="AN14" i="1" s="1"/>
  <c r="AM16" i="1"/>
  <c r="AL14" i="1"/>
  <c r="AN16" i="1"/>
  <c r="M6" i="1"/>
  <c r="AG6" i="1" s="1"/>
  <c r="AG9" i="1"/>
  <c r="AL9" i="1"/>
  <c r="AK9" i="1"/>
  <c r="AG8" i="1"/>
  <c r="W5" i="1"/>
  <c r="M5" i="1"/>
  <c r="AG5" i="1" s="1"/>
  <c r="V6" i="1"/>
  <c r="AI6" i="1" s="1"/>
  <c r="U6" i="1"/>
  <c r="AH6" i="1" s="1"/>
  <c r="W6" i="1"/>
  <c r="U5" i="1"/>
  <c r="AH5" i="1" s="1"/>
  <c r="AK8" i="1" l="1"/>
  <c r="AM8" i="1" s="1"/>
  <c r="AF5" i="1"/>
  <c r="AM14" i="1"/>
  <c r="AM15" i="1"/>
  <c r="AN9" i="1"/>
  <c r="AM9" i="1"/>
  <c r="AF6" i="1"/>
  <c r="AJ6" i="1" s="1"/>
  <c r="AN8" i="1" l="1"/>
  <c r="AJ5" i="1"/>
  <c r="AK5" i="1" s="1"/>
  <c r="AM5" i="1" s="1"/>
  <c r="AL6" i="1"/>
  <c r="AK6" i="1"/>
  <c r="AM6" i="1" s="1"/>
  <c r="AL5" i="1" l="1"/>
  <c r="AN5" i="1"/>
  <c r="AN6" i="1"/>
</calcChain>
</file>

<file path=xl/sharedStrings.xml><?xml version="1.0" encoding="utf-8"?>
<sst xmlns="http://schemas.openxmlformats.org/spreadsheetml/2006/main" count="176" uniqueCount="86">
  <si>
    <t>Atlantic</t>
  </si>
  <si>
    <t>Pacific</t>
  </si>
  <si>
    <t>Renewables</t>
  </si>
  <si>
    <t>Test 1</t>
  </si>
  <si>
    <t>Future Scenario</t>
  </si>
  <si>
    <t>Previous Case</t>
  </si>
  <si>
    <t>Output Calculations</t>
  </si>
  <si>
    <t>Test 2</t>
  </si>
  <si>
    <t>Clean</t>
  </si>
  <si>
    <t>Geothermal Capacity (MW)</t>
  </si>
  <si>
    <t>Nuclear Capacity (MW)</t>
  </si>
  <si>
    <t>Solar Capacity (MW)</t>
  </si>
  <si>
    <t>Wind Capacity (MW)</t>
  </si>
  <si>
    <t>Next Case Solar Capacity (MW)</t>
  </si>
  <si>
    <t>Next Case Wind Capacity (MW)</t>
  </si>
  <si>
    <t>Includes</t>
  </si>
  <si>
    <t>Does not Include</t>
  </si>
  <si>
    <t>Geothermal, Solar, Wind</t>
  </si>
  <si>
    <t>Nuclear</t>
  </si>
  <si>
    <t>Hydro, Nuclear</t>
  </si>
  <si>
    <t>Geothermal, Hydro, Solar, Wind</t>
  </si>
  <si>
    <t>Geothermal, Hydro, Nuclear, Solar, Wind</t>
  </si>
  <si>
    <t>Reaching Target Independently or Collaboratively</t>
  </si>
  <si>
    <t>Independently</t>
  </si>
  <si>
    <t>Hydro Capacity (MW)</t>
  </si>
  <si>
    <t>Geothermal Gen (GWh)</t>
  </si>
  <si>
    <t>Hydro Gen (GWh)</t>
  </si>
  <si>
    <t>Nuclear Gen (GWh)</t>
  </si>
  <si>
    <t>Solar Gen (GWh)</t>
  </si>
  <si>
    <t>Wind Gen (GWh)</t>
  </si>
  <si>
    <t>Inputs from Previous Simulation</t>
  </si>
  <si>
    <t>Calculations internal to these objects</t>
  </si>
  <si>
    <t>Outputs of interest</t>
  </si>
  <si>
    <t>Calculatable Clean Gen Stats</t>
  </si>
  <si>
    <t>Inputs from External Sources</t>
  </si>
  <si>
    <t>Next Expected Solar Capacity Factor [0,100%]</t>
  </si>
  <si>
    <t>Next Expected Wind Capacity Factor [0,100%]</t>
  </si>
  <si>
    <t>Solar Percentage of Added Capacity [0,100%]</t>
  </si>
  <si>
    <t>Expected Additional Wind Curtailment [0,100%]</t>
  </si>
  <si>
    <t>Expected Additional Solar Curtailment [0,100%]</t>
  </si>
  <si>
    <t>NO CONGESTION Solar Capacity Factor [0,100%]</t>
  </si>
  <si>
    <t>NO CONGESTION Wind Capacity Factor [0,100%]</t>
  </si>
  <si>
    <t>Next Case Solar Capacity To Be Added (MW)</t>
  </si>
  <si>
    <t>Next Case Wind Capacity To Be Added (MW)</t>
  </si>
  <si>
    <t>Clean Energy (CE) Target</t>
  </si>
  <si>
    <t>CE_Percentage [0, 100%]</t>
  </si>
  <si>
    <t>CE_Type</t>
  </si>
  <si>
    <t>Test 3</t>
  </si>
  <si>
    <t>Collaboratively</t>
  </si>
  <si>
    <t>Externally Calculated CE_Total Gen (if any)</t>
  </si>
  <si>
    <t>Test 4</t>
  </si>
  <si>
    <t>Previous Case's CE-eligible Gen</t>
  </si>
  <si>
    <t>prev_sim's Solar Capacity Factor [0,100%]</t>
  </si>
  <si>
    <t>prev_sim's Wind Capacity Factor [0,100%]</t>
  </si>
  <si>
    <t>prev_sim's Solar Curtailment [0,100%]</t>
  </si>
  <si>
    <t>prev_sim's Wind Curtailment [0,100%]</t>
  </si>
  <si>
    <t>System 1</t>
  </si>
  <si>
    <t>System 2</t>
  </si>
  <si>
    <t>System 3</t>
  </si>
  <si>
    <t>System 4</t>
  </si>
  <si>
    <t>CE Target Gen (MWh)</t>
  </si>
  <si>
    <t>CE Shortfall</t>
  </si>
  <si>
    <t>CE Overgeneration</t>
  </si>
  <si>
    <t>Test 5</t>
  </si>
  <si>
    <t>Test 6</t>
  </si>
  <si>
    <t>COLLABORATIVE</t>
  </si>
  <si>
    <t>HARD CODED TEST CASES BELOW!  DO NOT CHANGE!!!</t>
  </si>
  <si>
    <t>Test cases needed</t>
  </si>
  <si>
    <t>Test 1: the base functions along with Additional Solar Curtailment</t>
  </si>
  <si>
    <t>Test 2: Base functions and change in types of allowed clean energy</t>
  </si>
  <si>
    <t>Test 4: Clean energy and curtailed wind and solar</t>
  </si>
  <si>
    <t>Test 3: Curtailed wind and solar</t>
  </si>
  <si>
    <t>Collaborative with curtailment (revisit old code - any tweaks?)</t>
  </si>
  <si>
    <t>Test 7</t>
  </si>
  <si>
    <t>Test 6: Externally Calculated CE target</t>
  </si>
  <si>
    <t>Test 7: Meet goals with only wind</t>
  </si>
  <si>
    <t>Test 8</t>
  </si>
  <si>
    <t>Test 9</t>
  </si>
  <si>
    <t>Test 8: Meet goals with 75% capacity as solar</t>
  </si>
  <si>
    <t>Test 9: Meet goals with only solar</t>
  </si>
  <si>
    <t>Test 10</t>
  </si>
  <si>
    <t>Test 10: Explicitly including wind curtailment in the test of 75% added capacity as solar</t>
  </si>
  <si>
    <t>System 5</t>
  </si>
  <si>
    <t>Total Demand (GWh) (Currenly 1% growth per year relative to 2016)</t>
  </si>
  <si>
    <t>https://www.ncsl.org/research/energy/renewable-portfolio-standards.aspx</t>
  </si>
  <si>
    <t>DanL will create a csv of these targets by end of day Tuesday Feb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</si>
</sst>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%"/>
    <numFmt numFmtId="165" formatCode="#,##0.00000"/>
    <numFmt numFmtId="166" formatCode="#,##0.000"/>
    <numFmt numFmtId="167" formatCode="0.00000%"/>
    <numFmt numFmtId="168" formatCode="0.00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/>
    <xf numFmtId="9" fontId="0" fillId="0" borderId="0" xfId="1" applyFont="1"/>
    <xf numFmtId="3" fontId="0" fillId="0" borderId="1" xfId="0" applyNumberFormat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3" fontId="0" fillId="3" borderId="0" xfId="0" applyNumberFormat="1" applyFill="1"/>
    <xf numFmtId="0" fontId="0" fillId="5" borderId="0" xfId="0" applyFill="1" applyAlignment="1">
      <alignment wrapText="1"/>
    </xf>
    <xf numFmtId="9" fontId="0" fillId="5" borderId="0" xfId="1" applyFont="1" applyFill="1"/>
    <xf numFmtId="3" fontId="0" fillId="5" borderId="1" xfId="0" applyNumberFormat="1" applyFill="1" applyBorder="1"/>
    <xf numFmtId="10" fontId="0" fillId="3" borderId="0" xfId="1" applyNumberFormat="1" applyFont="1" applyFill="1" applyBorder="1"/>
    <xf numFmtId="164" fontId="2" fillId="3" borderId="0" xfId="1" applyNumberFormat="1" applyFont="1" applyFill="1" applyBorder="1"/>
    <xf numFmtId="165" fontId="0" fillId="3" borderId="0" xfId="0" applyNumberFormat="1" applyFill="1"/>
    <xf numFmtId="0" fontId="0" fillId="0" borderId="0" xfId="0" applyAlignment="1">
      <alignment horizontal="center" vertical="center"/>
    </xf>
    <xf numFmtId="165" fontId="0" fillId="7" borderId="0" xfId="0" applyNumberFormat="1" applyFill="1"/>
    <xf numFmtId="165" fontId="0" fillId="0" borderId="0" xfId="0" applyNumberFormat="1"/>
    <xf numFmtId="165" fontId="0" fillId="0" borderId="0" xfId="0" applyNumberFormat="1" applyFill="1"/>
    <xf numFmtId="164" fontId="0" fillId="0" borderId="0" xfId="0" applyNumberFormat="1"/>
    <xf numFmtId="166" fontId="0" fillId="3" borderId="0" xfId="0" applyNumberFormat="1" applyFill="1"/>
    <xf numFmtId="166" fontId="0" fillId="0" borderId="0" xfId="0" applyNumberFormat="1"/>
    <xf numFmtId="167" fontId="0" fillId="5" borderId="0" xfId="1" applyNumberFormat="1" applyFont="1" applyFill="1" applyBorder="1"/>
    <xf numFmtId="167" fontId="0" fillId="0" borderId="0" xfId="0" applyNumberFormat="1" applyFill="1"/>
    <xf numFmtId="165" fontId="0" fillId="4" borderId="1" xfId="0" applyNumberFormat="1" applyFill="1" applyBorder="1"/>
    <xf numFmtId="165" fontId="0" fillId="4" borderId="0" xfId="0" applyNumberFormat="1" applyFill="1"/>
    <xf numFmtId="165" fontId="0" fillId="5" borderId="0" xfId="0" applyNumberFormat="1" applyFill="1"/>
    <xf numFmtId="165" fontId="0" fillId="0" borderId="1" xfId="0" applyNumberFormat="1" applyBorder="1"/>
    <xf numFmtId="164" fontId="0" fillId="4" borderId="0" xfId="1" applyNumberFormat="1" applyFont="1" applyFill="1"/>
    <xf numFmtId="164" fontId="0" fillId="3" borderId="1" xfId="1" applyNumberFormat="1" applyFont="1" applyFill="1" applyBorder="1"/>
    <xf numFmtId="164" fontId="0" fillId="3" borderId="0" xfId="1" applyNumberFormat="1" applyFont="1" applyFill="1" applyBorder="1"/>
    <xf numFmtId="164" fontId="0" fillId="3" borderId="0" xfId="1" applyNumberFormat="1" applyFont="1" applyFill="1"/>
    <xf numFmtId="164" fontId="0" fillId="0" borderId="0" xfId="1" applyNumberFormat="1" applyFont="1"/>
    <xf numFmtId="164" fontId="0" fillId="0" borderId="1" xfId="1" applyNumberFormat="1" applyFont="1" applyBorder="1"/>
    <xf numFmtId="164" fontId="0" fillId="0" borderId="0" xfId="1" applyNumberFormat="1" applyFont="1" applyFill="1"/>
    <xf numFmtId="0" fontId="0" fillId="0" borderId="0" xfId="0" applyAlignment="1">
      <alignment horizontal="center" vertical="center"/>
    </xf>
    <xf numFmtId="168" fontId="0" fillId="3" borderId="1" xfId="1" applyNumberFormat="1" applyFont="1" applyFill="1" applyBorder="1"/>
    <xf numFmtId="168" fontId="0" fillId="3" borderId="0" xfId="1" applyNumberFormat="1" applyFont="1" applyFill="1" applyBorder="1"/>
    <xf numFmtId="168" fontId="0" fillId="3" borderId="0" xfId="1" applyNumberFormat="1" applyFont="1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csl.org/research/energy/renewable-portfolio-standard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0A22F-D3CD-4B25-A328-36ED12ECEA24}">
  <dimension ref="A1:AT66"/>
  <sheetViews>
    <sheetView tabSelected="1" zoomScale="90" zoomScaleNormal="90" workbookViewId="0">
      <pane xSplit="3" ySplit="4" topLeftCell="D5" activePane="bottomRight" state="frozen"/>
      <selection pane="topRight" activeCell="D1" sqref="D1"/>
      <selection pane="bottomLeft" activeCell="A3" sqref="A3"/>
      <selection pane="bottomRight" activeCell="C4" sqref="C4"/>
    </sheetView>
  </sheetViews>
  <sheetFormatPr defaultRowHeight="15" x14ac:dyDescent="0.25"/>
  <cols>
    <col min="3" max="3" width="14.7109375" customWidth="1"/>
    <col min="4" max="4" width="16.42578125" customWidth="1"/>
    <col min="5" max="5" width="25" style="2" customWidth="1"/>
    <col min="6" max="6" width="16.42578125" customWidth="1"/>
    <col min="7" max="7" width="13.85546875" style="8" customWidth="1"/>
    <col min="8" max="8" width="13" customWidth="1"/>
    <col min="9" max="9" width="14.42578125" customWidth="1"/>
    <col min="10" max="10" width="15.140625" customWidth="1"/>
    <col min="11" max="11" width="13.85546875" customWidth="1"/>
    <col min="12" max="12" width="19.85546875" customWidth="1"/>
    <col min="13" max="13" width="16" customWidth="1"/>
    <col min="14" max="20" width="16.7109375" customWidth="1"/>
    <col min="21" max="21" width="16.7109375" style="8" customWidth="1"/>
    <col min="22" max="24" width="16.7109375" customWidth="1"/>
    <col min="25" max="25" width="23" style="8" customWidth="1"/>
    <col min="26" max="28" width="20.85546875" customWidth="1"/>
    <col min="29" max="29" width="20.5703125" customWidth="1"/>
    <col min="30" max="30" width="9.140625" style="4"/>
    <col min="31" max="31" width="13.42578125" customWidth="1"/>
    <col min="32" max="37" width="17.28515625" customWidth="1"/>
    <col min="38" max="38" width="15.7109375" customWidth="1"/>
    <col min="39" max="39" width="16" customWidth="1"/>
    <col min="40" max="40" width="16.7109375" customWidth="1"/>
  </cols>
  <sheetData>
    <row r="1" spans="1:46" x14ac:dyDescent="0.25">
      <c r="C1" s="51" t="s">
        <v>44</v>
      </c>
      <c r="D1" s="51"/>
      <c r="E1" s="51"/>
      <c r="F1" s="51"/>
      <c r="G1" s="51" t="s">
        <v>5</v>
      </c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 t="s">
        <v>33</v>
      </c>
      <c r="V1" s="51"/>
      <c r="W1" s="51"/>
      <c r="X1" s="51"/>
      <c r="Y1" s="51" t="s">
        <v>4</v>
      </c>
      <c r="Z1" s="51"/>
      <c r="AA1" s="51"/>
      <c r="AB1" s="51"/>
      <c r="AC1" s="51"/>
      <c r="AE1" s="50" t="s">
        <v>6</v>
      </c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</row>
    <row r="2" spans="1:46" x14ac:dyDescent="0.25">
      <c r="C2" s="52" t="s">
        <v>84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</row>
    <row r="3" spans="1:46" x14ac:dyDescent="0.25">
      <c r="C3" t="s">
        <v>85</v>
      </c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</row>
    <row r="4" spans="1:46" ht="45" x14ac:dyDescent="0.25">
      <c r="A4" s="2"/>
      <c r="B4" s="2"/>
      <c r="C4" s="3" t="s">
        <v>45</v>
      </c>
      <c r="D4" s="3" t="s">
        <v>46</v>
      </c>
      <c r="E4" s="3" t="s">
        <v>15</v>
      </c>
      <c r="F4" s="3" t="s">
        <v>16</v>
      </c>
      <c r="G4" s="7" t="s">
        <v>25</v>
      </c>
      <c r="H4" s="3" t="s">
        <v>26</v>
      </c>
      <c r="I4" s="3" t="s">
        <v>27</v>
      </c>
      <c r="J4" s="3" t="s">
        <v>28</v>
      </c>
      <c r="K4" s="3" t="s">
        <v>29</v>
      </c>
      <c r="L4" s="3" t="s">
        <v>49</v>
      </c>
      <c r="M4" s="3" t="s">
        <v>51</v>
      </c>
      <c r="N4" s="3" t="s">
        <v>9</v>
      </c>
      <c r="O4" s="3" t="s">
        <v>24</v>
      </c>
      <c r="P4" s="3" t="s">
        <v>10</v>
      </c>
      <c r="Q4" s="3" t="s">
        <v>11</v>
      </c>
      <c r="R4" s="3" t="s">
        <v>12</v>
      </c>
      <c r="S4" s="3" t="s">
        <v>40</v>
      </c>
      <c r="T4" s="3" t="s">
        <v>41</v>
      </c>
      <c r="U4" s="7" t="s">
        <v>52</v>
      </c>
      <c r="V4" s="3" t="s">
        <v>53</v>
      </c>
      <c r="W4" s="3" t="s">
        <v>54</v>
      </c>
      <c r="X4" s="3" t="s">
        <v>55</v>
      </c>
      <c r="Y4" s="7" t="s">
        <v>83</v>
      </c>
      <c r="Z4" s="3" t="s">
        <v>22</v>
      </c>
      <c r="AA4" s="3" t="s">
        <v>37</v>
      </c>
      <c r="AB4" s="3" t="s">
        <v>39</v>
      </c>
      <c r="AC4" s="3" t="s">
        <v>38</v>
      </c>
      <c r="AD4" s="5"/>
      <c r="AE4" s="3" t="s">
        <v>60</v>
      </c>
      <c r="AF4" s="3" t="s">
        <v>61</v>
      </c>
      <c r="AG4" s="3" t="s">
        <v>62</v>
      </c>
      <c r="AH4" s="3" t="s">
        <v>35</v>
      </c>
      <c r="AI4" s="3" t="s">
        <v>36</v>
      </c>
      <c r="AJ4" s="3" t="s">
        <v>42</v>
      </c>
      <c r="AK4" s="3" t="s">
        <v>43</v>
      </c>
      <c r="AL4" s="3" t="s">
        <v>13</v>
      </c>
      <c r="AM4" s="3" t="s">
        <v>14</v>
      </c>
      <c r="AO4" s="1"/>
      <c r="AP4" s="1"/>
      <c r="AQ4" s="1"/>
    </row>
    <row r="5" spans="1:46" s="2" customFormat="1" x14ac:dyDescent="0.25">
      <c r="A5" s="48" t="s">
        <v>56</v>
      </c>
      <c r="B5" t="s">
        <v>1</v>
      </c>
      <c r="C5" s="17">
        <v>0.25</v>
      </c>
      <c r="D5" s="13" t="s">
        <v>2</v>
      </c>
      <c r="E5" s="16" t="s">
        <v>17</v>
      </c>
      <c r="F5" s="16" t="s">
        <v>19</v>
      </c>
      <c r="G5" s="31">
        <v>8000</v>
      </c>
      <c r="H5" s="32">
        <v>7000</v>
      </c>
      <c r="I5" s="32">
        <v>6000</v>
      </c>
      <c r="J5" s="32">
        <f>Q5*8784/1000*S5</f>
        <v>8125.2</v>
      </c>
      <c r="K5" s="32">
        <f>R5*8784/1000*T5</f>
        <v>12648.960000000001</v>
      </c>
      <c r="L5" s="33"/>
      <c r="M5" s="21">
        <f>MAX(L5,G5+J5+K5)</f>
        <v>28774.160000000003</v>
      </c>
      <c r="N5" s="32">
        <v>4000</v>
      </c>
      <c r="O5" s="32">
        <v>3900</v>
      </c>
      <c r="P5" s="32">
        <v>3800</v>
      </c>
      <c r="Q5" s="32">
        <v>3700</v>
      </c>
      <c r="R5" s="32">
        <v>3600</v>
      </c>
      <c r="S5" s="35">
        <v>0.25</v>
      </c>
      <c r="T5" s="35">
        <v>0.4</v>
      </c>
      <c r="U5" s="36">
        <f>J5/8784*1000/Q5</f>
        <v>0.24999999999999997</v>
      </c>
      <c r="V5" s="37">
        <f>K5/8784*1000/R5</f>
        <v>0.40000000000000008</v>
      </c>
      <c r="W5" s="38">
        <f>(Q5*8784/1000*S5-J5)/(Q5*8784/1000*S5)</f>
        <v>0</v>
      </c>
      <c r="X5" s="38">
        <f t="shared" ref="X5:X6" si="0">(R5*8784/1000*T5-K5)/(R5*8784/1000*T5)</f>
        <v>0</v>
      </c>
      <c r="Y5" s="18">
        <v>200000</v>
      </c>
      <c r="Z5" s="13" t="s">
        <v>23</v>
      </c>
      <c r="AA5" s="29">
        <v>0.75</v>
      </c>
      <c r="AB5" s="29">
        <v>0.4</v>
      </c>
      <c r="AC5" s="29">
        <v>0</v>
      </c>
      <c r="AD5" s="6"/>
      <c r="AE5" s="27">
        <f>C5*Y5</f>
        <v>50000</v>
      </c>
      <c r="AF5" s="27">
        <f>MAX(0,AE5-M5)</f>
        <v>21225.839999999997</v>
      </c>
      <c r="AG5" s="15">
        <f>MAX(0,M5-AE5)</f>
        <v>0</v>
      </c>
      <c r="AH5" s="20">
        <f>U5*(1-AB5)</f>
        <v>0.14999999999999997</v>
      </c>
      <c r="AI5" s="20">
        <f>V5*(1-AC5)</f>
        <v>0.40000000000000008</v>
      </c>
      <c r="AJ5" s="21">
        <f>IF(AA5=0,0,AF5/(8784/1000*(AH5+AI5*((1-AA5)/AA5))))</f>
        <v>8528.5438765670169</v>
      </c>
      <c r="AK5" s="21">
        <f>IF(AA5=0,1000*AF5/8784/AI5,((1-AA5)/AA5)*AJ5)</f>
        <v>2842.847958855672</v>
      </c>
      <c r="AL5" s="23">
        <f>Q5+AJ5</f>
        <v>12228.543876567017</v>
      </c>
      <c r="AM5" s="23">
        <f>R5+AK5</f>
        <v>6442.847958855672</v>
      </c>
      <c r="AN5" s="19">
        <f>AJ5/(AJ5+AK5)</f>
        <v>0.75000000000000011</v>
      </c>
      <c r="AO5" s="3"/>
      <c r="AP5" s="3"/>
      <c r="AQ5" s="3"/>
    </row>
    <row r="6" spans="1:46" ht="30" x14ac:dyDescent="0.25">
      <c r="A6" s="48"/>
      <c r="B6" t="s">
        <v>0</v>
      </c>
      <c r="C6" s="17">
        <v>0.3</v>
      </c>
      <c r="D6" s="13" t="s">
        <v>2</v>
      </c>
      <c r="E6" s="16" t="s">
        <v>20</v>
      </c>
      <c r="F6" s="16" t="s">
        <v>18</v>
      </c>
      <c r="G6" s="31">
        <v>8500</v>
      </c>
      <c r="H6" s="32">
        <v>7500</v>
      </c>
      <c r="I6" s="32">
        <v>6500</v>
      </c>
      <c r="J6" s="32">
        <f t="shared" ref="J6" si="1">Q6*8784/1000*S6</f>
        <v>11067.84</v>
      </c>
      <c r="K6" s="32">
        <f>R6*8784/1000*T6</f>
        <v>12605.039999999999</v>
      </c>
      <c r="L6" s="33"/>
      <c r="M6" s="21">
        <f>MAX(L6,G6+J6+K6+H6)</f>
        <v>39672.879999999997</v>
      </c>
      <c r="N6" s="32">
        <v>4500</v>
      </c>
      <c r="O6" s="32">
        <v>4400</v>
      </c>
      <c r="P6" s="32">
        <v>4300</v>
      </c>
      <c r="Q6" s="32">
        <v>4200</v>
      </c>
      <c r="R6" s="32">
        <v>4100</v>
      </c>
      <c r="S6" s="35">
        <v>0.3</v>
      </c>
      <c r="T6" s="35">
        <v>0.35</v>
      </c>
      <c r="U6" s="36">
        <f>J6/8784*1000/Q6</f>
        <v>0.3</v>
      </c>
      <c r="V6" s="37">
        <f>K6/8784*1000/R6</f>
        <v>0.34999999999999992</v>
      </c>
      <c r="W6" s="38">
        <f t="shared" ref="W6" si="2">(Q6*8784/1000*S6-J6)/(Q6*8784/1000*S6)</f>
        <v>0</v>
      </c>
      <c r="X6" s="38">
        <f t="shared" si="0"/>
        <v>0</v>
      </c>
      <c r="Y6" s="18">
        <v>300000</v>
      </c>
      <c r="Z6" s="13" t="s">
        <v>23</v>
      </c>
      <c r="AA6" s="29">
        <f>Q6/(Q6+R6)</f>
        <v>0.50602409638554213</v>
      </c>
      <c r="AB6" s="29">
        <v>0</v>
      </c>
      <c r="AC6" s="29">
        <v>0</v>
      </c>
      <c r="AE6" s="27">
        <f>C6*Y6</f>
        <v>90000</v>
      </c>
      <c r="AF6" s="27">
        <f>MAX(0,AE6-M6)</f>
        <v>50327.12</v>
      </c>
      <c r="AG6" s="15">
        <f>MAX(0,M6-AE6)</f>
        <v>0</v>
      </c>
      <c r="AH6" s="20">
        <f>U6*(1-AB6)</f>
        <v>0.3</v>
      </c>
      <c r="AI6" s="20">
        <f>V6*(1-AC6)</f>
        <v>0.34999999999999992</v>
      </c>
      <c r="AJ6" s="21">
        <f>IF(AA6=0,0,AF6/(8784/1000*(AH6+AI6*((1-AA6)/AA6))))</f>
        <v>8928.9475551770629</v>
      </c>
      <c r="AK6" s="21">
        <f>IF(AA6=0,1000*AF6/8784/AI6,((1-AA6)/AA6)*AJ6)</f>
        <v>8716.3535657680877</v>
      </c>
      <c r="AL6" s="23">
        <f>Q6+AJ6</f>
        <v>13128.947555177063</v>
      </c>
      <c r="AM6" s="23">
        <f>R6+AK6</f>
        <v>12816.353565768088</v>
      </c>
      <c r="AN6" s="19">
        <f>AJ6/(AJ6+AK6)</f>
        <v>0.50602409638554213</v>
      </c>
    </row>
    <row r="7" spans="1:46" x14ac:dyDescent="0.25">
      <c r="C7" s="9"/>
      <c r="G7" s="3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39"/>
      <c r="T7" s="39"/>
      <c r="U7" s="40"/>
      <c r="V7" s="39"/>
      <c r="W7" s="41"/>
      <c r="X7" s="41"/>
      <c r="Y7" s="10"/>
      <c r="AA7" s="30"/>
      <c r="AB7" s="30"/>
      <c r="AC7" s="30"/>
      <c r="AE7" s="28"/>
      <c r="AF7" s="28"/>
      <c r="AH7" s="26"/>
      <c r="AI7" s="26"/>
      <c r="AJ7" s="24"/>
      <c r="AK7" s="24"/>
      <c r="AL7" s="25"/>
      <c r="AM7" s="25"/>
    </row>
    <row r="8" spans="1:46" s="2" customFormat="1" x14ac:dyDescent="0.25">
      <c r="A8" s="48" t="s">
        <v>57</v>
      </c>
      <c r="B8" t="s">
        <v>1</v>
      </c>
      <c r="C8" s="17">
        <v>0.25</v>
      </c>
      <c r="D8" s="13" t="s">
        <v>2</v>
      </c>
      <c r="E8" s="16" t="s">
        <v>17</v>
      </c>
      <c r="F8" s="16" t="s">
        <v>19</v>
      </c>
      <c r="G8" s="31">
        <v>8000</v>
      </c>
      <c r="H8" s="32">
        <v>7000</v>
      </c>
      <c r="I8" s="32">
        <v>6000</v>
      </c>
      <c r="J8" s="32">
        <v>7000</v>
      </c>
      <c r="K8" s="32">
        <v>11000</v>
      </c>
      <c r="L8" s="33"/>
      <c r="M8" s="21">
        <f>MAX(L8,G8+J8+K8)</f>
        <v>26000</v>
      </c>
      <c r="N8" s="32">
        <v>4000</v>
      </c>
      <c r="O8" s="32">
        <v>3900</v>
      </c>
      <c r="P8" s="32">
        <v>3800</v>
      </c>
      <c r="Q8" s="32">
        <v>3700</v>
      </c>
      <c r="R8" s="32">
        <v>3600</v>
      </c>
      <c r="S8" s="35">
        <v>0.25</v>
      </c>
      <c r="T8" s="35">
        <v>0.4</v>
      </c>
      <c r="U8" s="36">
        <f>J8/8784*1000/Q8</f>
        <v>0.21537931373996949</v>
      </c>
      <c r="V8" s="37">
        <f>K8/8784*1000/R8</f>
        <v>0.34785468528637925</v>
      </c>
      <c r="W8" s="38">
        <f>(Q8*8784/1000*S8-J8)/(Q8*8784/1000*S8)</f>
        <v>0.13848274504012206</v>
      </c>
      <c r="X8" s="38">
        <f t="shared" ref="X8:X9" si="3">(R8*8784/1000*T8-K8)/(R8*8784/1000*T8)</f>
        <v>0.13036328678405187</v>
      </c>
      <c r="Y8" s="18">
        <v>200000</v>
      </c>
      <c r="Z8" s="13" t="s">
        <v>23</v>
      </c>
      <c r="AA8" s="29">
        <f>Q8/(Q8+R8)</f>
        <v>0.50684931506849318</v>
      </c>
      <c r="AB8" s="29">
        <v>0</v>
      </c>
      <c r="AC8" s="29">
        <v>0</v>
      </c>
      <c r="AD8" s="6"/>
      <c r="AE8" s="27">
        <f>C8*Y8</f>
        <v>50000</v>
      </c>
      <c r="AF8" s="27">
        <f>MAX(0,AE8-M8)</f>
        <v>24000</v>
      </c>
      <c r="AG8" s="15">
        <f>MAX(0,M8-AE8)</f>
        <v>0</v>
      </c>
      <c r="AH8" s="20">
        <f>U8*(1-AB8)</f>
        <v>0.21537931373996949</v>
      </c>
      <c r="AI8" s="20">
        <f>V8*(1-AC8)</f>
        <v>0.34785468528637925</v>
      </c>
      <c r="AJ8" s="21">
        <f>IF(AA8=0,0,AF8/(8784/1000*(AH8+AI8*((1-AA8)/AA8))))</f>
        <v>4933.3333333333321</v>
      </c>
      <c r="AK8" s="21">
        <f>IF(AA8=0,1000*AF8/8784/AI8,((1-AA8)/AA8)*AJ8)</f>
        <v>4799.9999999999982</v>
      </c>
      <c r="AL8" s="23">
        <f>Q8+AJ8</f>
        <v>8633.3333333333321</v>
      </c>
      <c r="AM8" s="23">
        <f>R8+AK8</f>
        <v>8399.9999999999982</v>
      </c>
      <c r="AN8" s="19">
        <f>AJ8/(AJ8+AK8)</f>
        <v>0.50684931506849318</v>
      </c>
      <c r="AO8" s="3"/>
      <c r="AP8" s="3"/>
      <c r="AQ8" s="3"/>
    </row>
    <row r="9" spans="1:46" ht="30" x14ac:dyDescent="0.25">
      <c r="A9" s="48"/>
      <c r="B9" t="s">
        <v>0</v>
      </c>
      <c r="C9" s="17">
        <v>0.4</v>
      </c>
      <c r="D9" s="13" t="s">
        <v>8</v>
      </c>
      <c r="E9" s="16" t="s">
        <v>21</v>
      </c>
      <c r="F9" s="16"/>
      <c r="G9" s="31">
        <v>8500</v>
      </c>
      <c r="H9" s="32">
        <v>7500</v>
      </c>
      <c r="I9" s="32">
        <v>6500</v>
      </c>
      <c r="J9" s="32">
        <v>10500</v>
      </c>
      <c r="K9" s="32">
        <v>11500</v>
      </c>
      <c r="L9" s="33"/>
      <c r="M9" s="21">
        <f>MAX(L9,G9+J9+K9+H9+I9)</f>
        <v>44500</v>
      </c>
      <c r="N9" s="32">
        <v>4500</v>
      </c>
      <c r="O9" s="32">
        <v>4400</v>
      </c>
      <c r="P9" s="32">
        <v>4300</v>
      </c>
      <c r="Q9" s="32">
        <v>4200</v>
      </c>
      <c r="R9" s="32">
        <v>4100</v>
      </c>
      <c r="S9" s="35">
        <v>0.3</v>
      </c>
      <c r="T9" s="35">
        <v>0.35</v>
      </c>
      <c r="U9" s="36">
        <f>J9/8784*1000/Q9</f>
        <v>0.28460837887067392</v>
      </c>
      <c r="V9" s="37">
        <f>K9/8784*1000/R9</f>
        <v>0.31931671775734155</v>
      </c>
      <c r="W9" s="38">
        <f t="shared" ref="W9" si="4">(Q9*8784/1000*S9-J9)/(Q9*8784/1000*S9)</f>
        <v>5.1305403764420172E-2</v>
      </c>
      <c r="X9" s="38">
        <f t="shared" si="3"/>
        <v>8.7666520693309907E-2</v>
      </c>
      <c r="Y9" s="18">
        <v>300000</v>
      </c>
      <c r="Z9" s="13" t="s">
        <v>23</v>
      </c>
      <c r="AA9" s="29">
        <f>Q9/(Q9+R9)</f>
        <v>0.50602409638554213</v>
      </c>
      <c r="AB9" s="29">
        <v>0</v>
      </c>
      <c r="AC9" s="29">
        <v>0</v>
      </c>
      <c r="AE9" s="27">
        <f>C9*Y9</f>
        <v>120000</v>
      </c>
      <c r="AF9" s="27">
        <f>MAX(0,AE9-M9)</f>
        <v>75500</v>
      </c>
      <c r="AG9" s="15">
        <f>MAX(0,M9-AE9)</f>
        <v>0</v>
      </c>
      <c r="AH9" s="20">
        <f>U9*(1-AB9)</f>
        <v>0.28460837887067392</v>
      </c>
      <c r="AI9" s="20">
        <f>V9*(1-AC9)</f>
        <v>0.31931671775734155</v>
      </c>
      <c r="AJ9" s="21">
        <f>IF(AA9=0,0,AF9/(8784/1000*(AH9+AI9*((1-AA9)/AA9))))</f>
        <v>14413.63636363636</v>
      </c>
      <c r="AK9" s="21">
        <f>IF(AA9=0,1000*AF9/8784/AI9,((1-AA9)/AA9)*AJ9)</f>
        <v>14070.454545454546</v>
      </c>
      <c r="AL9" s="23">
        <f>Q9+AJ9</f>
        <v>18613.63636363636</v>
      </c>
      <c r="AM9" s="23">
        <f>R9+AK9</f>
        <v>18170.454545454544</v>
      </c>
      <c r="AN9" s="19">
        <f>AJ9/(AJ9+AK9)</f>
        <v>0.50602409638554213</v>
      </c>
    </row>
    <row r="10" spans="1:46" x14ac:dyDescent="0.25">
      <c r="C10" s="9"/>
      <c r="G10" s="3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39"/>
      <c r="T10" s="39"/>
      <c r="U10" s="40"/>
      <c r="V10" s="39"/>
      <c r="W10" s="41"/>
      <c r="X10" s="41"/>
      <c r="Y10" s="10"/>
      <c r="AA10" s="30"/>
      <c r="AB10" s="30"/>
      <c r="AC10" s="30"/>
      <c r="AE10" s="28"/>
      <c r="AF10" s="28"/>
      <c r="AH10" s="26"/>
      <c r="AI10" s="26"/>
      <c r="AJ10" s="24"/>
      <c r="AK10" s="24"/>
      <c r="AL10" s="25"/>
      <c r="AM10" s="25"/>
    </row>
    <row r="11" spans="1:46" s="2" customFormat="1" x14ac:dyDescent="0.25">
      <c r="A11" s="48" t="s">
        <v>58</v>
      </c>
      <c r="B11" t="s">
        <v>1</v>
      </c>
      <c r="C11" s="17">
        <v>0.25</v>
      </c>
      <c r="D11" s="13" t="s">
        <v>2</v>
      </c>
      <c r="E11" s="16" t="s">
        <v>17</v>
      </c>
      <c r="F11" s="16" t="s">
        <v>19</v>
      </c>
      <c r="G11" s="31">
        <v>8000</v>
      </c>
      <c r="H11" s="32">
        <v>7000</v>
      </c>
      <c r="I11" s="32">
        <v>6000</v>
      </c>
      <c r="J11" s="32">
        <v>7000</v>
      </c>
      <c r="K11" s="32">
        <v>11000</v>
      </c>
      <c r="L11" s="33"/>
      <c r="M11" s="21">
        <f>MAX(L11,G11+J11+K11)</f>
        <v>26000</v>
      </c>
      <c r="N11" s="32">
        <v>4000</v>
      </c>
      <c r="O11" s="32">
        <v>3900</v>
      </c>
      <c r="P11" s="32">
        <v>3800</v>
      </c>
      <c r="Q11" s="32">
        <v>3700</v>
      </c>
      <c r="R11" s="32">
        <v>3600</v>
      </c>
      <c r="S11" s="35">
        <v>0.25</v>
      </c>
      <c r="T11" s="35">
        <v>0.4</v>
      </c>
      <c r="U11" s="43">
        <f>J11/8784*1000/Q11</f>
        <v>0.21537931373996949</v>
      </c>
      <c r="V11" s="44">
        <f>K11/8784*1000/R11</f>
        <v>0.34785468528637925</v>
      </c>
      <c r="W11" s="45">
        <f>(Q11*8784/1000*S11-J11)/(Q11*8784/1000*S11)</f>
        <v>0.13848274504012206</v>
      </c>
      <c r="X11" s="45">
        <f t="shared" ref="X11:X12" si="5">(R11*8784/1000*T11-K11)/(R11*8784/1000*T11)</f>
        <v>0.13036328678405187</v>
      </c>
      <c r="Y11" s="18">
        <v>200000</v>
      </c>
      <c r="Z11" s="13" t="s">
        <v>23</v>
      </c>
      <c r="AA11" s="29">
        <v>1</v>
      </c>
      <c r="AB11" s="29">
        <v>0</v>
      </c>
      <c r="AC11" s="29">
        <v>0</v>
      </c>
      <c r="AD11" s="6"/>
      <c r="AE11" s="27">
        <f>C11*Y11</f>
        <v>50000</v>
      </c>
      <c r="AF11" s="27">
        <f>MAX(0,AE11-M11)</f>
        <v>24000</v>
      </c>
      <c r="AG11" s="15">
        <f>MAX(0,M11-AE11)</f>
        <v>0</v>
      </c>
      <c r="AH11" s="20">
        <f>U11*(1-AB11)</f>
        <v>0.21537931373996949</v>
      </c>
      <c r="AI11" s="20">
        <f>V11*(1-AC11)</f>
        <v>0.34785468528637925</v>
      </c>
      <c r="AJ11" s="21">
        <f>IF(AA11=0,0,AF11/(8784/1000*(AH11+AI11*((1-AA11)/AA11))))</f>
        <v>12685.714285714284</v>
      </c>
      <c r="AK11" s="21">
        <f>IF(AA11=0,1000*AF11/8784/AI11,((1-AA11)/AA11)*AJ11)</f>
        <v>0</v>
      </c>
      <c r="AL11" s="23">
        <f>Q11+AJ11</f>
        <v>16385.714285714283</v>
      </c>
      <c r="AM11" s="23">
        <f>R11+AK11</f>
        <v>3600</v>
      </c>
      <c r="AN11" s="19">
        <f>AJ11/(AJ11+AK11)</f>
        <v>1</v>
      </c>
      <c r="AO11" s="3"/>
      <c r="AP11" s="3"/>
      <c r="AQ11" s="3"/>
    </row>
    <row r="12" spans="1:46" ht="30" x14ac:dyDescent="0.25">
      <c r="A12" s="48"/>
      <c r="B12" t="s">
        <v>0</v>
      </c>
      <c r="C12" s="17">
        <v>0.4</v>
      </c>
      <c r="D12" s="13" t="s">
        <v>8</v>
      </c>
      <c r="E12" s="16" t="s">
        <v>21</v>
      </c>
      <c r="F12" s="16"/>
      <c r="G12" s="31">
        <v>8500</v>
      </c>
      <c r="H12" s="32">
        <v>7500</v>
      </c>
      <c r="I12" s="32">
        <v>6500</v>
      </c>
      <c r="J12" s="32">
        <v>10500</v>
      </c>
      <c r="K12" s="32">
        <v>11500</v>
      </c>
      <c r="L12" s="33"/>
      <c r="M12" s="21">
        <f>MAX(L12,G12+J12+K12+H12+I12)</f>
        <v>44500</v>
      </c>
      <c r="N12" s="32">
        <v>4500</v>
      </c>
      <c r="O12" s="32">
        <v>4400</v>
      </c>
      <c r="P12" s="32">
        <v>4300</v>
      </c>
      <c r="Q12" s="32">
        <v>4200</v>
      </c>
      <c r="R12" s="32">
        <v>4100</v>
      </c>
      <c r="S12" s="35">
        <v>0.3</v>
      </c>
      <c r="T12" s="35">
        <v>0.35</v>
      </c>
      <c r="U12" s="36">
        <f>J12/8784*1000/Q12</f>
        <v>0.28460837887067392</v>
      </c>
      <c r="V12" s="37">
        <f>K12/8784*1000/R12</f>
        <v>0.31931671775734155</v>
      </c>
      <c r="W12" s="38">
        <f t="shared" ref="W12" si="6">(Q12*8784/1000*S12-J12)/(Q12*8784/1000*S12)</f>
        <v>5.1305403764420172E-2</v>
      </c>
      <c r="X12" s="38">
        <f t="shared" si="5"/>
        <v>8.7666520693309907E-2</v>
      </c>
      <c r="Y12" s="18">
        <v>300000</v>
      </c>
      <c r="Z12" s="13" t="s">
        <v>23</v>
      </c>
      <c r="AA12" s="29">
        <f>Q12/(Q12+R12)</f>
        <v>0.50602409638554213</v>
      </c>
      <c r="AB12" s="29">
        <v>0</v>
      </c>
      <c r="AC12" s="29">
        <v>0</v>
      </c>
      <c r="AE12" s="27">
        <f>C12*Y12</f>
        <v>120000</v>
      </c>
      <c r="AF12" s="27">
        <f>MAX(0,AE12-M12)</f>
        <v>75500</v>
      </c>
      <c r="AG12" s="15">
        <f>MAX(0,M12-AE12)</f>
        <v>0</v>
      </c>
      <c r="AH12" s="20">
        <f>U12*(1-AB12)</f>
        <v>0.28460837887067392</v>
      </c>
      <c r="AI12" s="20">
        <f>V12*(1-AC12)</f>
        <v>0.31931671775734155</v>
      </c>
      <c r="AJ12" s="21">
        <f>IF(AA12=0,0,AF12/(8784/1000*(AH12+AI12*((1-AA12)/AA12))))</f>
        <v>14413.63636363636</v>
      </c>
      <c r="AK12" s="21">
        <f>IF(AA12=0,1000*AF12/8784/AI12,((1-AA12)/AA12)*AJ12)</f>
        <v>14070.454545454546</v>
      </c>
      <c r="AL12" s="23">
        <f>Q12+AJ12</f>
        <v>18613.63636363636</v>
      </c>
      <c r="AM12" s="23">
        <f>R12+AK12</f>
        <v>18170.454545454544</v>
      </c>
      <c r="AN12" s="19">
        <f>AJ12/(AJ12+AK12)</f>
        <v>0.50602409638554213</v>
      </c>
    </row>
    <row r="13" spans="1:46" x14ac:dyDescent="0.25">
      <c r="C13" s="9"/>
      <c r="G13" s="3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39"/>
      <c r="T13" s="39"/>
      <c r="U13" s="40"/>
      <c r="V13" s="39"/>
      <c r="W13" s="41"/>
      <c r="X13" s="41"/>
      <c r="Y13" s="10"/>
      <c r="AA13" s="30"/>
      <c r="AB13" s="30"/>
      <c r="AC13" s="30"/>
      <c r="AE13" s="28"/>
      <c r="AF13" s="28"/>
      <c r="AH13" s="26"/>
      <c r="AI13" s="26"/>
      <c r="AJ13" s="24"/>
      <c r="AK13" s="24"/>
      <c r="AL13" s="25"/>
      <c r="AM13" s="25"/>
    </row>
    <row r="14" spans="1:46" s="2" customFormat="1" x14ac:dyDescent="0.25">
      <c r="A14" s="48" t="s">
        <v>59</v>
      </c>
      <c r="B14" t="s">
        <v>1</v>
      </c>
      <c r="C14" s="17">
        <v>0.25</v>
      </c>
      <c r="D14" s="13" t="s">
        <v>2</v>
      </c>
      <c r="E14" s="16" t="s">
        <v>17</v>
      </c>
      <c r="F14" s="16" t="s">
        <v>19</v>
      </c>
      <c r="G14" s="31">
        <v>8000</v>
      </c>
      <c r="H14" s="32">
        <v>7000</v>
      </c>
      <c r="I14" s="32">
        <v>6000</v>
      </c>
      <c r="J14" s="32">
        <v>7000</v>
      </c>
      <c r="K14" s="32">
        <v>11000</v>
      </c>
      <c r="L14" s="33"/>
      <c r="M14" s="21">
        <f>MAX(L14,G14+J14+K14)</f>
        <v>26000</v>
      </c>
      <c r="N14" s="32">
        <v>4000</v>
      </c>
      <c r="O14" s="32">
        <v>3900</v>
      </c>
      <c r="P14" s="32">
        <v>3800</v>
      </c>
      <c r="Q14" s="32">
        <v>3700</v>
      </c>
      <c r="R14" s="32">
        <v>3600</v>
      </c>
      <c r="S14" s="35">
        <v>0.25</v>
      </c>
      <c r="T14" s="35">
        <v>0.4</v>
      </c>
      <c r="U14" s="36">
        <f t="shared" ref="U14:V16" si="7">J14/8784*1000/Q14</f>
        <v>0.21537931373996949</v>
      </c>
      <c r="V14" s="37">
        <f t="shared" si="7"/>
        <v>0.34785468528637925</v>
      </c>
      <c r="W14" s="38">
        <f>(Q14*8784/1000*S14-J14)/(Q14*8784/1000*S14)</f>
        <v>0.13848274504012206</v>
      </c>
      <c r="X14" s="38">
        <f t="shared" ref="X14:X16" si="8">(R14*8784/1000*T14-K14)/(R14*8784/1000*T14)</f>
        <v>0.13036328678405187</v>
      </c>
      <c r="Y14" s="18">
        <v>200000</v>
      </c>
      <c r="Z14" s="13" t="s">
        <v>48</v>
      </c>
      <c r="AA14" s="29">
        <f>Q14/(Q14+R14)</f>
        <v>0.50684931506849318</v>
      </c>
      <c r="AB14" s="29"/>
      <c r="AC14" s="29"/>
      <c r="AD14" s="6"/>
      <c r="AE14" s="27">
        <f>C14*Y14</f>
        <v>50000</v>
      </c>
      <c r="AF14" s="27">
        <f>MAX(0,AE14-M14)</f>
        <v>24000</v>
      </c>
      <c r="AG14" s="15">
        <f>MAX(0,M14-AE14)</f>
        <v>0</v>
      </c>
      <c r="AH14" s="20">
        <f t="shared" ref="AH14:AI16" si="9">U14*(1-AB14)</f>
        <v>0.21537931373996949</v>
      </c>
      <c r="AI14" s="20">
        <f t="shared" si="9"/>
        <v>0.34785468528637925</v>
      </c>
      <c r="AJ14" s="21">
        <f>Q14*AJ16/Q16</f>
        <v>10269.177126917713</v>
      </c>
      <c r="AK14" s="21">
        <f>R14*AK16/R16</f>
        <v>9991.6317991631822</v>
      </c>
      <c r="AL14" s="23">
        <f>Q14*AL16/Q16</f>
        <v>13969.177126917713</v>
      </c>
      <c r="AM14" s="23">
        <f>R14*AM16/R16</f>
        <v>13591.631799163182</v>
      </c>
      <c r="AN14" s="19">
        <f>AJ14/(AJ14+AK14)</f>
        <v>0.50684931506849307</v>
      </c>
      <c r="AO14" s="3"/>
      <c r="AP14" s="3"/>
      <c r="AQ14" s="3"/>
    </row>
    <row r="15" spans="1:46" ht="30" x14ac:dyDescent="0.25">
      <c r="A15" s="48"/>
      <c r="B15" t="s">
        <v>0</v>
      </c>
      <c r="C15" s="17">
        <v>0.4</v>
      </c>
      <c r="D15" s="13" t="s">
        <v>8</v>
      </c>
      <c r="E15" s="16" t="s">
        <v>21</v>
      </c>
      <c r="F15" s="16"/>
      <c r="G15" s="31">
        <v>8500</v>
      </c>
      <c r="H15" s="32">
        <v>7500</v>
      </c>
      <c r="I15" s="32">
        <v>6500</v>
      </c>
      <c r="J15" s="32">
        <v>10500</v>
      </c>
      <c r="K15" s="32">
        <v>11500</v>
      </c>
      <c r="L15" s="33"/>
      <c r="M15" s="21">
        <f>MAX(L15,G15+J15+K15+H15+I15)</f>
        <v>44500</v>
      </c>
      <c r="N15" s="32">
        <v>4500</v>
      </c>
      <c r="O15" s="32">
        <v>4400</v>
      </c>
      <c r="P15" s="32">
        <v>4300</v>
      </c>
      <c r="Q15" s="32">
        <v>4200</v>
      </c>
      <c r="R15" s="32">
        <v>4100</v>
      </c>
      <c r="S15" s="35">
        <v>0.3</v>
      </c>
      <c r="T15" s="35">
        <v>0.35</v>
      </c>
      <c r="U15" s="36">
        <f t="shared" si="7"/>
        <v>0.28460837887067392</v>
      </c>
      <c r="V15" s="37">
        <f t="shared" si="7"/>
        <v>0.31931671775734155</v>
      </c>
      <c r="W15" s="38">
        <f t="shared" ref="W15:W16" si="10">(Q15*8784/1000*S15-J15)/(Q15*8784/1000*S15)</f>
        <v>5.1305403764420172E-2</v>
      </c>
      <c r="X15" s="38">
        <f t="shared" si="8"/>
        <v>8.7666520693309907E-2</v>
      </c>
      <c r="Y15" s="18">
        <v>300000</v>
      </c>
      <c r="Z15" s="13" t="s">
        <v>48</v>
      </c>
      <c r="AA15" s="29">
        <f>Q15/(Q15+R15)</f>
        <v>0.50602409638554213</v>
      </c>
      <c r="AB15" s="29"/>
      <c r="AC15" s="29"/>
      <c r="AE15" s="27">
        <f>C15*Y15</f>
        <v>120000</v>
      </c>
      <c r="AF15" s="27">
        <f>MAX(0,AE15-M15)</f>
        <v>75500</v>
      </c>
      <c r="AG15" s="15">
        <f>MAX(0,M15-AE15)</f>
        <v>0</v>
      </c>
      <c r="AH15" s="20">
        <f t="shared" si="9"/>
        <v>0.28460837887067392</v>
      </c>
      <c r="AI15" s="20">
        <f t="shared" si="9"/>
        <v>0.31931671775734155</v>
      </c>
      <c r="AJ15" s="21">
        <f>Q15*AJ16/Q16</f>
        <v>11656.903765690378</v>
      </c>
      <c r="AK15" s="21">
        <f>R15*AK16/R16</f>
        <v>11379.358437935845</v>
      </c>
      <c r="AL15" s="23">
        <f>Q15*AL16/Q16</f>
        <v>15856.903765690378</v>
      </c>
      <c r="AM15" s="23">
        <f>R15*AM16/R16</f>
        <v>15479.358437935845</v>
      </c>
      <c r="AN15" s="19">
        <f>AJ15/(AJ15+AK15)</f>
        <v>0.50602409638554213</v>
      </c>
    </row>
    <row r="16" spans="1:46" x14ac:dyDescent="0.25">
      <c r="A16" s="22"/>
      <c r="B16" t="s">
        <v>65</v>
      </c>
      <c r="C16" s="17"/>
      <c r="D16" s="13"/>
      <c r="E16" s="16"/>
      <c r="F16" s="16"/>
      <c r="G16" s="31">
        <f>SUM(G14:G15)</f>
        <v>16500</v>
      </c>
      <c r="H16" s="32">
        <f>SUM(H14:H15)</f>
        <v>14500</v>
      </c>
      <c r="I16" s="32">
        <f>SUM(I14:I15)</f>
        <v>12500</v>
      </c>
      <c r="J16" s="32">
        <f>SUM(J14:J15)</f>
        <v>17500</v>
      </c>
      <c r="K16" s="32">
        <f>SUM(K14:K15)</f>
        <v>22500</v>
      </c>
      <c r="L16" s="33"/>
      <c r="M16" s="21">
        <f t="shared" ref="M16:R16" si="11">SUM(M14:M15)</f>
        <v>70500</v>
      </c>
      <c r="N16" s="32">
        <f t="shared" si="11"/>
        <v>8500</v>
      </c>
      <c r="O16" s="32">
        <f t="shared" si="11"/>
        <v>8300</v>
      </c>
      <c r="P16" s="32">
        <f t="shared" si="11"/>
        <v>8100</v>
      </c>
      <c r="Q16" s="32">
        <f t="shared" si="11"/>
        <v>7900</v>
      </c>
      <c r="R16" s="32">
        <f t="shared" si="11"/>
        <v>7700</v>
      </c>
      <c r="S16" s="35">
        <f>(Q14*S14+Q15*S15)/SUM(Q14:Q15)</f>
        <v>0.27658227848101263</v>
      </c>
      <c r="T16" s="35">
        <f>(R14*T14+R15*T15)/SUM(R14:R15)</f>
        <v>0.37337662337662336</v>
      </c>
      <c r="U16" s="36">
        <f t="shared" si="7"/>
        <v>0.25218463950566045</v>
      </c>
      <c r="V16" s="37">
        <f t="shared" si="7"/>
        <v>0.332659144134554</v>
      </c>
      <c r="W16" s="38">
        <f t="shared" si="10"/>
        <v>8.821114320607891E-2</v>
      </c>
      <c r="X16" s="38">
        <f t="shared" si="8"/>
        <v>0.1090520313613685</v>
      </c>
      <c r="Y16" s="18">
        <f>SUM(Y14:Y15)</f>
        <v>500000</v>
      </c>
      <c r="Z16" s="13"/>
      <c r="AA16" s="29">
        <f>Q16/(Q16+R16)</f>
        <v>0.50641025641025639</v>
      </c>
      <c r="AB16" s="29">
        <v>7.0000000000000007E-2</v>
      </c>
      <c r="AC16" s="29">
        <v>0.13</v>
      </c>
      <c r="AE16" s="27">
        <f>SUM(AE14:AE15)</f>
        <v>170000</v>
      </c>
      <c r="AF16" s="27">
        <f>SUM(AF14:AF15)</f>
        <v>99500</v>
      </c>
      <c r="AG16" s="15">
        <f>MAX(0,M16-AE16)</f>
        <v>0</v>
      </c>
      <c r="AH16" s="20">
        <f t="shared" si="9"/>
        <v>0.23453171474026419</v>
      </c>
      <c r="AI16" s="20">
        <f t="shared" si="9"/>
        <v>0.28941345539706198</v>
      </c>
      <c r="AJ16" s="21">
        <f>IF(AA16=0,0,AF16/(8784/1000*(AH16+AI16*((1-AA16)/AA16))))</f>
        <v>21926.08089260809</v>
      </c>
      <c r="AK16" s="21">
        <f>IF(AA16=0,1000*AF16/8784/AI16,((1-AA16)/AA16)*AJ16)</f>
        <v>21370.990237099028</v>
      </c>
      <c r="AL16" s="23">
        <f>Q16+AJ16</f>
        <v>29826.08089260809</v>
      </c>
      <c r="AM16" s="23">
        <f>R16+AK16</f>
        <v>29070.990237099028</v>
      </c>
      <c r="AN16" s="19">
        <f>AJ16/(AJ16+AK16)</f>
        <v>0.50641025641025639</v>
      </c>
    </row>
    <row r="17" spans="1:43" x14ac:dyDescent="0.25">
      <c r="AJ17">
        <f>AJ16/Q16</f>
        <v>2.7754532775453278</v>
      </c>
    </row>
    <row r="18" spans="1:43" s="2" customFormat="1" x14ac:dyDescent="0.25">
      <c r="A18" s="48" t="s">
        <v>82</v>
      </c>
      <c r="B18" t="s">
        <v>1</v>
      </c>
      <c r="C18" s="17">
        <v>0.25</v>
      </c>
      <c r="D18" s="13" t="s">
        <v>2</v>
      </c>
      <c r="E18" s="16" t="s">
        <v>17</v>
      </c>
      <c r="F18" s="16" t="s">
        <v>19</v>
      </c>
      <c r="G18" s="31">
        <v>8000</v>
      </c>
      <c r="H18" s="32">
        <v>7000</v>
      </c>
      <c r="I18" s="32">
        <v>6000</v>
      </c>
      <c r="J18" s="32">
        <f>Q18*8784/1000*S18</f>
        <v>8125.2</v>
      </c>
      <c r="K18" s="32">
        <f>R18*8784/1000*T18</f>
        <v>12648.960000000001</v>
      </c>
      <c r="L18" s="33"/>
      <c r="M18" s="21">
        <f>MAX(L18,G18+J18+K18)</f>
        <v>28774.160000000003</v>
      </c>
      <c r="N18" s="32">
        <v>4000</v>
      </c>
      <c r="O18" s="32">
        <v>3900</v>
      </c>
      <c r="P18" s="32">
        <v>3800</v>
      </c>
      <c r="Q18" s="32">
        <v>3700</v>
      </c>
      <c r="R18" s="32">
        <v>3600</v>
      </c>
      <c r="S18" s="35">
        <v>0.25</v>
      </c>
      <c r="T18" s="35">
        <v>0.4</v>
      </c>
      <c r="U18" s="36">
        <f t="shared" ref="U18:U20" si="12">J18/8784*1000/Q18</f>
        <v>0.24999999999999997</v>
      </c>
      <c r="V18" s="37">
        <f t="shared" ref="V18:V20" si="13">K18/8784*1000/R18</f>
        <v>0.40000000000000008</v>
      </c>
      <c r="W18" s="38">
        <f>(Q18*8784/1000*S18-J18)/(Q18*8784/1000*S18)</f>
        <v>0</v>
      </c>
      <c r="X18" s="38">
        <f t="shared" ref="X18:X20" si="14">(R18*8784/1000*T18-K18)/(R18*8784/1000*T18)</f>
        <v>0</v>
      </c>
      <c r="Y18" s="18">
        <v>200000</v>
      </c>
      <c r="Z18" s="13" t="s">
        <v>48</v>
      </c>
      <c r="AA18" s="29">
        <f>Q18/(Q18+R18)</f>
        <v>0.50684931506849318</v>
      </c>
      <c r="AB18" s="29"/>
      <c r="AC18" s="29"/>
      <c r="AD18" s="6"/>
      <c r="AE18" s="27">
        <f>C18*Y18</f>
        <v>50000</v>
      </c>
      <c r="AF18" s="27">
        <f>MAX(0,AE18-M18)</f>
        <v>21225.839999999997</v>
      </c>
      <c r="AG18" s="15">
        <f>MAX(0,M18-AE18)</f>
        <v>0</v>
      </c>
      <c r="AH18" s="20">
        <f t="shared" ref="AH18:AH20" si="15">U18*(1-AB18)</f>
        <v>0.24999999999999997</v>
      </c>
      <c r="AI18" s="20">
        <f t="shared" ref="AI18:AI20" si="16">V18*(1-AC18)</f>
        <v>0.40000000000000008</v>
      </c>
      <c r="AJ18" s="21">
        <f>Q18*AJ20/Q20</f>
        <v>8752.103067226124</v>
      </c>
      <c r="AK18" s="21">
        <f>R18*AK20/R20</f>
        <v>8515.5597410848786</v>
      </c>
      <c r="AL18" s="23">
        <f>Q18*AL20/Q20</f>
        <v>12452.103067226124</v>
      </c>
      <c r="AM18" s="23">
        <f>R18*AM20/R20</f>
        <v>12115.559741084877</v>
      </c>
      <c r="AN18" s="19">
        <f>AJ18/(AJ18+AK18)</f>
        <v>0.50684931506849307</v>
      </c>
      <c r="AO18" s="3"/>
      <c r="AP18" s="3"/>
      <c r="AQ18" s="3"/>
    </row>
    <row r="19" spans="1:43" ht="30" x14ac:dyDescent="0.25">
      <c r="A19" s="48"/>
      <c r="B19" t="s">
        <v>0</v>
      </c>
      <c r="C19" s="17">
        <v>0.4</v>
      </c>
      <c r="D19" s="13" t="s">
        <v>8</v>
      </c>
      <c r="E19" s="16" t="s">
        <v>21</v>
      </c>
      <c r="F19" s="16"/>
      <c r="G19" s="31">
        <v>8500</v>
      </c>
      <c r="H19" s="32">
        <v>7500</v>
      </c>
      <c r="I19" s="32">
        <v>6500</v>
      </c>
      <c r="J19" s="32">
        <f t="shared" ref="J19" si="17">Q19*8784/1000*S19</f>
        <v>11067.84</v>
      </c>
      <c r="K19" s="32">
        <f>R19*8784/1000*T19</f>
        <v>12605.039999999999</v>
      </c>
      <c r="L19" s="33"/>
      <c r="M19" s="21">
        <f>MAX(L19,G19+J19+K19+H19+I19)</f>
        <v>46172.88</v>
      </c>
      <c r="N19" s="32">
        <v>4500</v>
      </c>
      <c r="O19" s="32">
        <v>4400</v>
      </c>
      <c r="P19" s="32">
        <v>4300</v>
      </c>
      <c r="Q19" s="32">
        <v>4200</v>
      </c>
      <c r="R19" s="32">
        <v>4100</v>
      </c>
      <c r="S19" s="35">
        <v>0.3</v>
      </c>
      <c r="T19" s="35">
        <v>0.35</v>
      </c>
      <c r="U19" s="36">
        <f t="shared" si="12"/>
        <v>0.3</v>
      </c>
      <c r="V19" s="37">
        <f t="shared" si="13"/>
        <v>0.34999999999999992</v>
      </c>
      <c r="W19" s="38">
        <f t="shared" ref="W19:W20" si="18">(Q19*8784/1000*S19-J19)/(Q19*8784/1000*S19)</f>
        <v>0</v>
      </c>
      <c r="X19" s="38">
        <f t="shared" si="14"/>
        <v>0</v>
      </c>
      <c r="Y19" s="18">
        <v>300000</v>
      </c>
      <c r="Z19" s="13" t="s">
        <v>48</v>
      </c>
      <c r="AA19" s="29">
        <f>Q19/(Q19+R19)</f>
        <v>0.50602409638554213</v>
      </c>
      <c r="AB19" s="29"/>
      <c r="AC19" s="29"/>
      <c r="AE19" s="27">
        <f>C19*Y19</f>
        <v>120000</v>
      </c>
      <c r="AF19" s="27">
        <f>MAX(0,AE19-M19)</f>
        <v>73827.12</v>
      </c>
      <c r="AG19" s="15">
        <f>MAX(0,M19-AE19)</f>
        <v>0</v>
      </c>
      <c r="AH19" s="20">
        <f t="shared" si="15"/>
        <v>0.3</v>
      </c>
      <c r="AI19" s="20">
        <f t="shared" si="16"/>
        <v>0.34999999999999992</v>
      </c>
      <c r="AJ19" s="21">
        <f>Q19*AJ20/Q20</f>
        <v>9934.8196979323584</v>
      </c>
      <c r="AK19" s="21">
        <f>R19*AK20/R20</f>
        <v>9698.2763717911112</v>
      </c>
      <c r="AL19" s="23">
        <f>Q19*AL20/Q20</f>
        <v>14134.819697932358</v>
      </c>
      <c r="AM19" s="23">
        <f>R19*AM20/R20</f>
        <v>13798.276371791111</v>
      </c>
      <c r="AN19" s="19">
        <f>AJ19/(AJ19+AK19)</f>
        <v>0.50602409638554213</v>
      </c>
    </row>
    <row r="20" spans="1:43" x14ac:dyDescent="0.25">
      <c r="A20" s="42"/>
      <c r="B20" t="s">
        <v>65</v>
      </c>
      <c r="C20" s="17"/>
      <c r="D20" s="13"/>
      <c r="E20" s="16"/>
      <c r="F20" s="16"/>
      <c r="G20" s="31">
        <f>SUM(G18:G19)</f>
        <v>16500</v>
      </c>
      <c r="H20" s="32">
        <f>SUM(H18:H19)</f>
        <v>14500</v>
      </c>
      <c r="I20" s="32">
        <f>SUM(I18:I19)</f>
        <v>12500</v>
      </c>
      <c r="J20" s="32">
        <f>SUM(J18:J19)</f>
        <v>19193.04</v>
      </c>
      <c r="K20" s="32">
        <f>SUM(K18:K19)</f>
        <v>25254</v>
      </c>
      <c r="L20" s="33"/>
      <c r="M20" s="21">
        <f t="shared" ref="M20:R20" si="19">SUM(M18:M19)</f>
        <v>74947.040000000008</v>
      </c>
      <c r="N20" s="32">
        <f t="shared" si="19"/>
        <v>8500</v>
      </c>
      <c r="O20" s="32">
        <f t="shared" si="19"/>
        <v>8300</v>
      </c>
      <c r="P20" s="32">
        <f t="shared" si="19"/>
        <v>8100</v>
      </c>
      <c r="Q20" s="32">
        <f t="shared" si="19"/>
        <v>7900</v>
      </c>
      <c r="R20" s="32">
        <f t="shared" si="19"/>
        <v>7700</v>
      </c>
      <c r="S20" s="35">
        <f>(Q18*S18+Q19*S19)/SUM(Q18:Q19)</f>
        <v>0.27658227848101263</v>
      </c>
      <c r="T20" s="35">
        <f>(R18*T18+R19*T19)/SUM(R18:R19)</f>
        <v>0.37337662337662336</v>
      </c>
      <c r="U20" s="36">
        <f t="shared" si="12"/>
        <v>0.27658227848101263</v>
      </c>
      <c r="V20" s="37">
        <f t="shared" si="13"/>
        <v>0.37337662337662336</v>
      </c>
      <c r="W20" s="38">
        <f t="shared" si="18"/>
        <v>0</v>
      </c>
      <c r="X20" s="38">
        <f t="shared" si="14"/>
        <v>0</v>
      </c>
      <c r="Y20" s="18">
        <f>SUM(Y18:Y19)</f>
        <v>500000</v>
      </c>
      <c r="Z20" s="13"/>
      <c r="AA20" s="29">
        <f>Q20/(Q20+R20)</f>
        <v>0.50641025641025639</v>
      </c>
      <c r="AB20" s="29">
        <v>0.13</v>
      </c>
      <c r="AC20" s="29">
        <v>7.0000000000000007E-2</v>
      </c>
      <c r="AE20" s="27">
        <f>SUM(AE18:AE19)</f>
        <v>170000</v>
      </c>
      <c r="AF20" s="27">
        <f>SUM(AF18:AF19)</f>
        <v>95052.959999999992</v>
      </c>
      <c r="AG20" s="15">
        <f>MAX(0,M20-AE20)</f>
        <v>0</v>
      </c>
      <c r="AH20" s="20">
        <f t="shared" si="15"/>
        <v>0.24062658227848099</v>
      </c>
      <c r="AI20" s="20">
        <f t="shared" si="16"/>
        <v>0.34724025974025968</v>
      </c>
      <c r="AJ20" s="21">
        <f>IF(AA20=0,0,AF20/(8784/1000*(AH20+AI20*((1-AA20)/AA20))))</f>
        <v>18686.922765158481</v>
      </c>
      <c r="AK20" s="21">
        <f>IF(AA20=0,1000*AF20/8784/AI20,((1-AA20)/AA20)*AJ20)</f>
        <v>18213.83611287599</v>
      </c>
      <c r="AL20" s="23">
        <f>Q20+AJ20</f>
        <v>26586.922765158481</v>
      </c>
      <c r="AM20" s="23">
        <f>R20+AK20</f>
        <v>25913.83611287599</v>
      </c>
      <c r="AN20" s="19">
        <f>AJ20/(AJ20+AK20)</f>
        <v>0.50641025641025639</v>
      </c>
    </row>
    <row r="21" spans="1:43" x14ac:dyDescent="0.25">
      <c r="AJ21">
        <f>AJ20/Q20</f>
        <v>2.3654332614124658</v>
      </c>
    </row>
    <row r="22" spans="1:43" x14ac:dyDescent="0.25">
      <c r="K22" s="13"/>
      <c r="L22" t="s">
        <v>34</v>
      </c>
    </row>
    <row r="23" spans="1:43" x14ac:dyDescent="0.25">
      <c r="K23" s="12"/>
      <c r="L23" t="s">
        <v>30</v>
      </c>
    </row>
    <row r="24" spans="1:43" x14ac:dyDescent="0.25">
      <c r="K24" s="11"/>
      <c r="L24" t="s">
        <v>31</v>
      </c>
    </row>
    <row r="25" spans="1:43" x14ac:dyDescent="0.25">
      <c r="A25" t="s">
        <v>67</v>
      </c>
      <c r="K25" s="14"/>
      <c r="L25" t="s">
        <v>32</v>
      </c>
    </row>
    <row r="26" spans="1:43" x14ac:dyDescent="0.25">
      <c r="A26" t="s">
        <v>72</v>
      </c>
    </row>
    <row r="30" spans="1:43" x14ac:dyDescent="0.25">
      <c r="A30" s="49" t="s">
        <v>66</v>
      </c>
      <c r="B30" s="49"/>
      <c r="C30" s="49"/>
    </row>
    <row r="31" spans="1:43" x14ac:dyDescent="0.25">
      <c r="A31" s="49"/>
      <c r="B31" s="49"/>
      <c r="C31" s="49"/>
    </row>
    <row r="32" spans="1:43" x14ac:dyDescent="0.25">
      <c r="A32" s="49"/>
      <c r="B32" s="49"/>
      <c r="C32" s="49"/>
    </row>
    <row r="35" spans="1:40" x14ac:dyDescent="0.25">
      <c r="A35" t="s">
        <v>3</v>
      </c>
      <c r="B35" t="s">
        <v>1</v>
      </c>
      <c r="C35" s="17">
        <v>0.25</v>
      </c>
      <c r="D35" s="13" t="s">
        <v>2</v>
      </c>
      <c r="E35" s="16" t="s">
        <v>17</v>
      </c>
      <c r="F35" s="16" t="s">
        <v>19</v>
      </c>
      <c r="G35" s="31">
        <v>8000</v>
      </c>
      <c r="H35" s="32">
        <v>7000</v>
      </c>
      <c r="I35" s="32">
        <v>6000</v>
      </c>
      <c r="J35" s="32">
        <v>8125.2</v>
      </c>
      <c r="K35" s="32">
        <v>12648.960000000001</v>
      </c>
      <c r="L35" s="33"/>
      <c r="M35" s="21">
        <v>28774.160000000003</v>
      </c>
      <c r="N35" s="32">
        <v>4000</v>
      </c>
      <c r="O35" s="32">
        <v>3900</v>
      </c>
      <c r="P35" s="32">
        <v>3800</v>
      </c>
      <c r="Q35" s="32">
        <v>3700</v>
      </c>
      <c r="R35" s="32">
        <v>3600</v>
      </c>
      <c r="S35" s="35">
        <v>0.25</v>
      </c>
      <c r="T35" s="35">
        <v>0.4</v>
      </c>
      <c r="U35" s="36">
        <v>0.24999999999999997</v>
      </c>
      <c r="V35" s="37">
        <v>0.40000000000000008</v>
      </c>
      <c r="W35" s="38">
        <v>0</v>
      </c>
      <c r="X35" s="38">
        <v>0</v>
      </c>
      <c r="Y35" s="18">
        <v>200000</v>
      </c>
      <c r="Z35" s="13" t="s">
        <v>23</v>
      </c>
      <c r="AA35" s="29">
        <v>0.50684931506849318</v>
      </c>
      <c r="AB35" s="29">
        <v>0.4</v>
      </c>
      <c r="AC35" s="29">
        <v>0</v>
      </c>
      <c r="AD35" s="6"/>
      <c r="AE35" s="27">
        <v>50000</v>
      </c>
      <c r="AF35" s="27">
        <v>21225.839999999997</v>
      </c>
      <c r="AG35" s="15">
        <v>0</v>
      </c>
      <c r="AH35" s="20">
        <v>0.14999999999999997</v>
      </c>
      <c r="AI35" s="20">
        <v>0.40000000000000008</v>
      </c>
      <c r="AJ35" s="21">
        <v>4481.5823712286165</v>
      </c>
      <c r="AK35" s="21">
        <v>4360.4585233575726</v>
      </c>
      <c r="AL35" s="23">
        <v>8181.5823712286165</v>
      </c>
      <c r="AM35" s="23">
        <v>7960.4585233575726</v>
      </c>
      <c r="AN35" s="19">
        <v>0.50684931506849318</v>
      </c>
    </row>
    <row r="36" spans="1:40" x14ac:dyDescent="0.25">
      <c r="A36" t="s">
        <v>68</v>
      </c>
    </row>
    <row r="38" spans="1:40" ht="30" x14ac:dyDescent="0.25">
      <c r="A38" t="s">
        <v>7</v>
      </c>
      <c r="B38" t="s">
        <v>0</v>
      </c>
      <c r="C38" s="17">
        <v>0.3</v>
      </c>
      <c r="D38" s="13" t="s">
        <v>2</v>
      </c>
      <c r="E38" s="16" t="s">
        <v>20</v>
      </c>
      <c r="F38" s="16" t="s">
        <v>18</v>
      </c>
      <c r="G38" s="31">
        <v>8500</v>
      </c>
      <c r="H38" s="32">
        <v>7500</v>
      </c>
      <c r="I38" s="32">
        <v>6500</v>
      </c>
      <c r="J38" s="32">
        <v>11067.84</v>
      </c>
      <c r="K38" s="32">
        <v>12605.039999999999</v>
      </c>
      <c r="L38" s="33"/>
      <c r="M38" s="21">
        <v>39672.879999999997</v>
      </c>
      <c r="N38" s="32">
        <v>4500</v>
      </c>
      <c r="O38" s="32">
        <v>4400</v>
      </c>
      <c r="P38" s="32">
        <v>4300</v>
      </c>
      <c r="Q38" s="32">
        <v>4200</v>
      </c>
      <c r="R38" s="32">
        <v>4100</v>
      </c>
      <c r="S38" s="35">
        <v>0.3</v>
      </c>
      <c r="T38" s="35">
        <v>0.35</v>
      </c>
      <c r="U38" s="36">
        <v>0.3</v>
      </c>
      <c r="V38" s="37">
        <v>0.34999999999999992</v>
      </c>
      <c r="W38" s="38">
        <v>0</v>
      </c>
      <c r="X38" s="38">
        <v>0</v>
      </c>
      <c r="Y38" s="18">
        <v>300000</v>
      </c>
      <c r="Z38" s="13" t="s">
        <v>23</v>
      </c>
      <c r="AA38" s="29">
        <v>0.50602409638554213</v>
      </c>
      <c r="AB38" s="29">
        <v>0</v>
      </c>
      <c r="AC38" s="29">
        <v>0</v>
      </c>
      <c r="AD38" s="6"/>
      <c r="AE38" s="27">
        <v>90000</v>
      </c>
      <c r="AF38" s="27">
        <v>50327.12</v>
      </c>
      <c r="AG38" s="15">
        <v>0</v>
      </c>
      <c r="AH38" s="20">
        <v>0.3</v>
      </c>
      <c r="AI38" s="20">
        <v>0.34999999999999992</v>
      </c>
      <c r="AJ38" s="21">
        <v>8928.9475551770629</v>
      </c>
      <c r="AK38" s="21">
        <v>8716.3535657680877</v>
      </c>
      <c r="AL38" s="23">
        <v>13128.947555177063</v>
      </c>
      <c r="AM38" s="23">
        <v>12816.353565768088</v>
      </c>
      <c r="AN38" s="19">
        <v>0.50602409638554213</v>
      </c>
    </row>
    <row r="39" spans="1:40" x14ac:dyDescent="0.25">
      <c r="A39" t="s">
        <v>69</v>
      </c>
    </row>
    <row r="41" spans="1:40" x14ac:dyDescent="0.25">
      <c r="A41" t="s">
        <v>47</v>
      </c>
      <c r="B41" t="s">
        <v>1</v>
      </c>
      <c r="C41" s="17">
        <v>0.25</v>
      </c>
      <c r="D41" s="13" t="s">
        <v>2</v>
      </c>
      <c r="E41" s="16" t="s">
        <v>17</v>
      </c>
      <c r="F41" s="16" t="s">
        <v>19</v>
      </c>
      <c r="G41" s="31">
        <v>8000</v>
      </c>
      <c r="H41" s="32">
        <v>7000</v>
      </c>
      <c r="I41" s="32">
        <v>6000</v>
      </c>
      <c r="J41" s="32">
        <v>7000</v>
      </c>
      <c r="K41" s="32">
        <v>11000</v>
      </c>
      <c r="L41" s="33"/>
      <c r="M41" s="21">
        <v>26000</v>
      </c>
      <c r="N41" s="32">
        <v>4000</v>
      </c>
      <c r="O41" s="32">
        <v>3900</v>
      </c>
      <c r="P41" s="32">
        <v>3800</v>
      </c>
      <c r="Q41" s="32">
        <v>3700</v>
      </c>
      <c r="R41" s="32">
        <v>3600</v>
      </c>
      <c r="S41" s="35">
        <v>0.25</v>
      </c>
      <c r="T41" s="35">
        <v>0.4</v>
      </c>
      <c r="U41" s="36">
        <v>0.21537931373996949</v>
      </c>
      <c r="V41" s="37">
        <v>0.34785468528637925</v>
      </c>
      <c r="W41" s="38">
        <v>0.13848274504012206</v>
      </c>
      <c r="X41" s="38">
        <v>0.13036328678405187</v>
      </c>
      <c r="Y41" s="18">
        <v>200000</v>
      </c>
      <c r="Z41" s="13" t="s">
        <v>23</v>
      </c>
      <c r="AA41" s="29">
        <v>0.50684931506849318</v>
      </c>
      <c r="AB41" s="29">
        <v>0</v>
      </c>
      <c r="AC41" s="29">
        <v>0</v>
      </c>
      <c r="AD41" s="6"/>
      <c r="AE41" s="27">
        <v>50000</v>
      </c>
      <c r="AF41" s="27">
        <v>24000</v>
      </c>
      <c r="AG41" s="15">
        <v>0</v>
      </c>
      <c r="AH41" s="20">
        <v>0.21537931373996949</v>
      </c>
      <c r="AI41" s="20">
        <v>0.34785468528637925</v>
      </c>
      <c r="AJ41" s="21">
        <v>4933.3333333333321</v>
      </c>
      <c r="AK41" s="21">
        <v>4799.9999999999982</v>
      </c>
      <c r="AL41" s="23">
        <v>8633.3333333333321</v>
      </c>
      <c r="AM41" s="23">
        <v>8399.9999999999982</v>
      </c>
      <c r="AN41" s="19">
        <v>0.50684931506849318</v>
      </c>
    </row>
    <row r="42" spans="1:40" x14ac:dyDescent="0.25">
      <c r="A42" t="s">
        <v>71</v>
      </c>
    </row>
    <row r="44" spans="1:40" ht="30" x14ac:dyDescent="0.25">
      <c r="A44" t="s">
        <v>50</v>
      </c>
      <c r="B44" t="s">
        <v>0</v>
      </c>
      <c r="C44" s="17">
        <v>0.4</v>
      </c>
      <c r="D44" s="13" t="s">
        <v>8</v>
      </c>
      <c r="E44" s="16" t="s">
        <v>21</v>
      </c>
      <c r="F44" s="16"/>
      <c r="G44" s="31">
        <v>8500</v>
      </c>
      <c r="H44" s="32">
        <v>7500</v>
      </c>
      <c r="I44" s="32">
        <v>6500</v>
      </c>
      <c r="J44" s="32">
        <v>10500</v>
      </c>
      <c r="K44" s="32">
        <v>11500</v>
      </c>
      <c r="L44" s="33"/>
      <c r="M44" s="21">
        <v>44500</v>
      </c>
      <c r="N44" s="32">
        <v>4500</v>
      </c>
      <c r="O44" s="32">
        <v>4400</v>
      </c>
      <c r="P44" s="32">
        <v>4300</v>
      </c>
      <c r="Q44" s="32">
        <v>4200</v>
      </c>
      <c r="R44" s="32">
        <v>4100</v>
      </c>
      <c r="S44" s="35">
        <v>0.3</v>
      </c>
      <c r="T44" s="35">
        <v>0.35</v>
      </c>
      <c r="U44" s="36">
        <v>0.28460837887067392</v>
      </c>
      <c r="V44" s="37">
        <v>0.31931671775734155</v>
      </c>
      <c r="W44" s="38">
        <v>5.1305403764420172E-2</v>
      </c>
      <c r="X44" s="38">
        <v>8.7666520693309907E-2</v>
      </c>
      <c r="Y44" s="18">
        <v>300000</v>
      </c>
      <c r="Z44" s="13" t="s">
        <v>23</v>
      </c>
      <c r="AA44" s="29">
        <v>0.50602409638554213</v>
      </c>
      <c r="AB44" s="29">
        <v>0</v>
      </c>
      <c r="AC44" s="29">
        <v>0</v>
      </c>
      <c r="AD44" s="6"/>
      <c r="AE44" s="27">
        <v>120000</v>
      </c>
      <c r="AF44" s="27">
        <v>75500</v>
      </c>
      <c r="AG44" s="15">
        <v>0</v>
      </c>
      <c r="AH44" s="20">
        <v>0.28460837887067392</v>
      </c>
      <c r="AI44" s="20">
        <v>0.31931671775734155</v>
      </c>
      <c r="AJ44" s="21">
        <v>14413.63636363636</v>
      </c>
      <c r="AK44" s="21">
        <v>14070.454545454546</v>
      </c>
      <c r="AL44" s="23">
        <v>18613.63636363636</v>
      </c>
      <c r="AM44" s="23">
        <v>18170.454545454544</v>
      </c>
      <c r="AN44" s="19">
        <v>0.50602409638554213</v>
      </c>
    </row>
    <row r="45" spans="1:40" x14ac:dyDescent="0.25">
      <c r="A45" t="s">
        <v>70</v>
      </c>
    </row>
    <row r="48" spans="1:40" x14ac:dyDescent="0.25">
      <c r="A48" t="s">
        <v>63</v>
      </c>
      <c r="B48" t="s">
        <v>1</v>
      </c>
      <c r="C48" s="17">
        <v>0.25</v>
      </c>
      <c r="D48" s="13" t="s">
        <v>2</v>
      </c>
      <c r="E48" s="16" t="s">
        <v>17</v>
      </c>
      <c r="F48" s="16" t="s">
        <v>19</v>
      </c>
      <c r="G48" s="31">
        <v>8000</v>
      </c>
      <c r="H48" s="32">
        <v>7000</v>
      </c>
      <c r="I48" s="32">
        <v>6000</v>
      </c>
      <c r="J48" s="32">
        <v>7000</v>
      </c>
      <c r="K48" s="32">
        <v>11000</v>
      </c>
      <c r="L48" s="33"/>
      <c r="M48" s="21">
        <v>26000</v>
      </c>
      <c r="N48" s="32">
        <v>4000</v>
      </c>
      <c r="O48" s="32">
        <v>3900</v>
      </c>
      <c r="P48" s="32">
        <v>3800</v>
      </c>
      <c r="Q48" s="32">
        <v>3700</v>
      </c>
      <c r="R48" s="32">
        <v>3600</v>
      </c>
      <c r="S48" s="35">
        <v>0.25</v>
      </c>
      <c r="T48" s="35">
        <v>0.4</v>
      </c>
      <c r="U48" s="36">
        <v>0.21537931373996949</v>
      </c>
      <c r="V48" s="37">
        <v>0.34785468528637925</v>
      </c>
      <c r="W48" s="38">
        <v>0.13848274504012206</v>
      </c>
      <c r="X48" s="38">
        <v>0.13036328678405187</v>
      </c>
      <c r="Y48" s="18">
        <v>200000</v>
      </c>
      <c r="Z48" s="13" t="s">
        <v>48</v>
      </c>
      <c r="AA48" s="29">
        <v>0.50684931506849318</v>
      </c>
      <c r="AB48" s="29">
        <v>0</v>
      </c>
      <c r="AC48" s="29">
        <v>0</v>
      </c>
      <c r="AD48" s="6"/>
      <c r="AE48" s="27">
        <v>50000</v>
      </c>
      <c r="AF48" s="27">
        <v>24000</v>
      </c>
      <c r="AG48" s="15">
        <v>0</v>
      </c>
      <c r="AH48" s="20">
        <v>0.21537931373996949</v>
      </c>
      <c r="AI48" s="20">
        <v>0.34785468528637925</v>
      </c>
      <c r="AJ48" s="21">
        <v>9203.7499999999982</v>
      </c>
      <c r="AK48" s="21">
        <v>8954.9999999999982</v>
      </c>
      <c r="AL48" s="23">
        <v>12903.749999999998</v>
      </c>
      <c r="AM48" s="23">
        <v>12554.999999999998</v>
      </c>
      <c r="AN48" s="19">
        <v>0.50684931506849318</v>
      </c>
    </row>
    <row r="49" spans="1:40" ht="30" x14ac:dyDescent="0.25">
      <c r="B49" t="s">
        <v>0</v>
      </c>
      <c r="C49" s="17">
        <v>0.4</v>
      </c>
      <c r="D49" s="13" t="s">
        <v>8</v>
      </c>
      <c r="E49" s="16" t="s">
        <v>21</v>
      </c>
      <c r="F49" s="16"/>
      <c r="G49" s="31">
        <v>8500</v>
      </c>
      <c r="H49" s="32">
        <v>7500</v>
      </c>
      <c r="I49" s="32">
        <v>6500</v>
      </c>
      <c r="J49" s="32">
        <v>10500</v>
      </c>
      <c r="K49" s="32">
        <v>11500</v>
      </c>
      <c r="L49" s="33"/>
      <c r="M49" s="21">
        <v>44500</v>
      </c>
      <c r="N49" s="32">
        <v>4500</v>
      </c>
      <c r="O49" s="32">
        <v>4400</v>
      </c>
      <c r="P49" s="32">
        <v>4300</v>
      </c>
      <c r="Q49" s="32">
        <v>4200</v>
      </c>
      <c r="R49" s="32">
        <v>4100</v>
      </c>
      <c r="S49" s="35">
        <v>0.3</v>
      </c>
      <c r="T49" s="35">
        <v>0.35</v>
      </c>
      <c r="U49" s="36">
        <v>0.28460837887067392</v>
      </c>
      <c r="V49" s="37">
        <v>0.31931671775734155</v>
      </c>
      <c r="W49" s="38">
        <v>5.1305403764420172E-2</v>
      </c>
      <c r="X49" s="38">
        <v>8.7666520693309907E-2</v>
      </c>
      <c r="Y49" s="18">
        <v>300000</v>
      </c>
      <c r="Z49" s="13" t="s">
        <v>48</v>
      </c>
      <c r="AA49" s="29">
        <v>0.50602409638554213</v>
      </c>
      <c r="AB49" s="29">
        <v>0</v>
      </c>
      <c r="AC49" s="29">
        <v>0</v>
      </c>
      <c r="AD49" s="6"/>
      <c r="AE49" s="27">
        <v>120000</v>
      </c>
      <c r="AF49" s="27">
        <v>75500</v>
      </c>
      <c r="AG49" s="15">
        <v>0</v>
      </c>
      <c r="AH49" s="20">
        <v>0.28460837887067392</v>
      </c>
      <c r="AI49" s="20">
        <v>0.31931671775734155</v>
      </c>
      <c r="AJ49" s="21">
        <v>10447.499999999998</v>
      </c>
      <c r="AK49" s="21">
        <v>10198.749999999998</v>
      </c>
      <c r="AL49" s="23">
        <v>14647.499999999998</v>
      </c>
      <c r="AM49" s="23">
        <v>14298.749999999998</v>
      </c>
      <c r="AN49" s="19">
        <v>0.50602409638554213</v>
      </c>
    </row>
    <row r="50" spans="1:40" x14ac:dyDescent="0.25">
      <c r="B50" t="s">
        <v>65</v>
      </c>
      <c r="C50" s="17"/>
      <c r="D50" s="13"/>
      <c r="E50" s="16"/>
      <c r="F50" s="16"/>
      <c r="G50" s="31">
        <v>16500</v>
      </c>
      <c r="H50" s="32">
        <v>14500</v>
      </c>
      <c r="I50" s="32">
        <v>12500</v>
      </c>
      <c r="J50" s="32">
        <v>17500</v>
      </c>
      <c r="K50" s="32">
        <v>22500</v>
      </c>
      <c r="L50" s="33"/>
      <c r="M50" s="21">
        <v>70500</v>
      </c>
      <c r="N50" s="32">
        <v>8500</v>
      </c>
      <c r="O50" s="32">
        <v>8300</v>
      </c>
      <c r="P50" s="32">
        <v>8100</v>
      </c>
      <c r="Q50" s="32">
        <v>7900</v>
      </c>
      <c r="R50" s="32">
        <v>7700</v>
      </c>
      <c r="S50" s="35">
        <v>0.27658227848101263</v>
      </c>
      <c r="T50" s="35">
        <v>0.37337662337662336</v>
      </c>
      <c r="U50" s="36">
        <v>0.25218463950566045</v>
      </c>
      <c r="V50" s="37">
        <v>0.332659144134554</v>
      </c>
      <c r="W50" s="38">
        <v>8.821114320607891E-2</v>
      </c>
      <c r="X50" s="38">
        <v>0.1090520313613685</v>
      </c>
      <c r="Y50" s="18">
        <v>500000</v>
      </c>
      <c r="Z50" s="13"/>
      <c r="AA50" s="29">
        <v>0.50641025641025639</v>
      </c>
      <c r="AB50" s="29"/>
      <c r="AC50" s="29"/>
      <c r="AD50" s="6"/>
      <c r="AE50" s="27">
        <v>170000</v>
      </c>
      <c r="AF50" s="27">
        <v>99500</v>
      </c>
      <c r="AG50" s="15">
        <v>0</v>
      </c>
      <c r="AH50" s="20">
        <v>0.25218463950566045</v>
      </c>
      <c r="AI50" s="20">
        <v>0.332659144134554</v>
      </c>
      <c r="AJ50" s="21">
        <v>19651.249999999996</v>
      </c>
      <c r="AK50" s="21">
        <v>19153.749999999996</v>
      </c>
      <c r="AL50" s="23">
        <v>27551.249999999996</v>
      </c>
      <c r="AM50" s="23">
        <v>26853.749999999996</v>
      </c>
      <c r="AN50" s="19">
        <v>0.50641025641025639</v>
      </c>
    </row>
    <row r="53" spans="1:40" x14ac:dyDescent="0.25">
      <c r="A53" t="s">
        <v>64</v>
      </c>
      <c r="B53" t="s">
        <v>1</v>
      </c>
      <c r="C53" s="17">
        <v>0.25</v>
      </c>
      <c r="D53" s="13" t="s">
        <v>2</v>
      </c>
      <c r="E53" s="16" t="s">
        <v>17</v>
      </c>
      <c r="F53" s="16" t="s">
        <v>19</v>
      </c>
      <c r="G53" s="31">
        <v>8000</v>
      </c>
      <c r="H53" s="32">
        <v>7000</v>
      </c>
      <c r="I53" s="32">
        <v>6000</v>
      </c>
      <c r="J53" s="32">
        <v>7000</v>
      </c>
      <c r="K53" s="32">
        <v>11000</v>
      </c>
      <c r="L53" s="33">
        <v>40000</v>
      </c>
      <c r="M53" s="21">
        <v>40000</v>
      </c>
      <c r="N53" s="32">
        <v>4000</v>
      </c>
      <c r="O53" s="32">
        <v>3900</v>
      </c>
      <c r="P53" s="32">
        <v>3800</v>
      </c>
      <c r="Q53" s="32">
        <v>3700</v>
      </c>
      <c r="R53" s="32">
        <v>3600</v>
      </c>
      <c r="S53" s="35">
        <v>0.25</v>
      </c>
      <c r="T53" s="35">
        <v>0.4</v>
      </c>
      <c r="U53" s="36">
        <v>0.21537931373996949</v>
      </c>
      <c r="V53" s="37">
        <v>0.34785468528637925</v>
      </c>
      <c r="W53" s="38">
        <v>0.13848274504012206</v>
      </c>
      <c r="X53" s="38">
        <v>0.13036328678405187</v>
      </c>
      <c r="Y53" s="18">
        <v>200000</v>
      </c>
      <c r="Z53" s="13" t="s">
        <v>23</v>
      </c>
      <c r="AA53" s="29">
        <v>0.50684931506849318</v>
      </c>
      <c r="AB53" s="29">
        <v>0</v>
      </c>
      <c r="AC53" s="29">
        <v>0</v>
      </c>
      <c r="AD53" s="6"/>
      <c r="AE53" s="27">
        <v>50000</v>
      </c>
      <c r="AF53" s="27">
        <v>10000</v>
      </c>
      <c r="AG53" s="15">
        <v>0</v>
      </c>
      <c r="AH53" s="20">
        <v>0.21537931373996949</v>
      </c>
      <c r="AI53" s="20">
        <v>0.34785468528637925</v>
      </c>
      <c r="AJ53" s="21">
        <v>2055.5555555555552</v>
      </c>
      <c r="AK53" s="21">
        <v>1999.9999999999995</v>
      </c>
      <c r="AL53" s="23">
        <v>5755.5555555555547</v>
      </c>
      <c r="AM53" s="23">
        <v>5600</v>
      </c>
      <c r="AN53" s="19">
        <v>0.50684931506849318</v>
      </c>
    </row>
    <row r="54" spans="1:40" x14ac:dyDescent="0.25">
      <c r="A54" t="s">
        <v>74</v>
      </c>
    </row>
    <row r="56" spans="1:40" x14ac:dyDescent="0.25">
      <c r="A56" t="s">
        <v>73</v>
      </c>
      <c r="B56" t="s">
        <v>1</v>
      </c>
      <c r="C56" s="17">
        <v>0.25</v>
      </c>
      <c r="D56" s="13" t="s">
        <v>2</v>
      </c>
      <c r="E56" s="16" t="s">
        <v>17</v>
      </c>
      <c r="F56" s="16" t="s">
        <v>19</v>
      </c>
      <c r="G56" s="31">
        <v>8000</v>
      </c>
      <c r="H56" s="32">
        <v>7000</v>
      </c>
      <c r="I56" s="32">
        <v>6000</v>
      </c>
      <c r="J56" s="32">
        <v>7000</v>
      </c>
      <c r="K56" s="32">
        <v>11000</v>
      </c>
      <c r="L56" s="33"/>
      <c r="M56" s="21">
        <v>26000</v>
      </c>
      <c r="N56" s="32">
        <v>4000</v>
      </c>
      <c r="O56" s="32">
        <v>3900</v>
      </c>
      <c r="P56" s="32">
        <v>3800</v>
      </c>
      <c r="Q56" s="32">
        <v>3700</v>
      </c>
      <c r="R56" s="32">
        <v>3600</v>
      </c>
      <c r="S56" s="35">
        <v>0.25</v>
      </c>
      <c r="T56" s="35">
        <v>0.4</v>
      </c>
      <c r="U56" s="36">
        <v>0.21537931373996949</v>
      </c>
      <c r="V56" s="37">
        <v>0.34785468528637925</v>
      </c>
      <c r="W56" s="38">
        <v>0.13848274504012206</v>
      </c>
      <c r="X56" s="38">
        <v>0.13036328678405187</v>
      </c>
      <c r="Y56" s="18">
        <v>200000</v>
      </c>
      <c r="Z56" s="13" t="s">
        <v>23</v>
      </c>
      <c r="AA56" s="29">
        <v>0</v>
      </c>
      <c r="AB56" s="29">
        <v>0</v>
      </c>
      <c r="AC56" s="29">
        <v>0</v>
      </c>
      <c r="AD56" s="6"/>
      <c r="AE56" s="27">
        <v>50000</v>
      </c>
      <c r="AF56" s="27">
        <v>24000</v>
      </c>
      <c r="AG56" s="15">
        <v>0</v>
      </c>
      <c r="AH56" s="20">
        <v>0.21537931373996949</v>
      </c>
      <c r="AI56" s="20">
        <v>0.34785468528637925</v>
      </c>
      <c r="AJ56" s="21">
        <v>0</v>
      </c>
      <c r="AK56" s="21">
        <v>7854.545454545455</v>
      </c>
      <c r="AL56" s="23">
        <v>3700</v>
      </c>
      <c r="AM56" s="23">
        <v>11454.545454545456</v>
      </c>
      <c r="AN56" s="19">
        <v>0</v>
      </c>
    </row>
    <row r="57" spans="1:40" x14ac:dyDescent="0.25">
      <c r="A57" t="s">
        <v>75</v>
      </c>
    </row>
    <row r="59" spans="1:40" x14ac:dyDescent="0.25">
      <c r="A59" t="s">
        <v>76</v>
      </c>
      <c r="B59" t="s">
        <v>1</v>
      </c>
      <c r="C59" s="17">
        <v>0.25</v>
      </c>
      <c r="D59" s="13" t="s">
        <v>2</v>
      </c>
      <c r="E59" s="16" t="s">
        <v>17</v>
      </c>
      <c r="F59" s="16" t="s">
        <v>19</v>
      </c>
      <c r="G59" s="31">
        <v>8000</v>
      </c>
      <c r="H59" s="32">
        <v>7000</v>
      </c>
      <c r="I59" s="32">
        <v>6000</v>
      </c>
      <c r="J59" s="32">
        <v>7000</v>
      </c>
      <c r="K59" s="32">
        <v>11000</v>
      </c>
      <c r="L59" s="33"/>
      <c r="M59" s="21">
        <v>26000</v>
      </c>
      <c r="N59" s="32">
        <v>4000</v>
      </c>
      <c r="O59" s="32">
        <v>3900</v>
      </c>
      <c r="P59" s="32">
        <v>3800</v>
      </c>
      <c r="Q59" s="32">
        <v>3700</v>
      </c>
      <c r="R59" s="32">
        <v>3600</v>
      </c>
      <c r="S59" s="35">
        <v>0.25</v>
      </c>
      <c r="T59" s="35">
        <v>0.4</v>
      </c>
      <c r="U59" s="36">
        <v>0.21537931373996949</v>
      </c>
      <c r="V59" s="37">
        <v>0.34785468528637925</v>
      </c>
      <c r="W59" s="38">
        <v>0.13848274504012206</v>
      </c>
      <c r="X59" s="38">
        <v>0.13036328678405187</v>
      </c>
      <c r="Y59" s="18">
        <v>200000</v>
      </c>
      <c r="Z59" s="13" t="s">
        <v>23</v>
      </c>
      <c r="AA59" s="29">
        <v>0.75</v>
      </c>
      <c r="AB59" s="29">
        <v>0</v>
      </c>
      <c r="AC59" s="29">
        <v>0</v>
      </c>
      <c r="AD59" s="6"/>
      <c r="AE59" s="27">
        <v>50000</v>
      </c>
      <c r="AF59" s="27">
        <v>24000</v>
      </c>
      <c r="AG59" s="15">
        <v>0</v>
      </c>
      <c r="AH59" s="20">
        <v>0.21537931373996949</v>
      </c>
      <c r="AI59" s="20">
        <v>0.34785468528637925</v>
      </c>
      <c r="AJ59" s="21">
        <v>8246.2596732588117</v>
      </c>
      <c r="AK59" s="21">
        <v>2748.7532244196036</v>
      </c>
      <c r="AL59" s="23">
        <v>11946.259673258812</v>
      </c>
      <c r="AM59" s="23">
        <v>6348.7532244196036</v>
      </c>
      <c r="AN59" s="19">
        <v>0.75000000000000011</v>
      </c>
    </row>
    <row r="60" spans="1:40" x14ac:dyDescent="0.25">
      <c r="A60" t="s">
        <v>78</v>
      </c>
    </row>
    <row r="62" spans="1:40" x14ac:dyDescent="0.25">
      <c r="A62" t="s">
        <v>77</v>
      </c>
      <c r="B62" t="s">
        <v>1</v>
      </c>
      <c r="C62" s="17">
        <v>0.25</v>
      </c>
      <c r="D62" s="13" t="s">
        <v>2</v>
      </c>
      <c r="E62" s="16" t="s">
        <v>17</v>
      </c>
      <c r="F62" s="16" t="s">
        <v>19</v>
      </c>
      <c r="G62" s="31">
        <v>8000</v>
      </c>
      <c r="H62" s="32">
        <v>7000</v>
      </c>
      <c r="I62" s="32">
        <v>6000</v>
      </c>
      <c r="J62" s="32">
        <v>7000</v>
      </c>
      <c r="K62" s="32">
        <v>11000</v>
      </c>
      <c r="L62" s="33"/>
      <c r="M62" s="21">
        <v>26000</v>
      </c>
      <c r="N62" s="32">
        <v>4000</v>
      </c>
      <c r="O62" s="32">
        <v>3900</v>
      </c>
      <c r="P62" s="32">
        <v>3800</v>
      </c>
      <c r="Q62" s="32">
        <v>3700</v>
      </c>
      <c r="R62" s="32">
        <v>3600</v>
      </c>
      <c r="S62" s="35">
        <v>0.25</v>
      </c>
      <c r="T62" s="35">
        <v>0.4</v>
      </c>
      <c r="U62" s="36">
        <v>0.21537931373996949</v>
      </c>
      <c r="V62" s="37">
        <v>0.34785468528637925</v>
      </c>
      <c r="W62" s="38">
        <v>0.13848274504012206</v>
      </c>
      <c r="X62" s="38">
        <v>0.13036328678405187</v>
      </c>
      <c r="Y62" s="18">
        <v>200000</v>
      </c>
      <c r="Z62" s="13" t="s">
        <v>23</v>
      </c>
      <c r="AA62" s="29">
        <v>1</v>
      </c>
      <c r="AB62" s="29">
        <v>0</v>
      </c>
      <c r="AC62" s="29">
        <v>0</v>
      </c>
      <c r="AD62" s="6"/>
      <c r="AE62" s="27">
        <v>50000</v>
      </c>
      <c r="AF62" s="27">
        <v>24000</v>
      </c>
      <c r="AG62" s="15">
        <v>0</v>
      </c>
      <c r="AH62" s="20">
        <v>0.21537931373996949</v>
      </c>
      <c r="AI62" s="20">
        <v>0.34785468528637925</v>
      </c>
      <c r="AJ62" s="21">
        <v>12685.714285714284</v>
      </c>
      <c r="AK62" s="21">
        <v>0</v>
      </c>
      <c r="AL62" s="23">
        <v>16385.714285714283</v>
      </c>
      <c r="AM62" s="23">
        <v>3600</v>
      </c>
      <c r="AN62" s="19">
        <v>1</v>
      </c>
    </row>
    <row r="63" spans="1:40" x14ac:dyDescent="0.25">
      <c r="A63" t="s">
        <v>79</v>
      </c>
    </row>
    <row r="65" spans="1:40" x14ac:dyDescent="0.25">
      <c r="A65" t="s">
        <v>80</v>
      </c>
      <c r="B65" t="s">
        <v>1</v>
      </c>
      <c r="C65" s="17">
        <v>0.25</v>
      </c>
      <c r="D65" s="13" t="s">
        <v>2</v>
      </c>
      <c r="E65" s="16" t="s">
        <v>17</v>
      </c>
      <c r="F65" s="16" t="s">
        <v>19</v>
      </c>
      <c r="G65" s="31">
        <v>8000</v>
      </c>
      <c r="H65" s="32">
        <v>7000</v>
      </c>
      <c r="I65" s="32">
        <v>6000</v>
      </c>
      <c r="J65" s="32">
        <v>7000</v>
      </c>
      <c r="K65" s="32">
        <v>11000</v>
      </c>
      <c r="L65" s="33"/>
      <c r="M65" s="21">
        <v>26000</v>
      </c>
      <c r="N65" s="32">
        <v>4000</v>
      </c>
      <c r="O65" s="32">
        <v>3900</v>
      </c>
      <c r="P65" s="32">
        <v>3800</v>
      </c>
      <c r="Q65" s="32">
        <v>3700</v>
      </c>
      <c r="R65" s="32">
        <v>3600</v>
      </c>
      <c r="S65" s="35">
        <v>0.25</v>
      </c>
      <c r="T65" s="35">
        <v>0.4</v>
      </c>
      <c r="U65" s="36">
        <v>0.21537931373996949</v>
      </c>
      <c r="V65" s="37">
        <v>0.34785468528637925</v>
      </c>
      <c r="W65" s="38">
        <v>0.13848274504012206</v>
      </c>
      <c r="X65" s="38">
        <v>0.13036328678405187</v>
      </c>
      <c r="Y65" s="18">
        <v>200000</v>
      </c>
      <c r="Z65" s="13" t="s">
        <v>23</v>
      </c>
      <c r="AA65" s="29">
        <v>0.75</v>
      </c>
      <c r="AB65" s="29">
        <v>0</v>
      </c>
      <c r="AC65" s="29">
        <v>0.15</v>
      </c>
      <c r="AD65" s="6"/>
      <c r="AE65" s="27">
        <v>50000</v>
      </c>
      <c r="AF65" s="27">
        <v>24000</v>
      </c>
      <c r="AG65" s="15">
        <v>0</v>
      </c>
      <c r="AH65" s="20">
        <v>0.21537931373996949</v>
      </c>
      <c r="AI65" s="20">
        <v>0.29567648249342238</v>
      </c>
      <c r="AJ65" s="21">
        <v>8703.1172013249234</v>
      </c>
      <c r="AK65" s="21">
        <v>2901.0390671083078</v>
      </c>
      <c r="AL65" s="23">
        <v>12403.117201324923</v>
      </c>
      <c r="AM65" s="23">
        <v>6501.0390671083078</v>
      </c>
      <c r="AN65" s="19">
        <v>0.75</v>
      </c>
    </row>
    <row r="66" spans="1:40" x14ac:dyDescent="0.25">
      <c r="A66" t="s">
        <v>81</v>
      </c>
    </row>
  </sheetData>
  <mergeCells count="11">
    <mergeCell ref="A18:A19"/>
    <mergeCell ref="A30:C32"/>
    <mergeCell ref="AE1:AT1"/>
    <mergeCell ref="A8:A9"/>
    <mergeCell ref="G1:T1"/>
    <mergeCell ref="U1:X1"/>
    <mergeCell ref="A14:A15"/>
    <mergeCell ref="A11:A12"/>
    <mergeCell ref="A5:A6"/>
    <mergeCell ref="C1:F1"/>
    <mergeCell ref="Y1:AC1"/>
  </mergeCells>
  <hyperlinks>
    <hyperlink ref="C2" r:id="rId1" xr:uid="{1519109F-0BB0-493A-B4FE-1A14614D491F}"/>
  </hyperlinks>
  <pageMargins left="0.7" right="0.7" top="0.75" bottom="0.75" header="0.3" footer="0.3"/>
  <pageSetup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Livengood</dc:creator>
  <cp:lastModifiedBy>Dan Livengood</cp:lastModifiedBy>
  <dcterms:created xsi:type="dcterms:W3CDTF">2020-01-21T22:10:05Z</dcterms:created>
  <dcterms:modified xsi:type="dcterms:W3CDTF">2020-02-01T00:28:31Z</dcterms:modified>
</cp:coreProperties>
</file>