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sportnzgroup-my.sharepoint.com/personal/sam_bremer_hpsnz_org_nz/Documents/Desktop/Scripts/ME monitoring/pages/ME_Monitoring/"/>
    </mc:Choice>
  </mc:AlternateContent>
  <xr:revisionPtr revIDLastSave="180" documentId="8_{2C900032-E715-48F6-856F-D8BAA8DE9DE2}" xr6:coauthVersionLast="47" xr6:coauthVersionMax="47" xr10:uidLastSave="{EADB7BB6-6F33-4806-9181-E987BE4EF0CF}"/>
  <bookViews>
    <workbookView xWindow="-98" yWindow="-98" windowWidth="19396" windowHeight="11475" activeTab="6" xr2:uid="{00000000-000D-0000-FFFF-FFFF00000000}"/>
  </bookViews>
  <sheets>
    <sheet name="Campbell" sheetId="1" r:id="rId1"/>
    <sheet name="George" sheetId="5" r:id="rId2"/>
    <sheet name="Nick" sheetId="7" r:id="rId3"/>
    <sheet name="Tom" sheetId="9" r:id="rId4"/>
    <sheet name="Keegan" sheetId="6" r:id="rId5"/>
    <sheet name="Gatey" sheetId="4" r:id="rId6"/>
    <sheet name="Marshall" sheetId="10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10" l="1"/>
  <c r="I58" i="10"/>
  <c r="J58" i="10"/>
  <c r="L58" i="10"/>
  <c r="M58" i="10"/>
  <c r="O58" i="10"/>
  <c r="P58" i="10"/>
  <c r="C58" i="10"/>
  <c r="G288" i="4"/>
  <c r="I288" i="4"/>
  <c r="J288" i="4"/>
  <c r="L288" i="4"/>
  <c r="M288" i="4"/>
  <c r="O288" i="4"/>
  <c r="P288" i="4"/>
  <c r="G289" i="4"/>
  <c r="I289" i="4"/>
  <c r="J289" i="4"/>
  <c r="L289" i="4"/>
  <c r="M289" i="4"/>
  <c r="O289" i="4"/>
  <c r="P289" i="4"/>
  <c r="G290" i="4"/>
  <c r="I290" i="4"/>
  <c r="J290" i="4"/>
  <c r="L290" i="4"/>
  <c r="M290" i="4"/>
  <c r="O290" i="4"/>
  <c r="P290" i="4"/>
  <c r="C290" i="4"/>
  <c r="C289" i="4"/>
  <c r="C288" i="4"/>
  <c r="G283" i="6"/>
  <c r="I283" i="6"/>
  <c r="J283" i="6"/>
  <c r="L283" i="6"/>
  <c r="M283" i="6"/>
  <c r="O283" i="6"/>
  <c r="P283" i="6"/>
  <c r="G284" i="6"/>
  <c r="I284" i="6"/>
  <c r="J284" i="6"/>
  <c r="L284" i="6"/>
  <c r="M284" i="6"/>
  <c r="O284" i="6"/>
  <c r="P284" i="6"/>
  <c r="G285" i="6"/>
  <c r="I285" i="6"/>
  <c r="J285" i="6"/>
  <c r="L285" i="6"/>
  <c r="M285" i="6"/>
  <c r="O285" i="6"/>
  <c r="P285" i="6"/>
  <c r="G288" i="9"/>
  <c r="I288" i="9"/>
  <c r="J288" i="9"/>
  <c r="L288" i="9"/>
  <c r="M288" i="9"/>
  <c r="O288" i="9"/>
  <c r="P288" i="9"/>
  <c r="G289" i="9"/>
  <c r="I289" i="9"/>
  <c r="J289" i="9"/>
  <c r="L289" i="9"/>
  <c r="M289" i="9"/>
  <c r="O289" i="9"/>
  <c r="P289" i="9"/>
  <c r="G290" i="9"/>
  <c r="I290" i="9"/>
  <c r="J290" i="9"/>
  <c r="L290" i="9"/>
  <c r="M290" i="9"/>
  <c r="O290" i="9"/>
  <c r="P290" i="9"/>
  <c r="C285" i="6"/>
  <c r="C284" i="6"/>
  <c r="C283" i="6"/>
  <c r="C290" i="9"/>
  <c r="C289" i="9"/>
  <c r="C288" i="9"/>
  <c r="C290" i="1"/>
  <c r="C289" i="1"/>
  <c r="I290" i="1" s="1"/>
  <c r="C288" i="1"/>
  <c r="L288" i="1" s="1"/>
  <c r="G288" i="7"/>
  <c r="I288" i="7"/>
  <c r="J288" i="7"/>
  <c r="L288" i="7"/>
  <c r="M288" i="7"/>
  <c r="O288" i="7"/>
  <c r="P288" i="7"/>
  <c r="G289" i="7"/>
  <c r="I289" i="7"/>
  <c r="J289" i="7"/>
  <c r="L289" i="7"/>
  <c r="M289" i="7"/>
  <c r="O289" i="7"/>
  <c r="P289" i="7"/>
  <c r="G290" i="7"/>
  <c r="I290" i="7"/>
  <c r="J290" i="7"/>
  <c r="L290" i="7"/>
  <c r="M290" i="7"/>
  <c r="O290" i="7"/>
  <c r="P290" i="7"/>
  <c r="C290" i="7"/>
  <c r="C289" i="7"/>
  <c r="C288" i="7"/>
  <c r="G280" i="5"/>
  <c r="I280" i="5"/>
  <c r="J280" i="5"/>
  <c r="L280" i="5"/>
  <c r="M280" i="5"/>
  <c r="O280" i="5"/>
  <c r="P280" i="5"/>
  <c r="G281" i="5"/>
  <c r="I281" i="5"/>
  <c r="J281" i="5"/>
  <c r="L281" i="5"/>
  <c r="M281" i="5"/>
  <c r="O281" i="5"/>
  <c r="P281" i="5"/>
  <c r="G282" i="5"/>
  <c r="I282" i="5"/>
  <c r="J282" i="5"/>
  <c r="L282" i="5"/>
  <c r="M282" i="5"/>
  <c r="O282" i="5"/>
  <c r="P282" i="5"/>
  <c r="C282" i="5"/>
  <c r="C281" i="5"/>
  <c r="C280" i="5"/>
  <c r="G288" i="1"/>
  <c r="I288" i="1"/>
  <c r="J288" i="1"/>
  <c r="M288" i="1"/>
  <c r="O288" i="1"/>
  <c r="P288" i="1"/>
  <c r="G289" i="1"/>
  <c r="J289" i="1"/>
  <c r="L289" i="1"/>
  <c r="M289" i="1"/>
  <c r="P289" i="1"/>
  <c r="G290" i="1"/>
  <c r="J290" i="1"/>
  <c r="M290" i="1"/>
  <c r="P290" i="1"/>
  <c r="C57" i="10"/>
  <c r="C56" i="10"/>
  <c r="O289" i="1" l="1"/>
  <c r="I289" i="1"/>
  <c r="O290" i="1"/>
  <c r="L290" i="1"/>
  <c r="C55" i="10"/>
  <c r="C54" i="10"/>
  <c r="G287" i="4"/>
  <c r="I287" i="4"/>
  <c r="J287" i="4"/>
  <c r="L287" i="4"/>
  <c r="M287" i="4"/>
  <c r="O287" i="4"/>
  <c r="P287" i="4"/>
  <c r="C287" i="4"/>
  <c r="G281" i="6"/>
  <c r="I281" i="6"/>
  <c r="J281" i="6"/>
  <c r="L281" i="6"/>
  <c r="M281" i="6"/>
  <c r="O281" i="6"/>
  <c r="P281" i="6"/>
  <c r="G282" i="6"/>
  <c r="I282" i="6"/>
  <c r="J282" i="6"/>
  <c r="L282" i="6"/>
  <c r="M282" i="6"/>
  <c r="O282" i="6"/>
  <c r="P282" i="6"/>
  <c r="C282" i="6"/>
  <c r="C281" i="6"/>
  <c r="G287" i="9"/>
  <c r="I287" i="9"/>
  <c r="J287" i="9"/>
  <c r="L287" i="9"/>
  <c r="M287" i="9"/>
  <c r="O287" i="9"/>
  <c r="P287" i="9"/>
  <c r="C287" i="9"/>
  <c r="G287" i="7"/>
  <c r="I287" i="7"/>
  <c r="J287" i="7"/>
  <c r="L287" i="7"/>
  <c r="M287" i="7"/>
  <c r="O287" i="7"/>
  <c r="P287" i="7"/>
  <c r="C287" i="7"/>
  <c r="G279" i="5"/>
  <c r="I279" i="5"/>
  <c r="J279" i="5"/>
  <c r="L279" i="5"/>
  <c r="M279" i="5"/>
  <c r="O279" i="5"/>
  <c r="P279" i="5"/>
  <c r="C279" i="5"/>
  <c r="G286" i="1"/>
  <c r="J286" i="1"/>
  <c r="M286" i="1"/>
  <c r="P286" i="1"/>
  <c r="G287" i="1"/>
  <c r="J287" i="1"/>
  <c r="M287" i="1"/>
  <c r="P287" i="1"/>
  <c r="C287" i="1"/>
  <c r="C286" i="1"/>
  <c r="G286" i="9"/>
  <c r="I286" i="9"/>
  <c r="J286" i="9"/>
  <c r="L286" i="9"/>
  <c r="M286" i="9"/>
  <c r="O286" i="9"/>
  <c r="P286" i="9"/>
  <c r="C286" i="9"/>
  <c r="G286" i="7"/>
  <c r="I286" i="7"/>
  <c r="J286" i="7"/>
  <c r="L286" i="7"/>
  <c r="M286" i="7"/>
  <c r="O286" i="7"/>
  <c r="P286" i="7"/>
  <c r="C286" i="7"/>
  <c r="G278" i="5"/>
  <c r="I278" i="5"/>
  <c r="J278" i="5"/>
  <c r="L278" i="5"/>
  <c r="M278" i="5"/>
  <c r="O278" i="5"/>
  <c r="P278" i="5"/>
  <c r="C278" i="5"/>
  <c r="C286" i="4"/>
  <c r="G286" i="4"/>
  <c r="I286" i="4"/>
  <c r="J286" i="4"/>
  <c r="L286" i="4"/>
  <c r="M286" i="4"/>
  <c r="O286" i="4"/>
  <c r="P286" i="4"/>
  <c r="C53" i="10"/>
  <c r="O53" i="10" s="1"/>
  <c r="C52" i="10"/>
  <c r="C50" i="10"/>
  <c r="O50" i="10" s="1"/>
  <c r="C49" i="10"/>
  <c r="C48" i="10"/>
  <c r="I51" i="10" s="1"/>
  <c r="C47" i="10"/>
  <c r="C46" i="10"/>
  <c r="O46" i="10" s="1"/>
  <c r="C45" i="10"/>
  <c r="C44" i="10"/>
  <c r="C43" i="10"/>
  <c r="O43" i="10" s="1"/>
  <c r="C42" i="10"/>
  <c r="C41" i="10"/>
  <c r="I44" i="10" s="1"/>
  <c r="C40" i="10"/>
  <c r="L46" i="10" s="1"/>
  <c r="C39" i="10"/>
  <c r="C38" i="10"/>
  <c r="C37" i="10"/>
  <c r="I40" i="10" s="1"/>
  <c r="C36" i="10"/>
  <c r="I38" i="10" s="1"/>
  <c r="C35" i="10"/>
  <c r="C34" i="10"/>
  <c r="C33" i="10"/>
  <c r="I35" i="10" s="1"/>
  <c r="C31" i="10"/>
  <c r="C30" i="10"/>
  <c r="O31" i="10" s="1"/>
  <c r="C29" i="10"/>
  <c r="C28" i="10"/>
  <c r="O28" i="10" s="1"/>
  <c r="D27" i="10"/>
  <c r="M30" i="10" s="1"/>
  <c r="C27" i="10"/>
  <c r="C26" i="10"/>
  <c r="C25" i="10"/>
  <c r="I28" i="10" s="1"/>
  <c r="C24" i="10"/>
  <c r="O24" i="10" s="1"/>
  <c r="C23" i="10"/>
  <c r="C22" i="10"/>
  <c r="F22" i="10" s="1"/>
  <c r="G25" i="10" s="1"/>
  <c r="C21" i="10"/>
  <c r="F21" i="10" s="1"/>
  <c r="C20" i="10"/>
  <c r="C19" i="10"/>
  <c r="L25" i="10" s="1"/>
  <c r="F18" i="10"/>
  <c r="G19" i="10" s="1"/>
  <c r="C17" i="10"/>
  <c r="C16" i="10"/>
  <c r="C15" i="10"/>
  <c r="O15" i="10" s="1"/>
  <c r="C14" i="10"/>
  <c r="F13" i="10"/>
  <c r="D13" i="10"/>
  <c r="M20" i="10" s="1"/>
  <c r="C13" i="10"/>
  <c r="L20" i="10" s="1"/>
  <c r="C12" i="10"/>
  <c r="I15" i="10" s="1"/>
  <c r="C11" i="10"/>
  <c r="C10" i="10"/>
  <c r="I13" i="10" s="1"/>
  <c r="C9" i="10"/>
  <c r="I12" i="10" s="1"/>
  <c r="C8" i="10"/>
  <c r="L15" i="10" s="1"/>
  <c r="C7" i="10"/>
  <c r="C6" i="10"/>
  <c r="I9" i="10" s="1"/>
  <c r="C5" i="10"/>
  <c r="C4" i="10"/>
  <c r="L11" i="10" s="1"/>
  <c r="C3" i="10"/>
  <c r="C2" i="10"/>
  <c r="I5" i="10" s="1"/>
  <c r="P57" i="10"/>
  <c r="M57" i="10"/>
  <c r="J57" i="10"/>
  <c r="G57" i="10"/>
  <c r="P56" i="10"/>
  <c r="M56" i="10"/>
  <c r="J56" i="10"/>
  <c r="G56" i="10"/>
  <c r="P55" i="10"/>
  <c r="M55" i="10"/>
  <c r="J55" i="10"/>
  <c r="G55" i="10"/>
  <c r="P54" i="10"/>
  <c r="M54" i="10"/>
  <c r="J54" i="10"/>
  <c r="I54" i="10"/>
  <c r="G54" i="10"/>
  <c r="P53" i="10"/>
  <c r="M53" i="10"/>
  <c r="J53" i="10"/>
  <c r="G53" i="10"/>
  <c r="P52" i="10"/>
  <c r="M52" i="10"/>
  <c r="J52" i="10"/>
  <c r="G52" i="10"/>
  <c r="P51" i="10"/>
  <c r="M51" i="10"/>
  <c r="J51" i="10"/>
  <c r="G51" i="10"/>
  <c r="P50" i="10"/>
  <c r="M50" i="10"/>
  <c r="J50" i="10"/>
  <c r="G50" i="10"/>
  <c r="P49" i="10"/>
  <c r="O49" i="10"/>
  <c r="M49" i="10"/>
  <c r="J49" i="10"/>
  <c r="G49" i="10"/>
  <c r="P48" i="10"/>
  <c r="M48" i="10"/>
  <c r="J48" i="10"/>
  <c r="G48" i="10"/>
  <c r="P47" i="10"/>
  <c r="M47" i="10"/>
  <c r="J47" i="10"/>
  <c r="I47" i="10"/>
  <c r="G47" i="10"/>
  <c r="P46" i="10"/>
  <c r="M46" i="10"/>
  <c r="J46" i="10"/>
  <c r="G46" i="10"/>
  <c r="P45" i="10"/>
  <c r="M45" i="10"/>
  <c r="J45" i="10"/>
  <c r="G45" i="10"/>
  <c r="P44" i="10"/>
  <c r="M44" i="10"/>
  <c r="J44" i="10"/>
  <c r="G44" i="10"/>
  <c r="P43" i="10"/>
  <c r="M43" i="10"/>
  <c r="J43" i="10"/>
  <c r="G43" i="10"/>
  <c r="P42" i="10"/>
  <c r="M42" i="10"/>
  <c r="J42" i="10"/>
  <c r="G42" i="10"/>
  <c r="P41" i="10"/>
  <c r="M41" i="10"/>
  <c r="J41" i="10"/>
  <c r="G41" i="10"/>
  <c r="P40" i="10"/>
  <c r="M40" i="10"/>
  <c r="J40" i="10"/>
  <c r="G40" i="10"/>
  <c r="P39" i="10"/>
  <c r="O39" i="10"/>
  <c r="M39" i="10"/>
  <c r="J39" i="10"/>
  <c r="I39" i="10"/>
  <c r="G39" i="10"/>
  <c r="P38" i="10"/>
  <c r="O38" i="10"/>
  <c r="M38" i="10"/>
  <c r="J38" i="10"/>
  <c r="G38" i="10"/>
  <c r="P37" i="10"/>
  <c r="M37" i="10"/>
  <c r="J37" i="10"/>
  <c r="G37" i="10"/>
  <c r="P36" i="10"/>
  <c r="M36" i="10"/>
  <c r="J36" i="10"/>
  <c r="I36" i="10"/>
  <c r="G36" i="10"/>
  <c r="P35" i="10"/>
  <c r="M35" i="10"/>
  <c r="J35" i="10"/>
  <c r="G35" i="10"/>
  <c r="J34" i="10"/>
  <c r="G34" i="10"/>
  <c r="M33" i="10"/>
  <c r="J33" i="10"/>
  <c r="G33" i="10"/>
  <c r="J32" i="10"/>
  <c r="G32" i="10"/>
  <c r="J31" i="10"/>
  <c r="G31" i="10"/>
  <c r="P30" i="10"/>
  <c r="G30" i="10"/>
  <c r="G29" i="10"/>
  <c r="L28" i="10"/>
  <c r="J28" i="10"/>
  <c r="G28" i="10"/>
  <c r="G27" i="10"/>
  <c r="P26" i="10"/>
  <c r="M26" i="10"/>
  <c r="J26" i="10"/>
  <c r="G26" i="10"/>
  <c r="P25" i="10"/>
  <c r="O25" i="10"/>
  <c r="M25" i="10"/>
  <c r="J25" i="10"/>
  <c r="I25" i="10"/>
  <c r="P24" i="10"/>
  <c r="M24" i="10"/>
  <c r="J24" i="10"/>
  <c r="P23" i="10"/>
  <c r="M23" i="10"/>
  <c r="J23" i="10"/>
  <c r="P22" i="10"/>
  <c r="M22" i="10"/>
  <c r="J22" i="10"/>
  <c r="P21" i="10"/>
  <c r="M21" i="10"/>
  <c r="J21" i="10"/>
  <c r="I21" i="10"/>
  <c r="P20" i="10"/>
  <c r="J20" i="10"/>
  <c r="J19" i="10"/>
  <c r="J18" i="10"/>
  <c r="M17" i="10"/>
  <c r="J17" i="10"/>
  <c r="G17" i="10"/>
  <c r="G16" i="10"/>
  <c r="G15" i="10"/>
  <c r="G14" i="10"/>
  <c r="P13" i="10"/>
  <c r="G13" i="10"/>
  <c r="P16" i="10"/>
  <c r="L12" i="10"/>
  <c r="G12" i="10"/>
  <c r="G11" i="10"/>
  <c r="M16" i="10"/>
  <c r="J10" i="10"/>
  <c r="G10" i="10"/>
  <c r="J13" i="10"/>
  <c r="L9" i="10"/>
  <c r="G9" i="10"/>
  <c r="J12" i="10"/>
  <c r="G8" i="10"/>
  <c r="M15" i="10"/>
  <c r="G7" i="10"/>
  <c r="I6" i="10"/>
  <c r="G6" i="10"/>
  <c r="M13" i="10"/>
  <c r="J5" i="10"/>
  <c r="G5" i="10"/>
  <c r="M12" i="10"/>
  <c r="G285" i="9"/>
  <c r="I285" i="9"/>
  <c r="J285" i="9"/>
  <c r="L285" i="9"/>
  <c r="M285" i="9"/>
  <c r="O285" i="9"/>
  <c r="P285" i="9"/>
  <c r="C285" i="9"/>
  <c r="G285" i="4"/>
  <c r="I285" i="4"/>
  <c r="J285" i="4"/>
  <c r="L285" i="4"/>
  <c r="M285" i="4"/>
  <c r="O285" i="4"/>
  <c r="P285" i="4"/>
  <c r="C285" i="4"/>
  <c r="G280" i="6"/>
  <c r="I280" i="6"/>
  <c r="J280" i="6"/>
  <c r="L280" i="6"/>
  <c r="M280" i="6"/>
  <c r="O280" i="6"/>
  <c r="P280" i="6"/>
  <c r="C280" i="6"/>
  <c r="L285" i="7"/>
  <c r="L284" i="7"/>
  <c r="O284" i="7"/>
  <c r="O285" i="7"/>
  <c r="G285" i="7"/>
  <c r="I285" i="7"/>
  <c r="J285" i="7"/>
  <c r="M285" i="7"/>
  <c r="P285" i="7"/>
  <c r="C285" i="7"/>
  <c r="G277" i="5"/>
  <c r="I277" i="5"/>
  <c r="J277" i="5"/>
  <c r="L277" i="5"/>
  <c r="M277" i="5"/>
  <c r="O277" i="5"/>
  <c r="P277" i="5"/>
  <c r="C277" i="5"/>
  <c r="J285" i="1"/>
  <c r="G285" i="1"/>
  <c r="M285" i="1"/>
  <c r="P285" i="1"/>
  <c r="C285" i="1"/>
  <c r="G282" i="4"/>
  <c r="I282" i="4"/>
  <c r="J282" i="4"/>
  <c r="L282" i="4"/>
  <c r="M282" i="4"/>
  <c r="O282" i="4"/>
  <c r="P282" i="4"/>
  <c r="G283" i="4"/>
  <c r="I283" i="4"/>
  <c r="J283" i="4"/>
  <c r="L283" i="4"/>
  <c r="M283" i="4"/>
  <c r="O283" i="4"/>
  <c r="P283" i="4"/>
  <c r="G284" i="4"/>
  <c r="I284" i="4"/>
  <c r="J284" i="4"/>
  <c r="L284" i="4"/>
  <c r="M284" i="4"/>
  <c r="O284" i="4"/>
  <c r="P284" i="4"/>
  <c r="C284" i="4"/>
  <c r="C283" i="4"/>
  <c r="C282" i="4"/>
  <c r="G282" i="9"/>
  <c r="I282" i="9"/>
  <c r="J282" i="9"/>
  <c r="L282" i="9"/>
  <c r="M282" i="9"/>
  <c r="O282" i="9"/>
  <c r="P282" i="9"/>
  <c r="G283" i="9"/>
  <c r="I283" i="9"/>
  <c r="J283" i="9"/>
  <c r="L283" i="9"/>
  <c r="M283" i="9"/>
  <c r="O283" i="9"/>
  <c r="P283" i="9"/>
  <c r="G284" i="9"/>
  <c r="I284" i="9"/>
  <c r="J284" i="9"/>
  <c r="L284" i="9"/>
  <c r="M284" i="9"/>
  <c r="O284" i="9"/>
  <c r="P284" i="9"/>
  <c r="C284" i="9"/>
  <c r="F283" i="9"/>
  <c r="C283" i="9"/>
  <c r="C282" i="9"/>
  <c r="G282" i="7"/>
  <c r="I282" i="7"/>
  <c r="J282" i="7"/>
  <c r="L282" i="7"/>
  <c r="M282" i="7"/>
  <c r="O282" i="7"/>
  <c r="P282" i="7"/>
  <c r="G283" i="7"/>
  <c r="I283" i="7"/>
  <c r="J283" i="7"/>
  <c r="L283" i="7"/>
  <c r="M283" i="7"/>
  <c r="O283" i="7"/>
  <c r="P283" i="7"/>
  <c r="G284" i="7"/>
  <c r="I284" i="7"/>
  <c r="J284" i="7"/>
  <c r="M284" i="7"/>
  <c r="P284" i="7"/>
  <c r="C284" i="7"/>
  <c r="C283" i="7"/>
  <c r="C282" i="7"/>
  <c r="G274" i="5"/>
  <c r="I274" i="5"/>
  <c r="J274" i="5"/>
  <c r="L274" i="5"/>
  <c r="M274" i="5"/>
  <c r="O274" i="5"/>
  <c r="P274" i="5"/>
  <c r="G275" i="5"/>
  <c r="I275" i="5"/>
  <c r="J275" i="5"/>
  <c r="L275" i="5"/>
  <c r="M275" i="5"/>
  <c r="O275" i="5"/>
  <c r="P275" i="5"/>
  <c r="G276" i="5"/>
  <c r="I276" i="5"/>
  <c r="J276" i="5"/>
  <c r="L276" i="5"/>
  <c r="M276" i="5"/>
  <c r="O276" i="5"/>
  <c r="P276" i="5"/>
  <c r="C276" i="5"/>
  <c r="C275" i="5"/>
  <c r="C274" i="5"/>
  <c r="G282" i="1"/>
  <c r="J282" i="1"/>
  <c r="M282" i="1"/>
  <c r="P282" i="1"/>
  <c r="G283" i="1"/>
  <c r="J283" i="1"/>
  <c r="M283" i="1"/>
  <c r="P283" i="1"/>
  <c r="G284" i="1"/>
  <c r="J284" i="1"/>
  <c r="M284" i="1"/>
  <c r="P284" i="1"/>
  <c r="C284" i="1"/>
  <c r="C283" i="1"/>
  <c r="C282" i="1"/>
  <c r="G279" i="6"/>
  <c r="J279" i="6"/>
  <c r="M279" i="6"/>
  <c r="P279" i="6"/>
  <c r="C279" i="6"/>
  <c r="G277" i="6"/>
  <c r="I277" i="6"/>
  <c r="J277" i="6"/>
  <c r="M277" i="6"/>
  <c r="P277" i="6"/>
  <c r="G278" i="6"/>
  <c r="I278" i="6"/>
  <c r="J278" i="6"/>
  <c r="M278" i="6"/>
  <c r="P278" i="6"/>
  <c r="C278" i="6"/>
  <c r="C277" i="6"/>
  <c r="I279" i="6" s="1"/>
  <c r="G279" i="4"/>
  <c r="I279" i="4"/>
  <c r="J279" i="4"/>
  <c r="L279" i="4"/>
  <c r="M279" i="4"/>
  <c r="O279" i="4"/>
  <c r="P279" i="4"/>
  <c r="G280" i="4"/>
  <c r="I280" i="4"/>
  <c r="J280" i="4"/>
  <c r="L280" i="4"/>
  <c r="M280" i="4"/>
  <c r="O280" i="4"/>
  <c r="P280" i="4"/>
  <c r="G281" i="4"/>
  <c r="I281" i="4"/>
  <c r="J281" i="4"/>
  <c r="L281" i="4"/>
  <c r="M281" i="4"/>
  <c r="O281" i="4"/>
  <c r="P281" i="4"/>
  <c r="C281" i="4"/>
  <c r="C280" i="4"/>
  <c r="C279" i="4"/>
  <c r="G274" i="6"/>
  <c r="J274" i="6"/>
  <c r="M274" i="6"/>
  <c r="P274" i="6"/>
  <c r="G275" i="6"/>
  <c r="J275" i="6"/>
  <c r="M275" i="6"/>
  <c r="P275" i="6"/>
  <c r="G276" i="6"/>
  <c r="I276" i="6"/>
  <c r="J276" i="6"/>
  <c r="M276" i="6"/>
  <c r="P276" i="6"/>
  <c r="C276" i="6"/>
  <c r="C275" i="6"/>
  <c r="C274" i="6"/>
  <c r="G271" i="5"/>
  <c r="I271" i="5"/>
  <c r="J271" i="5"/>
  <c r="L271" i="5"/>
  <c r="M271" i="5"/>
  <c r="O271" i="5"/>
  <c r="P271" i="5"/>
  <c r="G272" i="5"/>
  <c r="I272" i="5"/>
  <c r="J272" i="5"/>
  <c r="L272" i="5"/>
  <c r="M272" i="5"/>
  <c r="O272" i="5"/>
  <c r="P272" i="5"/>
  <c r="G273" i="5"/>
  <c r="I273" i="5"/>
  <c r="J273" i="5"/>
  <c r="L273" i="5"/>
  <c r="M273" i="5"/>
  <c r="O273" i="5"/>
  <c r="P273" i="5"/>
  <c r="C273" i="5"/>
  <c r="C272" i="5"/>
  <c r="C271" i="5"/>
  <c r="G279" i="1"/>
  <c r="J279" i="1"/>
  <c r="G280" i="1"/>
  <c r="I280" i="1"/>
  <c r="J280" i="1"/>
  <c r="G281" i="1"/>
  <c r="J281" i="1"/>
  <c r="M281" i="1"/>
  <c r="P281" i="1"/>
  <c r="C281" i="1"/>
  <c r="C280" i="1"/>
  <c r="C279" i="1"/>
  <c r="G280" i="9"/>
  <c r="J280" i="9"/>
  <c r="G281" i="9"/>
  <c r="J281" i="9"/>
  <c r="C281" i="9"/>
  <c r="C280" i="9"/>
  <c r="C279" i="9"/>
  <c r="G279" i="7"/>
  <c r="J279" i="7"/>
  <c r="M279" i="7"/>
  <c r="P279" i="7"/>
  <c r="G280" i="7"/>
  <c r="J280" i="7"/>
  <c r="M280" i="7"/>
  <c r="P280" i="7"/>
  <c r="G281" i="7"/>
  <c r="J281" i="7"/>
  <c r="M281" i="7"/>
  <c r="P281" i="7"/>
  <c r="C281" i="7"/>
  <c r="C280" i="7"/>
  <c r="C279" i="7"/>
  <c r="O278" i="4"/>
  <c r="G277" i="4"/>
  <c r="I277" i="4"/>
  <c r="J277" i="4"/>
  <c r="L277" i="4"/>
  <c r="M277" i="4"/>
  <c r="O277" i="4"/>
  <c r="P277" i="4"/>
  <c r="G278" i="4"/>
  <c r="I278" i="4"/>
  <c r="J278" i="4"/>
  <c r="L278" i="4"/>
  <c r="M278" i="4"/>
  <c r="P278" i="4"/>
  <c r="C278" i="4"/>
  <c r="C277" i="4"/>
  <c r="G272" i="6"/>
  <c r="J272" i="6"/>
  <c r="M272" i="6"/>
  <c r="P272" i="6"/>
  <c r="G273" i="6"/>
  <c r="J273" i="6"/>
  <c r="M273" i="6"/>
  <c r="P273" i="6"/>
  <c r="C273" i="6"/>
  <c r="C272" i="6"/>
  <c r="L279" i="6" s="1"/>
  <c r="C278" i="9"/>
  <c r="I281" i="9" s="1"/>
  <c r="C277" i="9"/>
  <c r="I280" i="9" s="1"/>
  <c r="G277" i="7"/>
  <c r="J277" i="7"/>
  <c r="M277" i="7"/>
  <c r="P277" i="7"/>
  <c r="G278" i="7"/>
  <c r="J278" i="7"/>
  <c r="M278" i="7"/>
  <c r="P278" i="7"/>
  <c r="C278" i="7"/>
  <c r="C277" i="7"/>
  <c r="I280" i="7" s="1"/>
  <c r="G269" i="5"/>
  <c r="I269" i="5"/>
  <c r="J269" i="5"/>
  <c r="L269" i="5"/>
  <c r="M269" i="5"/>
  <c r="O269" i="5"/>
  <c r="P269" i="5"/>
  <c r="G270" i="5"/>
  <c r="I270" i="5"/>
  <c r="J270" i="5"/>
  <c r="L270" i="5"/>
  <c r="M270" i="5"/>
  <c r="O270" i="5"/>
  <c r="P270" i="5"/>
  <c r="C270" i="5"/>
  <c r="C269" i="5"/>
  <c r="G277" i="1"/>
  <c r="J277" i="1"/>
  <c r="G278" i="1"/>
  <c r="J278" i="1"/>
  <c r="C278" i="1"/>
  <c r="C277" i="1"/>
  <c r="O285" i="1" l="1"/>
  <c r="L286" i="1"/>
  <c r="L285" i="1"/>
  <c r="O286" i="1"/>
  <c r="I284" i="1"/>
  <c r="I285" i="1"/>
  <c r="I281" i="1"/>
  <c r="I282" i="1"/>
  <c r="L284" i="1"/>
  <c r="I286" i="1"/>
  <c r="I283" i="1"/>
  <c r="O287" i="1"/>
  <c r="O284" i="1"/>
  <c r="L287" i="1"/>
  <c r="I287" i="1"/>
  <c r="G23" i="10"/>
  <c r="G24" i="10"/>
  <c r="G22" i="10"/>
  <c r="P33" i="10"/>
  <c r="L40" i="10"/>
  <c r="L53" i="10"/>
  <c r="M31" i="10"/>
  <c r="L13" i="10"/>
  <c r="P28" i="10"/>
  <c r="M34" i="10"/>
  <c r="I43" i="10"/>
  <c r="L47" i="10"/>
  <c r="O54" i="10"/>
  <c r="I7" i="10"/>
  <c r="L10" i="10"/>
  <c r="I19" i="10"/>
  <c r="P31" i="10"/>
  <c r="P34" i="10"/>
  <c r="I37" i="10"/>
  <c r="I22" i="10"/>
  <c r="J29" i="10"/>
  <c r="L39" i="10"/>
  <c r="I41" i="10"/>
  <c r="L43" i="10"/>
  <c r="J14" i="10"/>
  <c r="G20" i="10"/>
  <c r="J27" i="10"/>
  <c r="M29" i="10"/>
  <c r="M28" i="10"/>
  <c r="L54" i="10"/>
  <c r="I10" i="10"/>
  <c r="O40" i="10"/>
  <c r="I8" i="10"/>
  <c r="I11" i="10"/>
  <c r="I20" i="10"/>
  <c r="M27" i="10"/>
  <c r="P29" i="10"/>
  <c r="M32" i="10"/>
  <c r="L41" i="10"/>
  <c r="P27" i="10"/>
  <c r="P32" i="10"/>
  <c r="J30" i="10"/>
  <c r="O20" i="10"/>
  <c r="I27" i="10"/>
  <c r="I57" i="10"/>
  <c r="O57" i="10"/>
  <c r="I55" i="10"/>
  <c r="I56" i="10"/>
  <c r="O56" i="10"/>
  <c r="L56" i="10"/>
  <c r="I50" i="10"/>
  <c r="L50" i="10"/>
  <c r="L57" i="10"/>
  <c r="L55" i="10"/>
  <c r="I52" i="10"/>
  <c r="O55" i="10"/>
  <c r="I53" i="10"/>
  <c r="O52" i="10"/>
  <c r="L52" i="10"/>
  <c r="O47" i="10"/>
  <c r="I48" i="10"/>
  <c r="I49" i="10"/>
  <c r="I46" i="10"/>
  <c r="L51" i="10"/>
  <c r="O44" i="10"/>
  <c r="O51" i="10"/>
  <c r="I45" i="10"/>
  <c r="L44" i="10"/>
  <c r="L49" i="10"/>
  <c r="O42" i="10"/>
  <c r="O41" i="10"/>
  <c r="I42" i="10"/>
  <c r="L48" i="10"/>
  <c r="L45" i="10"/>
  <c r="L42" i="10"/>
  <c r="O48" i="10"/>
  <c r="O45" i="10"/>
  <c r="L38" i="10"/>
  <c r="I33" i="10"/>
  <c r="O37" i="10"/>
  <c r="L37" i="10"/>
  <c r="I34" i="10"/>
  <c r="L31" i="10"/>
  <c r="O35" i="10"/>
  <c r="L36" i="10"/>
  <c r="L32" i="10"/>
  <c r="O32" i="10"/>
  <c r="I29" i="10"/>
  <c r="O36" i="10"/>
  <c r="L34" i="10"/>
  <c r="I31" i="10"/>
  <c r="L35" i="10"/>
  <c r="I32" i="10"/>
  <c r="I30" i="10"/>
  <c r="O34" i="10"/>
  <c r="L33" i="10"/>
  <c r="O33" i="10"/>
  <c r="O27" i="10"/>
  <c r="O23" i="10"/>
  <c r="I26" i="10"/>
  <c r="I23" i="10"/>
  <c r="L29" i="10"/>
  <c r="L26" i="10"/>
  <c r="L23" i="10"/>
  <c r="O29" i="10"/>
  <c r="O26" i="10"/>
  <c r="I24" i="10"/>
  <c r="L30" i="10"/>
  <c r="L27" i="10"/>
  <c r="L24" i="10"/>
  <c r="O30" i="10"/>
  <c r="G21" i="10"/>
  <c r="G18" i="10"/>
  <c r="I16" i="10"/>
  <c r="L16" i="10"/>
  <c r="O22" i="10"/>
  <c r="L22" i="10"/>
  <c r="O16" i="10"/>
  <c r="I17" i="10"/>
  <c r="I18" i="10"/>
  <c r="O19" i="10"/>
  <c r="L21" i="10"/>
  <c r="L17" i="10"/>
  <c r="O21" i="10"/>
  <c r="O17" i="10"/>
  <c r="I14" i="10"/>
  <c r="L14" i="10"/>
  <c r="L19" i="10"/>
  <c r="O14" i="10"/>
  <c r="O13" i="10"/>
  <c r="L18" i="10"/>
  <c r="O18" i="10"/>
  <c r="P17" i="10"/>
  <c r="J11" i="10"/>
  <c r="P14" i="10"/>
  <c r="J7" i="10"/>
  <c r="J15" i="10"/>
  <c r="M18" i="10"/>
  <c r="J6" i="10"/>
  <c r="M10" i="10"/>
  <c r="M11" i="10"/>
  <c r="J8" i="10"/>
  <c r="P18" i="10"/>
  <c r="P15" i="10"/>
  <c r="M14" i="10"/>
  <c r="J9" i="10"/>
  <c r="J16" i="10"/>
  <c r="M19" i="10"/>
  <c r="M9" i="10"/>
  <c r="P19" i="10"/>
  <c r="I275" i="6"/>
  <c r="O279" i="6"/>
  <c r="I281" i="7"/>
  <c r="F276" i="9"/>
  <c r="D276" i="9"/>
  <c r="P276" i="9" s="1"/>
  <c r="G274" i="9"/>
  <c r="J274" i="9"/>
  <c r="M274" i="9"/>
  <c r="P274" i="9"/>
  <c r="G275" i="9"/>
  <c r="J275" i="9"/>
  <c r="M275" i="9"/>
  <c r="P275" i="9"/>
  <c r="C276" i="9"/>
  <c r="C275" i="9"/>
  <c r="I278" i="9" s="1"/>
  <c r="C274" i="9"/>
  <c r="I279" i="9" l="1"/>
  <c r="G276" i="9"/>
  <c r="G277" i="9"/>
  <c r="G278" i="9"/>
  <c r="G279" i="9"/>
  <c r="I277" i="9"/>
  <c r="L281" i="9"/>
  <c r="P279" i="9"/>
  <c r="M280" i="9"/>
  <c r="P280" i="9"/>
  <c r="J277" i="9"/>
  <c r="M277" i="9"/>
  <c r="P277" i="9"/>
  <c r="J279" i="9"/>
  <c r="M279" i="9"/>
  <c r="J278" i="9"/>
  <c r="M278" i="9"/>
  <c r="M281" i="9"/>
  <c r="P278" i="9"/>
  <c r="P281" i="9"/>
  <c r="M276" i="9"/>
  <c r="J276" i="9"/>
  <c r="O281" i="9"/>
  <c r="G274" i="4" l="1"/>
  <c r="I274" i="4"/>
  <c r="J274" i="4"/>
  <c r="L274" i="4"/>
  <c r="M274" i="4"/>
  <c r="O274" i="4"/>
  <c r="P274" i="4"/>
  <c r="G275" i="4"/>
  <c r="I275" i="4"/>
  <c r="J275" i="4"/>
  <c r="L275" i="4"/>
  <c r="M275" i="4"/>
  <c r="O275" i="4"/>
  <c r="P275" i="4"/>
  <c r="G276" i="4"/>
  <c r="I276" i="4"/>
  <c r="J276" i="4"/>
  <c r="L276" i="4"/>
  <c r="M276" i="4"/>
  <c r="O276" i="4"/>
  <c r="P276" i="4"/>
  <c r="C276" i="4"/>
  <c r="C275" i="4"/>
  <c r="C274" i="4"/>
  <c r="G269" i="6"/>
  <c r="J269" i="6"/>
  <c r="M269" i="6"/>
  <c r="P269" i="6"/>
  <c r="G270" i="6"/>
  <c r="J270" i="6"/>
  <c r="M270" i="6"/>
  <c r="P270" i="6"/>
  <c r="G271" i="6"/>
  <c r="J271" i="6"/>
  <c r="M271" i="6"/>
  <c r="P271" i="6"/>
  <c r="C271" i="6"/>
  <c r="C270" i="6"/>
  <c r="C269" i="6"/>
  <c r="G274" i="7"/>
  <c r="J274" i="7"/>
  <c r="M274" i="7"/>
  <c r="P274" i="7"/>
  <c r="G275" i="7"/>
  <c r="J275" i="7"/>
  <c r="M275" i="7"/>
  <c r="P275" i="7"/>
  <c r="G276" i="7"/>
  <c r="J276" i="7"/>
  <c r="M276" i="7"/>
  <c r="P276" i="7"/>
  <c r="C276" i="7"/>
  <c r="C275" i="7"/>
  <c r="I278" i="7" s="1"/>
  <c r="C274" i="7"/>
  <c r="G265" i="5"/>
  <c r="I265" i="5"/>
  <c r="J265" i="5"/>
  <c r="L265" i="5"/>
  <c r="M265" i="5"/>
  <c r="O265" i="5"/>
  <c r="P265" i="5"/>
  <c r="G266" i="5"/>
  <c r="I266" i="5"/>
  <c r="J266" i="5"/>
  <c r="L266" i="5"/>
  <c r="M266" i="5"/>
  <c r="O266" i="5"/>
  <c r="P266" i="5"/>
  <c r="G267" i="5"/>
  <c r="I267" i="5"/>
  <c r="J267" i="5"/>
  <c r="L267" i="5"/>
  <c r="M267" i="5"/>
  <c r="O267" i="5"/>
  <c r="P267" i="5"/>
  <c r="G268" i="5"/>
  <c r="I268" i="5"/>
  <c r="J268" i="5"/>
  <c r="L268" i="5"/>
  <c r="M268" i="5"/>
  <c r="O268" i="5"/>
  <c r="P268" i="5"/>
  <c r="C268" i="5"/>
  <c r="C267" i="5"/>
  <c r="C266" i="5"/>
  <c r="C265" i="5"/>
  <c r="P273" i="1"/>
  <c r="J275" i="1"/>
  <c r="M275" i="1"/>
  <c r="P275" i="1"/>
  <c r="G273" i="1"/>
  <c r="G274" i="1"/>
  <c r="G275" i="1"/>
  <c r="G276" i="1"/>
  <c r="C276" i="1"/>
  <c r="C275" i="1"/>
  <c r="C274" i="1"/>
  <c r="D273" i="1"/>
  <c r="M274" i="1" s="1"/>
  <c r="C273" i="1"/>
  <c r="I240" i="4"/>
  <c r="J240" i="4"/>
  <c r="L240" i="4"/>
  <c r="M240" i="4"/>
  <c r="O240" i="4"/>
  <c r="P240" i="4"/>
  <c r="I241" i="4"/>
  <c r="J241" i="4"/>
  <c r="L241" i="4"/>
  <c r="M241" i="4"/>
  <c r="O241" i="4"/>
  <c r="P241" i="4"/>
  <c r="I242" i="4"/>
  <c r="J242" i="4"/>
  <c r="L242" i="4"/>
  <c r="M242" i="4"/>
  <c r="O242" i="4"/>
  <c r="P242" i="4"/>
  <c r="I243" i="4"/>
  <c r="J243" i="4"/>
  <c r="L243" i="4"/>
  <c r="M243" i="4"/>
  <c r="O243" i="4"/>
  <c r="P243" i="4"/>
  <c r="I244" i="4"/>
  <c r="J244" i="4"/>
  <c r="L244" i="4"/>
  <c r="M244" i="4"/>
  <c r="O244" i="4"/>
  <c r="P244" i="4"/>
  <c r="I245" i="4"/>
  <c r="J245" i="4"/>
  <c r="L245" i="4"/>
  <c r="M245" i="4"/>
  <c r="O245" i="4"/>
  <c r="P245" i="4"/>
  <c r="I246" i="4"/>
  <c r="J246" i="4"/>
  <c r="L246" i="4"/>
  <c r="M246" i="4"/>
  <c r="O246" i="4"/>
  <c r="P246" i="4"/>
  <c r="I247" i="4"/>
  <c r="J247" i="4"/>
  <c r="L247" i="4"/>
  <c r="M247" i="4"/>
  <c r="O247" i="4"/>
  <c r="P247" i="4"/>
  <c r="I248" i="4"/>
  <c r="J248" i="4"/>
  <c r="L248" i="4"/>
  <c r="M248" i="4"/>
  <c r="O248" i="4"/>
  <c r="P248" i="4"/>
  <c r="I249" i="4"/>
  <c r="J249" i="4"/>
  <c r="L249" i="4"/>
  <c r="M249" i="4"/>
  <c r="O249" i="4"/>
  <c r="P249" i="4"/>
  <c r="I250" i="4"/>
  <c r="J250" i="4"/>
  <c r="L250" i="4"/>
  <c r="M250" i="4"/>
  <c r="O250" i="4"/>
  <c r="P250" i="4"/>
  <c r="I251" i="4"/>
  <c r="J251" i="4"/>
  <c r="L251" i="4"/>
  <c r="M251" i="4"/>
  <c r="O251" i="4"/>
  <c r="P251" i="4"/>
  <c r="I252" i="4"/>
  <c r="J252" i="4"/>
  <c r="L252" i="4"/>
  <c r="M252" i="4"/>
  <c r="O252" i="4"/>
  <c r="P252" i="4"/>
  <c r="I253" i="4"/>
  <c r="J253" i="4"/>
  <c r="L253" i="4"/>
  <c r="M253" i="4"/>
  <c r="O253" i="4"/>
  <c r="P253" i="4"/>
  <c r="I254" i="4"/>
  <c r="J254" i="4"/>
  <c r="L254" i="4"/>
  <c r="M254" i="4"/>
  <c r="O254" i="4"/>
  <c r="P254" i="4"/>
  <c r="I255" i="4"/>
  <c r="J255" i="4"/>
  <c r="L255" i="4"/>
  <c r="M255" i="4"/>
  <c r="O255" i="4"/>
  <c r="P255" i="4"/>
  <c r="I256" i="4"/>
  <c r="J256" i="4"/>
  <c r="L256" i="4"/>
  <c r="M256" i="4"/>
  <c r="O256" i="4"/>
  <c r="P256" i="4"/>
  <c r="I257" i="4"/>
  <c r="J257" i="4"/>
  <c r="L257" i="4"/>
  <c r="M257" i="4"/>
  <c r="O257" i="4"/>
  <c r="P257" i="4"/>
  <c r="I258" i="4"/>
  <c r="J258" i="4"/>
  <c r="L258" i="4"/>
  <c r="M258" i="4"/>
  <c r="O258" i="4"/>
  <c r="P258" i="4"/>
  <c r="I259" i="4"/>
  <c r="J259" i="4"/>
  <c r="L259" i="4"/>
  <c r="M259" i="4"/>
  <c r="O259" i="4"/>
  <c r="P259" i="4"/>
  <c r="I260" i="4"/>
  <c r="J260" i="4"/>
  <c r="L260" i="4"/>
  <c r="M260" i="4"/>
  <c r="O260" i="4"/>
  <c r="P260" i="4"/>
  <c r="I261" i="4"/>
  <c r="J261" i="4"/>
  <c r="L261" i="4"/>
  <c r="M261" i="4"/>
  <c r="O261" i="4"/>
  <c r="P261" i="4"/>
  <c r="I262" i="4"/>
  <c r="J262" i="4"/>
  <c r="L262" i="4"/>
  <c r="M262" i="4"/>
  <c r="O262" i="4"/>
  <c r="P262" i="4"/>
  <c r="I263" i="4"/>
  <c r="J263" i="4"/>
  <c r="L263" i="4"/>
  <c r="M263" i="4"/>
  <c r="O263" i="4"/>
  <c r="P263" i="4"/>
  <c r="I264" i="4"/>
  <c r="J264" i="4"/>
  <c r="L264" i="4"/>
  <c r="M264" i="4"/>
  <c r="O264" i="4"/>
  <c r="P264" i="4"/>
  <c r="I265" i="4"/>
  <c r="J265" i="4"/>
  <c r="L265" i="4"/>
  <c r="M265" i="4"/>
  <c r="O265" i="4"/>
  <c r="P265" i="4"/>
  <c r="I266" i="4"/>
  <c r="J266" i="4"/>
  <c r="L266" i="4"/>
  <c r="M266" i="4"/>
  <c r="O266" i="4"/>
  <c r="P266" i="4"/>
  <c r="I267" i="4"/>
  <c r="J267" i="4"/>
  <c r="L267" i="4"/>
  <c r="M267" i="4"/>
  <c r="O267" i="4"/>
  <c r="P267" i="4"/>
  <c r="I268" i="4"/>
  <c r="J268" i="4"/>
  <c r="L268" i="4"/>
  <c r="M268" i="4"/>
  <c r="O268" i="4"/>
  <c r="P268" i="4"/>
  <c r="I269" i="4"/>
  <c r="J269" i="4"/>
  <c r="L269" i="4"/>
  <c r="M269" i="4"/>
  <c r="O269" i="4"/>
  <c r="P269" i="4"/>
  <c r="I270" i="4"/>
  <c r="J270" i="4"/>
  <c r="L270" i="4"/>
  <c r="M270" i="4"/>
  <c r="O270" i="4"/>
  <c r="P270" i="4"/>
  <c r="I271" i="4"/>
  <c r="J271" i="4"/>
  <c r="L271" i="4"/>
  <c r="M271" i="4"/>
  <c r="O271" i="4"/>
  <c r="P271" i="4"/>
  <c r="I272" i="4"/>
  <c r="J272" i="4"/>
  <c r="L272" i="4"/>
  <c r="M272" i="4"/>
  <c r="O272" i="4"/>
  <c r="P272" i="4"/>
  <c r="I273" i="4"/>
  <c r="J273" i="4"/>
  <c r="L273" i="4"/>
  <c r="M273" i="4"/>
  <c r="O273" i="4"/>
  <c r="P273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5" i="4"/>
  <c r="I275" i="1" l="1"/>
  <c r="J273" i="1"/>
  <c r="M273" i="1"/>
  <c r="L281" i="1"/>
  <c r="I277" i="1"/>
  <c r="I276" i="1"/>
  <c r="P276" i="1"/>
  <c r="P274" i="1"/>
  <c r="L282" i="1"/>
  <c r="I278" i="1"/>
  <c r="L283" i="1"/>
  <c r="I279" i="1"/>
  <c r="O283" i="1"/>
  <c r="O279" i="1"/>
  <c r="O282" i="1"/>
  <c r="O280" i="1"/>
  <c r="O281" i="1"/>
  <c r="M276" i="1"/>
  <c r="L280" i="1"/>
  <c r="L279" i="1"/>
  <c r="M280" i="1"/>
  <c r="P277" i="1"/>
  <c r="M279" i="1"/>
  <c r="M278" i="1"/>
  <c r="P279" i="1"/>
  <c r="M277" i="1"/>
  <c r="P278" i="1"/>
  <c r="P280" i="1"/>
  <c r="J276" i="1"/>
  <c r="J274" i="1"/>
  <c r="I272" i="6"/>
  <c r="L276" i="6"/>
  <c r="I274" i="6"/>
  <c r="O276" i="6"/>
  <c r="L278" i="6"/>
  <c r="O278" i="6"/>
  <c r="O277" i="6"/>
  <c r="O275" i="6"/>
  <c r="O273" i="6"/>
  <c r="O272" i="6"/>
  <c r="O271" i="6"/>
  <c r="I273" i="6"/>
  <c r="L277" i="6"/>
  <c r="O269" i="6"/>
  <c r="I277" i="7"/>
  <c r="L281" i="7"/>
  <c r="I279" i="7"/>
  <c r="O281" i="7"/>
  <c r="J235" i="6"/>
  <c r="M235" i="6"/>
  <c r="P235" i="6"/>
  <c r="J236" i="6"/>
  <c r="M236" i="6"/>
  <c r="P236" i="6"/>
  <c r="J237" i="6"/>
  <c r="M237" i="6"/>
  <c r="P237" i="6"/>
  <c r="J238" i="6"/>
  <c r="M238" i="6"/>
  <c r="P238" i="6"/>
  <c r="I239" i="6"/>
  <c r="J239" i="6"/>
  <c r="M239" i="6"/>
  <c r="P239" i="6"/>
  <c r="I240" i="6"/>
  <c r="J240" i="6"/>
  <c r="M240" i="6"/>
  <c r="P240" i="6"/>
  <c r="J241" i="6"/>
  <c r="M241" i="6"/>
  <c r="P241" i="6"/>
  <c r="J242" i="6"/>
  <c r="M242" i="6"/>
  <c r="O242" i="6"/>
  <c r="P242" i="6"/>
  <c r="I243" i="6"/>
  <c r="J243" i="6"/>
  <c r="L243" i="6"/>
  <c r="M243" i="6"/>
  <c r="O243" i="6"/>
  <c r="P243" i="6"/>
  <c r="I244" i="6"/>
  <c r="J244" i="6"/>
  <c r="M244" i="6"/>
  <c r="P244" i="6"/>
  <c r="J245" i="6"/>
  <c r="M245" i="6"/>
  <c r="P245" i="6"/>
  <c r="I246" i="6"/>
  <c r="J246" i="6"/>
  <c r="L246" i="6"/>
  <c r="M246" i="6"/>
  <c r="O246" i="6"/>
  <c r="P246" i="6"/>
  <c r="I247" i="6"/>
  <c r="J247" i="6"/>
  <c r="L247" i="6"/>
  <c r="M247" i="6"/>
  <c r="O247" i="6"/>
  <c r="P247" i="6"/>
  <c r="J248" i="6"/>
  <c r="M248" i="6"/>
  <c r="P248" i="6"/>
  <c r="J249" i="6"/>
  <c r="M249" i="6"/>
  <c r="O249" i="6"/>
  <c r="P249" i="6"/>
  <c r="I250" i="6"/>
  <c r="J250" i="6"/>
  <c r="L250" i="6"/>
  <c r="M250" i="6"/>
  <c r="O250" i="6"/>
  <c r="P250" i="6"/>
  <c r="I251" i="6"/>
  <c r="J251" i="6"/>
  <c r="L251" i="6"/>
  <c r="M251" i="6"/>
  <c r="P251" i="6"/>
  <c r="J252" i="6"/>
  <c r="M252" i="6"/>
  <c r="P252" i="6"/>
  <c r="J253" i="6"/>
  <c r="M253" i="6"/>
  <c r="P253" i="6"/>
  <c r="J254" i="6"/>
  <c r="M254" i="6"/>
  <c r="P254" i="6"/>
  <c r="I255" i="6"/>
  <c r="J255" i="6"/>
  <c r="M255" i="6"/>
  <c r="P255" i="6"/>
  <c r="J256" i="6"/>
  <c r="M256" i="6"/>
  <c r="P256" i="6"/>
  <c r="J257" i="6"/>
  <c r="M257" i="6"/>
  <c r="P257" i="6"/>
  <c r="I258" i="6"/>
  <c r="J258" i="6"/>
  <c r="M258" i="6"/>
  <c r="O258" i="6"/>
  <c r="P258" i="6"/>
  <c r="J259" i="6"/>
  <c r="M259" i="6"/>
  <c r="P259" i="6"/>
  <c r="J260" i="6"/>
  <c r="M260" i="6"/>
  <c r="P260" i="6"/>
  <c r="J261" i="6"/>
  <c r="M261" i="6"/>
  <c r="P261" i="6"/>
  <c r="I262" i="6"/>
  <c r="J262" i="6"/>
  <c r="L262" i="6"/>
  <c r="M262" i="6"/>
  <c r="P262" i="6"/>
  <c r="J263" i="6"/>
  <c r="M263" i="6"/>
  <c r="P263" i="6"/>
  <c r="J264" i="6"/>
  <c r="M264" i="6"/>
  <c r="P264" i="6"/>
  <c r="I265" i="6"/>
  <c r="J265" i="6"/>
  <c r="L265" i="6"/>
  <c r="M265" i="6"/>
  <c r="O265" i="6"/>
  <c r="P265" i="6"/>
  <c r="I266" i="6"/>
  <c r="J266" i="6"/>
  <c r="M266" i="6"/>
  <c r="P266" i="6"/>
  <c r="J267" i="6"/>
  <c r="M267" i="6"/>
  <c r="P267" i="6"/>
  <c r="I268" i="6"/>
  <c r="J268" i="6"/>
  <c r="L268" i="6"/>
  <c r="M268" i="6"/>
  <c r="O268" i="6"/>
  <c r="P268" i="6"/>
  <c r="G239" i="6"/>
  <c r="G240" i="6"/>
  <c r="G241" i="6"/>
  <c r="G242" i="6"/>
  <c r="G243" i="6"/>
  <c r="G244" i="6"/>
  <c r="G245" i="6"/>
  <c r="G246" i="6"/>
  <c r="G247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C268" i="6"/>
  <c r="C267" i="6"/>
  <c r="O274" i="6" s="1"/>
  <c r="C266" i="6"/>
  <c r="C265" i="6"/>
  <c r="C264" i="6"/>
  <c r="C263" i="6"/>
  <c r="O263" i="6" s="1"/>
  <c r="C262" i="6"/>
  <c r="L269" i="6" s="1"/>
  <c r="C261" i="6"/>
  <c r="I264" i="6" s="1"/>
  <c r="C260" i="6"/>
  <c r="I263" i="6" s="1"/>
  <c r="C259" i="6"/>
  <c r="L266" i="6" s="1"/>
  <c r="C258" i="6"/>
  <c r="I261" i="6" s="1"/>
  <c r="C257" i="6"/>
  <c r="L264" i="6" s="1"/>
  <c r="C256" i="6"/>
  <c r="L263" i="6" s="1"/>
  <c r="C255" i="6"/>
  <c r="O255" i="6" s="1"/>
  <c r="C254" i="6"/>
  <c r="O261" i="6" s="1"/>
  <c r="C253" i="6"/>
  <c r="I256" i="6" s="1"/>
  <c r="C252" i="6"/>
  <c r="L254" i="6" s="1"/>
  <c r="F251" i="6"/>
  <c r="C251" i="6"/>
  <c r="O251" i="6" s="1"/>
  <c r="C250" i="6"/>
  <c r="F250" i="6" s="1"/>
  <c r="C249" i="6"/>
  <c r="F249" i="6" s="1"/>
  <c r="C248" i="6"/>
  <c r="O248" i="6" s="1"/>
  <c r="C247" i="6"/>
  <c r="I248" i="6" s="1"/>
  <c r="C244" i="6"/>
  <c r="O244" i="6" s="1"/>
  <c r="C243" i="6"/>
  <c r="C242" i="6"/>
  <c r="I245" i="6" s="1"/>
  <c r="C241" i="6"/>
  <c r="L248" i="6" s="1"/>
  <c r="C240" i="6"/>
  <c r="C239" i="6"/>
  <c r="I242" i="6" s="1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C238" i="6"/>
  <c r="I241" i="6" s="1"/>
  <c r="C237" i="6"/>
  <c r="L244" i="6" s="1"/>
  <c r="C236" i="6"/>
  <c r="C235" i="6"/>
  <c r="L242" i="6" s="1"/>
  <c r="J240" i="9"/>
  <c r="M240" i="9"/>
  <c r="P240" i="9"/>
  <c r="J241" i="9"/>
  <c r="M241" i="9"/>
  <c r="P241" i="9"/>
  <c r="J242" i="9"/>
  <c r="M242" i="9"/>
  <c r="P242" i="9"/>
  <c r="J243" i="9"/>
  <c r="M243" i="9"/>
  <c r="P243" i="9"/>
  <c r="J244" i="9"/>
  <c r="M244" i="9"/>
  <c r="P244" i="9"/>
  <c r="J245" i="9"/>
  <c r="M245" i="9"/>
  <c r="P245" i="9"/>
  <c r="J246" i="9"/>
  <c r="M246" i="9"/>
  <c r="P246" i="9"/>
  <c r="J247" i="9"/>
  <c r="M247" i="9"/>
  <c r="P247" i="9"/>
  <c r="J248" i="9"/>
  <c r="M248" i="9"/>
  <c r="P248" i="9"/>
  <c r="J249" i="9"/>
  <c r="M249" i="9"/>
  <c r="P249" i="9"/>
  <c r="J250" i="9"/>
  <c r="M250" i="9"/>
  <c r="P250" i="9"/>
  <c r="I251" i="9"/>
  <c r="J251" i="9"/>
  <c r="M251" i="9"/>
  <c r="P251" i="9"/>
  <c r="J252" i="9"/>
  <c r="M252" i="9"/>
  <c r="P252" i="9"/>
  <c r="J253" i="9"/>
  <c r="M253" i="9"/>
  <c r="P253" i="9"/>
  <c r="I254" i="9"/>
  <c r="J254" i="9"/>
  <c r="M254" i="9"/>
  <c r="O254" i="9"/>
  <c r="P254" i="9"/>
  <c r="I255" i="9"/>
  <c r="J255" i="9"/>
  <c r="M255" i="9"/>
  <c r="P255" i="9"/>
  <c r="J256" i="9"/>
  <c r="M256" i="9"/>
  <c r="P256" i="9"/>
  <c r="J257" i="9"/>
  <c r="M257" i="9"/>
  <c r="P257" i="9"/>
  <c r="I258" i="9"/>
  <c r="J258" i="9"/>
  <c r="L258" i="9"/>
  <c r="M258" i="9"/>
  <c r="O258" i="9"/>
  <c r="P258" i="9"/>
  <c r="J259" i="9"/>
  <c r="M259" i="9"/>
  <c r="P259" i="9"/>
  <c r="J260" i="9"/>
  <c r="M260" i="9"/>
  <c r="P260" i="9"/>
  <c r="I261" i="9"/>
  <c r="J261" i="9"/>
  <c r="L261" i="9"/>
  <c r="M261" i="9"/>
  <c r="O261" i="9"/>
  <c r="P261" i="9"/>
  <c r="I262" i="9"/>
  <c r="J262" i="9"/>
  <c r="L262" i="9"/>
  <c r="M262" i="9"/>
  <c r="P262" i="9"/>
  <c r="J263" i="9"/>
  <c r="M263" i="9"/>
  <c r="P263" i="9"/>
  <c r="I264" i="9"/>
  <c r="J264" i="9"/>
  <c r="M264" i="9"/>
  <c r="O264" i="9"/>
  <c r="P264" i="9"/>
  <c r="J265" i="9"/>
  <c r="M265" i="9"/>
  <c r="P265" i="9"/>
  <c r="J266" i="9"/>
  <c r="M266" i="9"/>
  <c r="P266" i="9"/>
  <c r="J267" i="9"/>
  <c r="M267" i="9"/>
  <c r="P267" i="9"/>
  <c r="J268" i="9"/>
  <c r="M268" i="9"/>
  <c r="P268" i="9"/>
  <c r="J269" i="9"/>
  <c r="M269" i="9"/>
  <c r="P269" i="9"/>
  <c r="J270" i="9"/>
  <c r="M270" i="9"/>
  <c r="P270" i="9"/>
  <c r="J271" i="9"/>
  <c r="M271" i="9"/>
  <c r="P271" i="9"/>
  <c r="J272" i="9"/>
  <c r="M272" i="9"/>
  <c r="P272" i="9"/>
  <c r="I273" i="9"/>
  <c r="J273" i="9"/>
  <c r="M273" i="9"/>
  <c r="P273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C273" i="9"/>
  <c r="C272" i="9"/>
  <c r="C271" i="9"/>
  <c r="O271" i="9" s="1"/>
  <c r="C270" i="9"/>
  <c r="C269" i="9"/>
  <c r="C267" i="9"/>
  <c r="L274" i="9" s="1"/>
  <c r="C266" i="9"/>
  <c r="L273" i="9" s="1"/>
  <c r="C265" i="9"/>
  <c r="L265" i="9" s="1"/>
  <c r="C264" i="9"/>
  <c r="I267" i="9" s="1"/>
  <c r="C263" i="9"/>
  <c r="L270" i="9" s="1"/>
  <c r="C262" i="9"/>
  <c r="O262" i="9" s="1"/>
  <c r="C261" i="9"/>
  <c r="C260" i="9"/>
  <c r="I263" i="9" s="1"/>
  <c r="C259" i="9"/>
  <c r="L266" i="9" s="1"/>
  <c r="C258" i="9"/>
  <c r="C257" i="9"/>
  <c r="I260" i="9" s="1"/>
  <c r="C256" i="9"/>
  <c r="I259" i="9" s="1"/>
  <c r="C255" i="9"/>
  <c r="O255" i="9" s="1"/>
  <c r="C254" i="9"/>
  <c r="I257" i="9" s="1"/>
  <c r="C253" i="9"/>
  <c r="I256" i="9" s="1"/>
  <c r="C252" i="9"/>
  <c r="L259" i="9" s="1"/>
  <c r="C251" i="9"/>
  <c r="O251" i="9" s="1"/>
  <c r="C250" i="9"/>
  <c r="L257" i="9" s="1"/>
  <c r="C249" i="9"/>
  <c r="I252" i="9" s="1"/>
  <c r="C248" i="9"/>
  <c r="L255" i="9" s="1"/>
  <c r="C247" i="9"/>
  <c r="L254" i="9" s="1"/>
  <c r="C246" i="9"/>
  <c r="C245" i="9"/>
  <c r="I248" i="9" s="1"/>
  <c r="C244" i="9"/>
  <c r="L251" i="9" s="1"/>
  <c r="C243" i="9"/>
  <c r="L249" i="9" s="1"/>
  <c r="C242" i="9"/>
  <c r="I245" i="9" s="1"/>
  <c r="C241" i="9"/>
  <c r="L248" i="9" s="1"/>
  <c r="C240" i="9"/>
  <c r="G240" i="7"/>
  <c r="J240" i="7"/>
  <c r="M240" i="7"/>
  <c r="P240" i="7"/>
  <c r="G241" i="7"/>
  <c r="J241" i="7"/>
  <c r="M241" i="7"/>
  <c r="P241" i="7"/>
  <c r="G242" i="7"/>
  <c r="J242" i="7"/>
  <c r="M242" i="7"/>
  <c r="P242" i="7"/>
  <c r="G243" i="7"/>
  <c r="J243" i="7"/>
  <c r="M243" i="7"/>
  <c r="P243" i="7"/>
  <c r="G244" i="7"/>
  <c r="J244" i="7"/>
  <c r="M244" i="7"/>
  <c r="P244" i="7"/>
  <c r="G245" i="7"/>
  <c r="J245" i="7"/>
  <c r="M245" i="7"/>
  <c r="P245" i="7"/>
  <c r="G246" i="7"/>
  <c r="J246" i="7"/>
  <c r="M246" i="7"/>
  <c r="P246" i="7"/>
  <c r="G247" i="7"/>
  <c r="J247" i="7"/>
  <c r="M247" i="7"/>
  <c r="P247" i="7"/>
  <c r="G248" i="7"/>
  <c r="J248" i="7"/>
  <c r="M248" i="7"/>
  <c r="P248" i="7"/>
  <c r="G249" i="7"/>
  <c r="J249" i="7"/>
  <c r="M249" i="7"/>
  <c r="P249" i="7"/>
  <c r="G250" i="7"/>
  <c r="J250" i="7"/>
  <c r="M250" i="7"/>
  <c r="P250" i="7"/>
  <c r="G251" i="7"/>
  <c r="J251" i="7"/>
  <c r="M251" i="7"/>
  <c r="P251" i="7"/>
  <c r="G252" i="7"/>
  <c r="J252" i="7"/>
  <c r="M252" i="7"/>
  <c r="P252" i="7"/>
  <c r="G253" i="7"/>
  <c r="J253" i="7"/>
  <c r="M253" i="7"/>
  <c r="O253" i="7"/>
  <c r="P253" i="7"/>
  <c r="G254" i="7"/>
  <c r="J254" i="7"/>
  <c r="M254" i="7"/>
  <c r="P254" i="7"/>
  <c r="G255" i="7"/>
  <c r="J255" i="7"/>
  <c r="M255" i="7"/>
  <c r="P255" i="7"/>
  <c r="G256" i="7"/>
  <c r="J256" i="7"/>
  <c r="M256" i="7"/>
  <c r="P256" i="7"/>
  <c r="G257" i="7"/>
  <c r="J257" i="7"/>
  <c r="M257" i="7"/>
  <c r="P257" i="7"/>
  <c r="G258" i="7"/>
  <c r="J258" i="7"/>
  <c r="M258" i="7"/>
  <c r="P258" i="7"/>
  <c r="G259" i="7"/>
  <c r="J259" i="7"/>
  <c r="M259" i="7"/>
  <c r="P259" i="7"/>
  <c r="G260" i="7"/>
  <c r="J260" i="7"/>
  <c r="M260" i="7"/>
  <c r="P260" i="7"/>
  <c r="G261" i="7"/>
  <c r="J261" i="7"/>
  <c r="M261" i="7"/>
  <c r="P261" i="7"/>
  <c r="G262" i="7"/>
  <c r="J262" i="7"/>
  <c r="M262" i="7"/>
  <c r="P262" i="7"/>
  <c r="G263" i="7"/>
  <c r="J263" i="7"/>
  <c r="M263" i="7"/>
  <c r="P263" i="7"/>
  <c r="G264" i="7"/>
  <c r="J264" i="7"/>
  <c r="M264" i="7"/>
  <c r="P264" i="7"/>
  <c r="G265" i="7"/>
  <c r="J265" i="7"/>
  <c r="M265" i="7"/>
  <c r="P265" i="7"/>
  <c r="G266" i="7"/>
  <c r="J266" i="7"/>
  <c r="M266" i="7"/>
  <c r="P266" i="7"/>
  <c r="G267" i="7"/>
  <c r="J267" i="7"/>
  <c r="M267" i="7"/>
  <c r="P267" i="7"/>
  <c r="G268" i="7"/>
  <c r="J268" i="7"/>
  <c r="M268" i="7"/>
  <c r="P268" i="7"/>
  <c r="G269" i="7"/>
  <c r="J269" i="7"/>
  <c r="M269" i="7"/>
  <c r="P269" i="7"/>
  <c r="G270" i="7"/>
  <c r="J270" i="7"/>
  <c r="M270" i="7"/>
  <c r="P270" i="7"/>
  <c r="G271" i="7"/>
  <c r="J271" i="7"/>
  <c r="M271" i="7"/>
  <c r="P271" i="7"/>
  <c r="G272" i="7"/>
  <c r="J272" i="7"/>
  <c r="M272" i="7"/>
  <c r="P272" i="7"/>
  <c r="G273" i="7"/>
  <c r="J273" i="7"/>
  <c r="M273" i="7"/>
  <c r="P273" i="7"/>
  <c r="C273" i="7"/>
  <c r="L280" i="7" s="1"/>
  <c r="C272" i="7"/>
  <c r="C271" i="7"/>
  <c r="L278" i="7" s="1"/>
  <c r="C270" i="7"/>
  <c r="L277" i="7" s="1"/>
  <c r="C269" i="7"/>
  <c r="C268" i="7"/>
  <c r="L275" i="7" s="1"/>
  <c r="C267" i="7"/>
  <c r="L274" i="7" s="1"/>
  <c r="C266" i="7"/>
  <c r="C265" i="7"/>
  <c r="L272" i="7" s="1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5" i="7"/>
  <c r="C244" i="7"/>
  <c r="L251" i="7" s="1"/>
  <c r="C243" i="7"/>
  <c r="O250" i="7" s="1"/>
  <c r="C242" i="7"/>
  <c r="I245" i="7" s="1"/>
  <c r="C241" i="7"/>
  <c r="I244" i="7" s="1"/>
  <c r="L258" i="6" l="1"/>
  <c r="O253" i="6"/>
  <c r="I257" i="6"/>
  <c r="O245" i="6"/>
  <c r="L261" i="6"/>
  <c r="L257" i="6"/>
  <c r="O260" i="6"/>
  <c r="L260" i="6"/>
  <c r="O256" i="6"/>
  <c r="L249" i="6"/>
  <c r="L271" i="6"/>
  <c r="L267" i="6"/>
  <c r="L256" i="6"/>
  <c r="O252" i="6"/>
  <c r="L245" i="6"/>
  <c r="O241" i="6"/>
  <c r="I238" i="6"/>
  <c r="O254" i="6"/>
  <c r="I254" i="6"/>
  <c r="O264" i="6"/>
  <c r="L253" i="6"/>
  <c r="O267" i="6"/>
  <c r="I253" i="6"/>
  <c r="L270" i="6"/>
  <c r="I260" i="6"/>
  <c r="I249" i="6"/>
  <c r="L272" i="6"/>
  <c r="L273" i="6"/>
  <c r="I269" i="6"/>
  <c r="I267" i="6"/>
  <c r="O259" i="6"/>
  <c r="L252" i="6"/>
  <c r="F248" i="6"/>
  <c r="L275" i="6"/>
  <c r="I271" i="6"/>
  <c r="O266" i="6"/>
  <c r="L259" i="6"/>
  <c r="I252" i="6"/>
  <c r="O262" i="6"/>
  <c r="I259" i="6"/>
  <c r="L255" i="6"/>
  <c r="F252" i="6"/>
  <c r="G255" i="6" s="1"/>
  <c r="O257" i="6"/>
  <c r="L274" i="6"/>
  <c r="I270" i="6"/>
  <c r="O270" i="6"/>
  <c r="L279" i="7"/>
  <c r="I266" i="9"/>
  <c r="L275" i="9"/>
  <c r="L276" i="9"/>
  <c r="L269" i="9"/>
  <c r="O272" i="9"/>
  <c r="O250" i="9"/>
  <c r="I268" i="9"/>
  <c r="L264" i="9"/>
  <c r="O260" i="9"/>
  <c r="L253" i="9"/>
  <c r="O249" i="9"/>
  <c r="I246" i="9"/>
  <c r="I243" i="9"/>
  <c r="I250" i="9"/>
  <c r="L247" i="9"/>
  <c r="L277" i="9"/>
  <c r="I269" i="9"/>
  <c r="I247" i="9"/>
  <c r="O257" i="9"/>
  <c r="O253" i="9"/>
  <c r="I253" i="9"/>
  <c r="I271" i="9"/>
  <c r="L267" i="9"/>
  <c r="O263" i="9"/>
  <c r="L256" i="9"/>
  <c r="O252" i="9"/>
  <c r="I249" i="9"/>
  <c r="I244" i="9"/>
  <c r="L280" i="9"/>
  <c r="I276" i="9"/>
  <c r="O279" i="9"/>
  <c r="O277" i="9"/>
  <c r="O276" i="9"/>
  <c r="O278" i="9"/>
  <c r="O275" i="9"/>
  <c r="O274" i="9"/>
  <c r="O280" i="9"/>
  <c r="I265" i="9"/>
  <c r="L268" i="9"/>
  <c r="L271" i="9"/>
  <c r="O267" i="9"/>
  <c r="L260" i="9"/>
  <c r="O256" i="9"/>
  <c r="O270" i="9"/>
  <c r="L263" i="9"/>
  <c r="O259" i="9"/>
  <c r="L252" i="9"/>
  <c r="O248" i="9"/>
  <c r="L272" i="9"/>
  <c r="O266" i="9"/>
  <c r="O269" i="9"/>
  <c r="O247" i="9"/>
  <c r="O265" i="9"/>
  <c r="L278" i="9"/>
  <c r="I274" i="9"/>
  <c r="L279" i="9"/>
  <c r="I275" i="9"/>
  <c r="O268" i="9"/>
  <c r="L250" i="9"/>
  <c r="I272" i="9"/>
  <c r="O273" i="9"/>
  <c r="I270" i="9"/>
  <c r="O278" i="7"/>
  <c r="O277" i="7"/>
  <c r="O279" i="7"/>
  <c r="O280" i="7"/>
  <c r="I267" i="7"/>
  <c r="L253" i="7"/>
  <c r="I252" i="7"/>
  <c r="I272" i="7"/>
  <c r="O276" i="7"/>
  <c r="O252" i="7"/>
  <c r="I253" i="7"/>
  <c r="L266" i="7"/>
  <c r="O255" i="7"/>
  <c r="I260" i="7"/>
  <c r="I257" i="7"/>
  <c r="O260" i="7"/>
  <c r="I263" i="7"/>
  <c r="O263" i="7"/>
  <c r="O262" i="7"/>
  <c r="L256" i="7"/>
  <c r="O269" i="7"/>
  <c r="O272" i="7"/>
  <c r="I247" i="7"/>
  <c r="I248" i="7"/>
  <c r="L276" i="7"/>
  <c r="I251" i="7"/>
  <c r="O259" i="7"/>
  <c r="O257" i="7"/>
  <c r="O256" i="7"/>
  <c r="I256" i="7"/>
  <c r="I266" i="7"/>
  <c r="L257" i="7"/>
  <c r="O251" i="7"/>
  <c r="O273" i="7"/>
  <c r="I269" i="7"/>
  <c r="I255" i="7"/>
  <c r="L250" i="7"/>
  <c r="L269" i="7"/>
  <c r="O254" i="7"/>
  <c r="I250" i="7"/>
  <c r="I254" i="7"/>
  <c r="O265" i="7"/>
  <c r="L265" i="7"/>
  <c r="I259" i="7"/>
  <c r="L268" i="7"/>
  <c r="I262" i="7"/>
  <c r="L271" i="7"/>
  <c r="I265" i="7"/>
  <c r="L249" i="7"/>
  <c r="I268" i="7"/>
  <c r="L252" i="7"/>
  <c r="I274" i="7"/>
  <c r="I249" i="7"/>
  <c r="O267" i="7"/>
  <c r="L261" i="7"/>
  <c r="O270" i="7"/>
  <c r="L264" i="7"/>
  <c r="I258" i="7"/>
  <c r="O248" i="7"/>
  <c r="L267" i="7"/>
  <c r="I261" i="7"/>
  <c r="L270" i="7"/>
  <c r="I264" i="7"/>
  <c r="L248" i="7"/>
  <c r="L262" i="7"/>
  <c r="O271" i="7"/>
  <c r="O249" i="7"/>
  <c r="O258" i="7"/>
  <c r="I246" i="7"/>
  <c r="I271" i="7"/>
  <c r="O261" i="7"/>
  <c r="L255" i="7"/>
  <c r="I275" i="7"/>
  <c r="O264" i="7"/>
  <c r="L258" i="7"/>
  <c r="O275" i="7"/>
  <c r="O274" i="7"/>
  <c r="I276" i="7"/>
  <c r="L273" i="7"/>
  <c r="I270" i="7"/>
  <c r="L254" i="7"/>
  <c r="I273" i="7"/>
  <c r="L259" i="7"/>
  <c r="O268" i="7"/>
  <c r="O266" i="7"/>
  <c r="L260" i="7"/>
  <c r="L263" i="7"/>
  <c r="C240" i="7"/>
  <c r="G232" i="5"/>
  <c r="I232" i="5"/>
  <c r="J232" i="5"/>
  <c r="L232" i="5"/>
  <c r="M232" i="5"/>
  <c r="O232" i="5"/>
  <c r="P232" i="5"/>
  <c r="G233" i="5"/>
  <c r="I233" i="5"/>
  <c r="J233" i="5"/>
  <c r="L233" i="5"/>
  <c r="M233" i="5"/>
  <c r="O233" i="5"/>
  <c r="P233" i="5"/>
  <c r="G234" i="5"/>
  <c r="I234" i="5"/>
  <c r="J234" i="5"/>
  <c r="L234" i="5"/>
  <c r="M234" i="5"/>
  <c r="O234" i="5"/>
  <c r="P234" i="5"/>
  <c r="G235" i="5"/>
  <c r="I235" i="5"/>
  <c r="J235" i="5"/>
  <c r="L235" i="5"/>
  <c r="M235" i="5"/>
  <c r="O235" i="5"/>
  <c r="P235" i="5"/>
  <c r="G236" i="5"/>
  <c r="I236" i="5"/>
  <c r="J236" i="5"/>
  <c r="L236" i="5"/>
  <c r="M236" i="5"/>
  <c r="O236" i="5"/>
  <c r="P236" i="5"/>
  <c r="G237" i="5"/>
  <c r="I237" i="5"/>
  <c r="J237" i="5"/>
  <c r="L237" i="5"/>
  <c r="M237" i="5"/>
  <c r="O237" i="5"/>
  <c r="P237" i="5"/>
  <c r="G238" i="5"/>
  <c r="I238" i="5"/>
  <c r="J238" i="5"/>
  <c r="L238" i="5"/>
  <c r="M238" i="5"/>
  <c r="O238" i="5"/>
  <c r="P238" i="5"/>
  <c r="G239" i="5"/>
  <c r="I239" i="5"/>
  <c r="J239" i="5"/>
  <c r="L239" i="5"/>
  <c r="M239" i="5"/>
  <c r="O239" i="5"/>
  <c r="P239" i="5"/>
  <c r="G240" i="5"/>
  <c r="I240" i="5"/>
  <c r="J240" i="5"/>
  <c r="L240" i="5"/>
  <c r="M240" i="5"/>
  <c r="O240" i="5"/>
  <c r="P240" i="5"/>
  <c r="G241" i="5"/>
  <c r="I241" i="5"/>
  <c r="J241" i="5"/>
  <c r="L241" i="5"/>
  <c r="M241" i="5"/>
  <c r="O241" i="5"/>
  <c r="P241" i="5"/>
  <c r="G242" i="5"/>
  <c r="I242" i="5"/>
  <c r="J242" i="5"/>
  <c r="L242" i="5"/>
  <c r="M242" i="5"/>
  <c r="O242" i="5"/>
  <c r="P242" i="5"/>
  <c r="G243" i="5"/>
  <c r="I243" i="5"/>
  <c r="J243" i="5"/>
  <c r="L243" i="5"/>
  <c r="M243" i="5"/>
  <c r="O243" i="5"/>
  <c r="P243" i="5"/>
  <c r="G244" i="5"/>
  <c r="I244" i="5"/>
  <c r="J244" i="5"/>
  <c r="L244" i="5"/>
  <c r="M244" i="5"/>
  <c r="O244" i="5"/>
  <c r="P244" i="5"/>
  <c r="G245" i="5"/>
  <c r="I245" i="5"/>
  <c r="J245" i="5"/>
  <c r="L245" i="5"/>
  <c r="M245" i="5"/>
  <c r="O245" i="5"/>
  <c r="P245" i="5"/>
  <c r="G246" i="5"/>
  <c r="I246" i="5"/>
  <c r="J246" i="5"/>
  <c r="L246" i="5"/>
  <c r="M246" i="5"/>
  <c r="O246" i="5"/>
  <c r="P246" i="5"/>
  <c r="G247" i="5"/>
  <c r="I247" i="5"/>
  <c r="J247" i="5"/>
  <c r="L247" i="5"/>
  <c r="M247" i="5"/>
  <c r="O247" i="5"/>
  <c r="P247" i="5"/>
  <c r="G248" i="5"/>
  <c r="I248" i="5"/>
  <c r="J248" i="5"/>
  <c r="L248" i="5"/>
  <c r="M248" i="5"/>
  <c r="O248" i="5"/>
  <c r="P248" i="5"/>
  <c r="G249" i="5"/>
  <c r="I249" i="5"/>
  <c r="J249" i="5"/>
  <c r="L249" i="5"/>
  <c r="M249" i="5"/>
  <c r="O249" i="5"/>
  <c r="P249" i="5"/>
  <c r="G250" i="5"/>
  <c r="I250" i="5"/>
  <c r="J250" i="5"/>
  <c r="L250" i="5"/>
  <c r="M250" i="5"/>
  <c r="O250" i="5"/>
  <c r="P250" i="5"/>
  <c r="G251" i="5"/>
  <c r="I251" i="5"/>
  <c r="J251" i="5"/>
  <c r="L251" i="5"/>
  <c r="M251" i="5"/>
  <c r="O251" i="5"/>
  <c r="P251" i="5"/>
  <c r="G252" i="5"/>
  <c r="I252" i="5"/>
  <c r="J252" i="5"/>
  <c r="L252" i="5"/>
  <c r="M252" i="5"/>
  <c r="O252" i="5"/>
  <c r="P252" i="5"/>
  <c r="G253" i="5"/>
  <c r="I253" i="5"/>
  <c r="J253" i="5"/>
  <c r="L253" i="5"/>
  <c r="M253" i="5"/>
  <c r="O253" i="5"/>
  <c r="P253" i="5"/>
  <c r="G254" i="5"/>
  <c r="I254" i="5"/>
  <c r="J254" i="5"/>
  <c r="L254" i="5"/>
  <c r="M254" i="5"/>
  <c r="O254" i="5"/>
  <c r="P254" i="5"/>
  <c r="G255" i="5"/>
  <c r="I255" i="5"/>
  <c r="J255" i="5"/>
  <c r="L255" i="5"/>
  <c r="M255" i="5"/>
  <c r="O255" i="5"/>
  <c r="P255" i="5"/>
  <c r="G256" i="5"/>
  <c r="I256" i="5"/>
  <c r="J256" i="5"/>
  <c r="L256" i="5"/>
  <c r="M256" i="5"/>
  <c r="O256" i="5"/>
  <c r="P256" i="5"/>
  <c r="G257" i="5"/>
  <c r="I257" i="5"/>
  <c r="J257" i="5"/>
  <c r="L257" i="5"/>
  <c r="M257" i="5"/>
  <c r="O257" i="5"/>
  <c r="P257" i="5"/>
  <c r="G258" i="5"/>
  <c r="I258" i="5"/>
  <c r="J258" i="5"/>
  <c r="L258" i="5"/>
  <c r="M258" i="5"/>
  <c r="O258" i="5"/>
  <c r="P258" i="5"/>
  <c r="G259" i="5"/>
  <c r="I259" i="5"/>
  <c r="J259" i="5"/>
  <c r="L259" i="5"/>
  <c r="M259" i="5"/>
  <c r="O259" i="5"/>
  <c r="P259" i="5"/>
  <c r="G260" i="5"/>
  <c r="I260" i="5"/>
  <c r="J260" i="5"/>
  <c r="L260" i="5"/>
  <c r="M260" i="5"/>
  <c r="O260" i="5"/>
  <c r="P260" i="5"/>
  <c r="G261" i="5"/>
  <c r="I261" i="5"/>
  <c r="J261" i="5"/>
  <c r="L261" i="5"/>
  <c r="M261" i="5"/>
  <c r="O261" i="5"/>
  <c r="P261" i="5"/>
  <c r="G262" i="5"/>
  <c r="I262" i="5"/>
  <c r="J262" i="5"/>
  <c r="L262" i="5"/>
  <c r="M262" i="5"/>
  <c r="O262" i="5"/>
  <c r="P262" i="5"/>
  <c r="G263" i="5"/>
  <c r="I263" i="5"/>
  <c r="J263" i="5"/>
  <c r="L263" i="5"/>
  <c r="M263" i="5"/>
  <c r="O263" i="5"/>
  <c r="P263" i="5"/>
  <c r="G264" i="5"/>
  <c r="I264" i="5"/>
  <c r="J264" i="5"/>
  <c r="L264" i="5"/>
  <c r="M264" i="5"/>
  <c r="O264" i="5"/>
  <c r="P264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3" i="5"/>
  <c r="C232" i="5"/>
  <c r="J247" i="1"/>
  <c r="M247" i="1"/>
  <c r="P247" i="1"/>
  <c r="J248" i="1"/>
  <c r="M248" i="1"/>
  <c r="P248" i="1"/>
  <c r="J249" i="1"/>
  <c r="M249" i="1"/>
  <c r="P249" i="1"/>
  <c r="J250" i="1"/>
  <c r="M250" i="1"/>
  <c r="P250" i="1"/>
  <c r="J251" i="1"/>
  <c r="M251" i="1"/>
  <c r="P251" i="1"/>
  <c r="J252" i="1"/>
  <c r="M252" i="1"/>
  <c r="P252" i="1"/>
  <c r="J253" i="1"/>
  <c r="M253" i="1"/>
  <c r="P253" i="1"/>
  <c r="J254" i="1"/>
  <c r="M254" i="1"/>
  <c r="P254" i="1"/>
  <c r="J255" i="1"/>
  <c r="M255" i="1"/>
  <c r="P255" i="1"/>
  <c r="J256" i="1"/>
  <c r="M256" i="1"/>
  <c r="P256" i="1"/>
  <c r="J257" i="1"/>
  <c r="M257" i="1"/>
  <c r="P257" i="1"/>
  <c r="J258" i="1"/>
  <c r="M258" i="1"/>
  <c r="P258" i="1"/>
  <c r="J259" i="1"/>
  <c r="M259" i="1"/>
  <c r="P259" i="1"/>
  <c r="J260" i="1"/>
  <c r="M260" i="1"/>
  <c r="P260" i="1"/>
  <c r="J261" i="1"/>
  <c r="M261" i="1"/>
  <c r="P261" i="1"/>
  <c r="J262" i="1"/>
  <c r="M262" i="1"/>
  <c r="P262" i="1"/>
  <c r="J263" i="1"/>
  <c r="M263" i="1"/>
  <c r="P263" i="1"/>
  <c r="J264" i="1"/>
  <c r="M264" i="1"/>
  <c r="P264" i="1"/>
  <c r="J265" i="1"/>
  <c r="M265" i="1"/>
  <c r="P265" i="1"/>
  <c r="J266" i="1"/>
  <c r="M266" i="1"/>
  <c r="P266" i="1"/>
  <c r="J267" i="1"/>
  <c r="M267" i="1"/>
  <c r="P267" i="1"/>
  <c r="J268" i="1"/>
  <c r="M268" i="1"/>
  <c r="P268" i="1"/>
  <c r="J269" i="1"/>
  <c r="M269" i="1"/>
  <c r="P269" i="1"/>
  <c r="J270" i="1"/>
  <c r="M270" i="1"/>
  <c r="P270" i="1"/>
  <c r="J271" i="1"/>
  <c r="M271" i="1"/>
  <c r="P271" i="1"/>
  <c r="J272" i="1"/>
  <c r="M272" i="1"/>
  <c r="P272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I252" i="1" s="1"/>
  <c r="C248" i="1"/>
  <c r="G247" i="1"/>
  <c r="C247" i="1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5" i="9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5" i="7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5" i="6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5" i="5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5" i="1"/>
  <c r="J243" i="1"/>
  <c r="M243" i="1"/>
  <c r="P243" i="1"/>
  <c r="J244" i="1"/>
  <c r="M244" i="1"/>
  <c r="P244" i="1"/>
  <c r="J245" i="1"/>
  <c r="M245" i="1"/>
  <c r="P245" i="1"/>
  <c r="J246" i="1"/>
  <c r="M246" i="1"/>
  <c r="P246" i="1"/>
  <c r="C246" i="1"/>
  <c r="C245" i="1"/>
  <c r="C244" i="1"/>
  <c r="J242" i="1"/>
  <c r="M242" i="1"/>
  <c r="P242" i="1"/>
  <c r="C242" i="1"/>
  <c r="J240" i="1"/>
  <c r="M240" i="1"/>
  <c r="P240" i="1"/>
  <c r="J241" i="1"/>
  <c r="M241" i="1"/>
  <c r="P241" i="1"/>
  <c r="C241" i="1"/>
  <c r="C240" i="1"/>
  <c r="J238" i="1"/>
  <c r="M238" i="1"/>
  <c r="P238" i="1"/>
  <c r="J239" i="1"/>
  <c r="M239" i="1"/>
  <c r="P239" i="1"/>
  <c r="C239" i="1"/>
  <c r="C238" i="1"/>
  <c r="J236" i="4"/>
  <c r="M236" i="4"/>
  <c r="P236" i="4"/>
  <c r="J237" i="4"/>
  <c r="M237" i="4"/>
  <c r="P237" i="4"/>
  <c r="J238" i="4"/>
  <c r="M238" i="4"/>
  <c r="P238" i="4"/>
  <c r="J239" i="4"/>
  <c r="M239" i="4"/>
  <c r="P239" i="4"/>
  <c r="C239" i="4"/>
  <c r="I239" i="4" s="1"/>
  <c r="J230" i="5"/>
  <c r="M230" i="5"/>
  <c r="P230" i="5"/>
  <c r="J231" i="5"/>
  <c r="M231" i="5"/>
  <c r="P231" i="5"/>
  <c r="C231" i="5"/>
  <c r="C230" i="5"/>
  <c r="J233" i="6"/>
  <c r="M233" i="6"/>
  <c r="P233" i="6"/>
  <c r="J234" i="6"/>
  <c r="M234" i="6"/>
  <c r="P234" i="6"/>
  <c r="C234" i="6"/>
  <c r="C233" i="6"/>
  <c r="J238" i="7"/>
  <c r="M238" i="7"/>
  <c r="P238" i="7"/>
  <c r="J239" i="7"/>
  <c r="M239" i="7"/>
  <c r="P239" i="7"/>
  <c r="C239" i="7"/>
  <c r="C238" i="7"/>
  <c r="J238" i="9"/>
  <c r="M238" i="9"/>
  <c r="P238" i="9"/>
  <c r="J239" i="9"/>
  <c r="M239" i="9"/>
  <c r="P239" i="9"/>
  <c r="C239" i="9"/>
  <c r="C238" i="9"/>
  <c r="O245" i="9" s="1"/>
  <c r="I260" i="1" l="1"/>
  <c r="L276" i="1"/>
  <c r="L262" i="1"/>
  <c r="L274" i="1"/>
  <c r="L275" i="1"/>
  <c r="L254" i="1"/>
  <c r="L266" i="1"/>
  <c r="L264" i="1"/>
  <c r="O256" i="1"/>
  <c r="O258" i="1"/>
  <c r="I270" i="1"/>
  <c r="O248" i="1"/>
  <c r="O260" i="1"/>
  <c r="L256" i="1"/>
  <c r="L268" i="1"/>
  <c r="I262" i="1"/>
  <c r="O250" i="1"/>
  <c r="O262" i="1"/>
  <c r="L250" i="1"/>
  <c r="L258" i="1"/>
  <c r="L270" i="1"/>
  <c r="I258" i="1"/>
  <c r="L248" i="1"/>
  <c r="L252" i="1"/>
  <c r="I272" i="1"/>
  <c r="I248" i="1"/>
  <c r="L260" i="1"/>
  <c r="L272" i="1"/>
  <c r="I250" i="1"/>
  <c r="O254" i="1"/>
  <c r="L273" i="1"/>
  <c r="I264" i="1"/>
  <c r="O269" i="1"/>
  <c r="O261" i="1"/>
  <c r="O255" i="1"/>
  <c r="O249" i="1"/>
  <c r="L277" i="1"/>
  <c r="I273" i="1"/>
  <c r="L267" i="1"/>
  <c r="L263" i="1"/>
  <c r="L259" i="1"/>
  <c r="L247" i="1"/>
  <c r="L278" i="1"/>
  <c r="I274" i="1"/>
  <c r="O273" i="1"/>
  <c r="O278" i="1"/>
  <c r="O277" i="1"/>
  <c r="O275" i="1"/>
  <c r="O274" i="1"/>
  <c r="O276" i="1"/>
  <c r="O271" i="1"/>
  <c r="O263" i="1"/>
  <c r="O257" i="1"/>
  <c r="O251" i="1"/>
  <c r="L271" i="1"/>
  <c r="L269" i="1"/>
  <c r="L265" i="1"/>
  <c r="L261" i="1"/>
  <c r="L257" i="1"/>
  <c r="L253" i="1"/>
  <c r="L251" i="1"/>
  <c r="L249" i="1"/>
  <c r="I271" i="1"/>
  <c r="I269" i="1"/>
  <c r="I267" i="1"/>
  <c r="I265" i="1"/>
  <c r="I263" i="1"/>
  <c r="I261" i="1"/>
  <c r="I259" i="1"/>
  <c r="I257" i="1"/>
  <c r="I255" i="1"/>
  <c r="I253" i="1"/>
  <c r="I251" i="1"/>
  <c r="I249" i="1"/>
  <c r="I247" i="1"/>
  <c r="O265" i="1"/>
  <c r="O247" i="1"/>
  <c r="O267" i="1"/>
  <c r="O259" i="1"/>
  <c r="O253" i="1"/>
  <c r="O272" i="1"/>
  <c r="O270" i="1"/>
  <c r="O268" i="1"/>
  <c r="O266" i="1"/>
  <c r="O264" i="1"/>
  <c r="O252" i="1"/>
  <c r="I268" i="1"/>
  <c r="I266" i="1"/>
  <c r="I256" i="1"/>
  <c r="I254" i="1"/>
  <c r="L255" i="1"/>
  <c r="G249" i="6"/>
  <c r="G248" i="6"/>
  <c r="G250" i="6"/>
  <c r="G251" i="6"/>
  <c r="I236" i="6"/>
  <c r="L240" i="6"/>
  <c r="L241" i="6"/>
  <c r="I237" i="6"/>
  <c r="O236" i="6"/>
  <c r="O239" i="6"/>
  <c r="O235" i="6"/>
  <c r="G254" i="6"/>
  <c r="G253" i="6"/>
  <c r="G252" i="6"/>
  <c r="O240" i="6"/>
  <c r="I242" i="9"/>
  <c r="L246" i="9"/>
  <c r="I241" i="9"/>
  <c r="L245" i="9"/>
  <c r="O246" i="9"/>
  <c r="O245" i="7"/>
  <c r="I241" i="7"/>
  <c r="L245" i="7"/>
  <c r="L246" i="7"/>
  <c r="I242" i="7"/>
  <c r="L247" i="7"/>
  <c r="I243" i="7"/>
  <c r="O246" i="7"/>
  <c r="O247" i="7"/>
  <c r="I246" i="1"/>
  <c r="I243" i="1"/>
  <c r="O246" i="1"/>
  <c r="O245" i="1"/>
  <c r="L245" i="1"/>
  <c r="I245" i="1"/>
  <c r="I241" i="1"/>
  <c r="I242" i="1"/>
  <c r="I244" i="1"/>
  <c r="L246" i="1"/>
  <c r="J230" i="9"/>
  <c r="M230" i="9"/>
  <c r="P230" i="9"/>
  <c r="J231" i="9"/>
  <c r="M231" i="9"/>
  <c r="P231" i="9"/>
  <c r="J232" i="9"/>
  <c r="M232" i="9"/>
  <c r="P232" i="9"/>
  <c r="J233" i="9"/>
  <c r="M233" i="9"/>
  <c r="P233" i="9"/>
  <c r="J234" i="9"/>
  <c r="M234" i="9"/>
  <c r="P234" i="9"/>
  <c r="J235" i="9"/>
  <c r="M235" i="9"/>
  <c r="P235" i="9"/>
  <c r="J236" i="9"/>
  <c r="M236" i="9"/>
  <c r="P236" i="9"/>
  <c r="J237" i="9"/>
  <c r="M237" i="9"/>
  <c r="P237" i="9"/>
  <c r="C237" i="9"/>
  <c r="C236" i="9"/>
  <c r="C232" i="9"/>
  <c r="C231" i="9"/>
  <c r="C230" i="9"/>
  <c r="J233" i="7"/>
  <c r="M233" i="7"/>
  <c r="P233" i="7"/>
  <c r="J234" i="7"/>
  <c r="M234" i="7"/>
  <c r="P234" i="7"/>
  <c r="J235" i="7"/>
  <c r="M235" i="7"/>
  <c r="P235" i="7"/>
  <c r="J236" i="7"/>
  <c r="M236" i="7"/>
  <c r="P236" i="7"/>
  <c r="J237" i="7"/>
  <c r="M237" i="7"/>
  <c r="P237" i="7"/>
  <c r="C237" i="7"/>
  <c r="C236" i="7"/>
  <c r="L243" i="7" s="1"/>
  <c r="C235" i="7"/>
  <c r="L242" i="7" s="1"/>
  <c r="C234" i="7"/>
  <c r="C233" i="7"/>
  <c r="J225" i="6"/>
  <c r="M225" i="6"/>
  <c r="P225" i="6"/>
  <c r="J226" i="6"/>
  <c r="M226" i="6"/>
  <c r="P226" i="6"/>
  <c r="J227" i="6"/>
  <c r="M227" i="6"/>
  <c r="P227" i="6"/>
  <c r="J228" i="6"/>
  <c r="M228" i="6"/>
  <c r="P228" i="6"/>
  <c r="J229" i="6"/>
  <c r="M229" i="6"/>
  <c r="P229" i="6"/>
  <c r="J230" i="6"/>
  <c r="M230" i="6"/>
  <c r="P230" i="6"/>
  <c r="J231" i="6"/>
  <c r="M231" i="6"/>
  <c r="P231" i="6"/>
  <c r="J232" i="6"/>
  <c r="M232" i="6"/>
  <c r="P232" i="6"/>
  <c r="C232" i="6"/>
  <c r="O238" i="6" s="1"/>
  <c r="C231" i="6"/>
  <c r="C230" i="6"/>
  <c r="C229" i="6"/>
  <c r="C227" i="6"/>
  <c r="C226" i="6"/>
  <c r="C225" i="6"/>
  <c r="I228" i="6" s="1"/>
  <c r="I229" i="6" l="1"/>
  <c r="I233" i="6"/>
  <c r="L237" i="6"/>
  <c r="I234" i="6"/>
  <c r="L238" i="6"/>
  <c r="L235" i="6"/>
  <c r="L236" i="6"/>
  <c r="L239" i="6"/>
  <c r="I235" i="6"/>
  <c r="O237" i="6"/>
  <c r="L243" i="9"/>
  <c r="L240" i="9"/>
  <c r="L241" i="9"/>
  <c r="L242" i="9"/>
  <c r="L244" i="9"/>
  <c r="I240" i="9"/>
  <c r="O243" i="9"/>
  <c r="O244" i="9"/>
  <c r="O240" i="9"/>
  <c r="O242" i="9"/>
  <c r="O241" i="9"/>
  <c r="L244" i="7"/>
  <c r="I240" i="7"/>
  <c r="O242" i="7"/>
  <c r="O241" i="7"/>
  <c r="O244" i="7"/>
  <c r="O240" i="7"/>
  <c r="L240" i="7"/>
  <c r="I237" i="7"/>
  <c r="L241" i="7"/>
  <c r="O243" i="7"/>
  <c r="I238" i="7"/>
  <c r="I239" i="7"/>
  <c r="O239" i="9"/>
  <c r="L237" i="9"/>
  <c r="I234" i="9"/>
  <c r="I233" i="9"/>
  <c r="L232" i="6"/>
  <c r="I232" i="6"/>
  <c r="L233" i="6"/>
  <c r="L234" i="6"/>
  <c r="I238" i="9"/>
  <c r="I239" i="9"/>
  <c r="I231" i="6"/>
  <c r="O234" i="6"/>
  <c r="O238" i="9"/>
  <c r="L239" i="9"/>
  <c r="I235" i="9"/>
  <c r="I230" i="6"/>
  <c r="O237" i="9"/>
  <c r="O233" i="6"/>
  <c r="O232" i="6"/>
  <c r="I236" i="7"/>
  <c r="I236" i="9"/>
  <c r="L238" i="9"/>
  <c r="I237" i="9"/>
  <c r="J222" i="5"/>
  <c r="M222" i="5"/>
  <c r="P222" i="5"/>
  <c r="J223" i="5"/>
  <c r="M223" i="5"/>
  <c r="P223" i="5"/>
  <c r="J224" i="5"/>
  <c r="M224" i="5"/>
  <c r="P224" i="5"/>
  <c r="J225" i="5"/>
  <c r="M225" i="5"/>
  <c r="P225" i="5"/>
  <c r="J226" i="5"/>
  <c r="M226" i="5"/>
  <c r="P226" i="5"/>
  <c r="J227" i="5"/>
  <c r="M227" i="5"/>
  <c r="P227" i="5"/>
  <c r="J228" i="5"/>
  <c r="M228" i="5"/>
  <c r="P228" i="5"/>
  <c r="J229" i="5"/>
  <c r="M229" i="5"/>
  <c r="P229" i="5"/>
  <c r="C229" i="5"/>
  <c r="C228" i="5"/>
  <c r="I231" i="5" s="1"/>
  <c r="C227" i="5"/>
  <c r="I230" i="5" s="1"/>
  <c r="C226" i="5"/>
  <c r="C225" i="5"/>
  <c r="C224" i="5"/>
  <c r="C223" i="5"/>
  <c r="C222" i="5"/>
  <c r="J230" i="4"/>
  <c r="M230" i="4"/>
  <c r="P230" i="4"/>
  <c r="J231" i="4"/>
  <c r="M231" i="4"/>
  <c r="P231" i="4"/>
  <c r="J232" i="4"/>
  <c r="M232" i="4"/>
  <c r="P232" i="4"/>
  <c r="J233" i="4"/>
  <c r="M233" i="4"/>
  <c r="P233" i="4"/>
  <c r="J234" i="4"/>
  <c r="M234" i="4"/>
  <c r="P234" i="4"/>
  <c r="J235" i="4"/>
  <c r="M235" i="4"/>
  <c r="P235" i="4"/>
  <c r="C235" i="4"/>
  <c r="C234" i="4"/>
  <c r="C233" i="4"/>
  <c r="C232" i="4"/>
  <c r="C231" i="4"/>
  <c r="C230" i="4"/>
  <c r="J230" i="1"/>
  <c r="M230" i="1"/>
  <c r="P230" i="1"/>
  <c r="J231" i="1"/>
  <c r="M231" i="1"/>
  <c r="P231" i="1"/>
  <c r="J232" i="1"/>
  <c r="M232" i="1"/>
  <c r="P232" i="1"/>
  <c r="J233" i="1"/>
  <c r="M233" i="1"/>
  <c r="P233" i="1"/>
  <c r="J234" i="1"/>
  <c r="M234" i="1"/>
  <c r="P234" i="1"/>
  <c r="J235" i="1"/>
  <c r="M235" i="1"/>
  <c r="P235" i="1"/>
  <c r="J236" i="1"/>
  <c r="M236" i="1"/>
  <c r="P236" i="1"/>
  <c r="J237" i="1"/>
  <c r="M237" i="1"/>
  <c r="P237" i="1"/>
  <c r="C237" i="1"/>
  <c r="C236" i="1"/>
  <c r="C235" i="1"/>
  <c r="C234" i="1"/>
  <c r="C233" i="1"/>
  <c r="C232" i="1"/>
  <c r="C231" i="1"/>
  <c r="I228" i="5" l="1"/>
  <c r="L231" i="5"/>
  <c r="L229" i="5"/>
  <c r="I225" i="5"/>
  <c r="I234" i="4"/>
  <c r="L237" i="4"/>
  <c r="I236" i="4"/>
  <c r="L239" i="4"/>
  <c r="L240" i="1"/>
  <c r="L241" i="1"/>
  <c r="L243" i="1"/>
  <c r="L242" i="1"/>
  <c r="I240" i="1"/>
  <c r="L244" i="1"/>
  <c r="O241" i="1"/>
  <c r="O242" i="1"/>
  <c r="O243" i="1"/>
  <c r="O240" i="1"/>
  <c r="O244" i="1"/>
  <c r="L238" i="1"/>
  <c r="I227" i="5"/>
  <c r="O238" i="4"/>
  <c r="I238" i="4"/>
  <c r="O237" i="4"/>
  <c r="O239" i="4"/>
  <c r="I236" i="1"/>
  <c r="O229" i="5"/>
  <c r="O238" i="1"/>
  <c r="O239" i="1"/>
  <c r="L238" i="4"/>
  <c r="I229" i="5"/>
  <c r="I235" i="1"/>
  <c r="I226" i="5"/>
  <c r="I238" i="1"/>
  <c r="I233" i="4"/>
  <c r="L230" i="5"/>
  <c r="L239" i="1"/>
  <c r="I237" i="1"/>
  <c r="I234" i="1"/>
  <c r="I239" i="1"/>
  <c r="I237" i="4"/>
  <c r="O231" i="5"/>
  <c r="O230" i="5"/>
  <c r="I235" i="4"/>
  <c r="J232" i="7"/>
  <c r="M232" i="7"/>
  <c r="P232" i="7"/>
  <c r="C232" i="7"/>
  <c r="J231" i="7"/>
  <c r="M231" i="7"/>
  <c r="P231" i="7"/>
  <c r="C231" i="7"/>
  <c r="L239" i="7" l="1"/>
  <c r="I235" i="7"/>
  <c r="O239" i="7"/>
  <c r="O238" i="7"/>
  <c r="L238" i="7"/>
  <c r="I234" i="7"/>
  <c r="J222" i="9"/>
  <c r="M222" i="9"/>
  <c r="P222" i="9"/>
  <c r="J223" i="9"/>
  <c r="M223" i="9"/>
  <c r="P223" i="9"/>
  <c r="J224" i="9"/>
  <c r="M224" i="9"/>
  <c r="P224" i="9"/>
  <c r="J225" i="9"/>
  <c r="M225" i="9"/>
  <c r="P225" i="9"/>
  <c r="J226" i="9"/>
  <c r="M226" i="9"/>
  <c r="P226" i="9"/>
  <c r="J227" i="9"/>
  <c r="M227" i="9"/>
  <c r="P227" i="9"/>
  <c r="J228" i="9"/>
  <c r="M228" i="9"/>
  <c r="P228" i="9"/>
  <c r="J229" i="9"/>
  <c r="M229" i="9"/>
  <c r="P229" i="9"/>
  <c r="C229" i="9"/>
  <c r="C228" i="9"/>
  <c r="C227" i="9"/>
  <c r="C226" i="9"/>
  <c r="C225" i="9"/>
  <c r="C224" i="9"/>
  <c r="C223" i="9"/>
  <c r="C222" i="9"/>
  <c r="O229" i="9" l="1"/>
  <c r="L230" i="9"/>
  <c r="I227" i="9"/>
  <c r="L234" i="9"/>
  <c r="I230" i="9"/>
  <c r="I226" i="9"/>
  <c r="L231" i="9"/>
  <c r="I229" i="9"/>
  <c r="L232" i="9"/>
  <c r="I232" i="9"/>
  <c r="L236" i="9"/>
  <c r="O233" i="9"/>
  <c r="O236" i="9"/>
  <c r="O230" i="9"/>
  <c r="O235" i="9"/>
  <c r="O234" i="9"/>
  <c r="O231" i="9"/>
  <c r="O232" i="9"/>
  <c r="I228" i="9"/>
  <c r="I225" i="9"/>
  <c r="I231" i="9"/>
  <c r="L235" i="9"/>
  <c r="L229" i="9"/>
  <c r="L233" i="9"/>
  <c r="J222" i="7"/>
  <c r="M222" i="7"/>
  <c r="P222" i="7"/>
  <c r="J223" i="7"/>
  <c r="M223" i="7"/>
  <c r="P223" i="7"/>
  <c r="J224" i="7"/>
  <c r="M224" i="7"/>
  <c r="P224" i="7"/>
  <c r="J225" i="7"/>
  <c r="M225" i="7"/>
  <c r="P225" i="7"/>
  <c r="J226" i="7"/>
  <c r="M226" i="7"/>
  <c r="P226" i="7"/>
  <c r="J227" i="7"/>
  <c r="M227" i="7"/>
  <c r="P227" i="7"/>
  <c r="J228" i="7"/>
  <c r="M228" i="7"/>
  <c r="P228" i="7"/>
  <c r="J229" i="7"/>
  <c r="M229" i="7"/>
  <c r="P229" i="7"/>
  <c r="J230" i="7"/>
  <c r="M230" i="7"/>
  <c r="P230" i="7"/>
  <c r="C230" i="7"/>
  <c r="C229" i="7"/>
  <c r="C228" i="7"/>
  <c r="C227" i="7"/>
  <c r="C226" i="7"/>
  <c r="C225" i="7"/>
  <c r="C224" i="7"/>
  <c r="C223" i="7"/>
  <c r="C222" i="7"/>
  <c r="J223" i="6"/>
  <c r="M223" i="6"/>
  <c r="P223" i="6"/>
  <c r="J224" i="6"/>
  <c r="M224" i="6"/>
  <c r="P224" i="6"/>
  <c r="C224" i="6"/>
  <c r="C223" i="6"/>
  <c r="J217" i="6"/>
  <c r="M217" i="6"/>
  <c r="P217" i="6"/>
  <c r="J218" i="6"/>
  <c r="M218" i="6"/>
  <c r="P218" i="6"/>
  <c r="J219" i="6"/>
  <c r="M219" i="6"/>
  <c r="P219" i="6"/>
  <c r="J220" i="6"/>
  <c r="M220" i="6"/>
  <c r="P220" i="6"/>
  <c r="J221" i="6"/>
  <c r="M221" i="6"/>
  <c r="P221" i="6"/>
  <c r="J222" i="6"/>
  <c r="M222" i="6"/>
  <c r="P222" i="6"/>
  <c r="C222" i="6"/>
  <c r="C221" i="6"/>
  <c r="C220" i="6"/>
  <c r="C219" i="6"/>
  <c r="C218" i="6"/>
  <c r="C217" i="6"/>
  <c r="J214" i="5"/>
  <c r="M214" i="5"/>
  <c r="P214" i="5"/>
  <c r="J215" i="5"/>
  <c r="M215" i="5"/>
  <c r="P215" i="5"/>
  <c r="J216" i="5"/>
  <c r="M216" i="5"/>
  <c r="P216" i="5"/>
  <c r="J217" i="5"/>
  <c r="M217" i="5"/>
  <c r="P217" i="5"/>
  <c r="J218" i="5"/>
  <c r="M218" i="5"/>
  <c r="P218" i="5"/>
  <c r="J219" i="5"/>
  <c r="M219" i="5"/>
  <c r="P219" i="5"/>
  <c r="J220" i="5"/>
  <c r="M220" i="5"/>
  <c r="P220" i="5"/>
  <c r="J221" i="5"/>
  <c r="M221" i="5"/>
  <c r="P221" i="5"/>
  <c r="C221" i="5"/>
  <c r="C220" i="5"/>
  <c r="C219" i="5"/>
  <c r="C218" i="5"/>
  <c r="C217" i="5"/>
  <c r="C216" i="5"/>
  <c r="C215" i="5"/>
  <c r="C214" i="5"/>
  <c r="J228" i="4"/>
  <c r="M228" i="4"/>
  <c r="P228" i="4"/>
  <c r="J229" i="4"/>
  <c r="M229" i="4"/>
  <c r="P229" i="4"/>
  <c r="C229" i="4"/>
  <c r="C228" i="4"/>
  <c r="J222" i="4"/>
  <c r="M222" i="4"/>
  <c r="P222" i="4"/>
  <c r="J223" i="4"/>
  <c r="M223" i="4"/>
  <c r="P223" i="4"/>
  <c r="J224" i="4"/>
  <c r="M224" i="4"/>
  <c r="P224" i="4"/>
  <c r="J225" i="4"/>
  <c r="M225" i="4"/>
  <c r="P225" i="4"/>
  <c r="J226" i="4"/>
  <c r="M226" i="4"/>
  <c r="P226" i="4"/>
  <c r="J227" i="4"/>
  <c r="M227" i="4"/>
  <c r="P227" i="4"/>
  <c r="C227" i="4"/>
  <c r="C226" i="4"/>
  <c r="C225" i="4"/>
  <c r="C224" i="4"/>
  <c r="C223" i="4"/>
  <c r="C222" i="4"/>
  <c r="I225" i="4" l="1"/>
  <c r="I226" i="4"/>
  <c r="L230" i="7"/>
  <c r="O229" i="7"/>
  <c r="I225" i="7"/>
  <c r="I223" i="6"/>
  <c r="L225" i="6"/>
  <c r="L224" i="6"/>
  <c r="L228" i="6"/>
  <c r="L221" i="5"/>
  <c r="I219" i="5"/>
  <c r="L225" i="5"/>
  <c r="I228" i="4"/>
  <c r="I229" i="4"/>
  <c r="L233" i="4"/>
  <c r="I218" i="5"/>
  <c r="L226" i="6"/>
  <c r="I221" i="6"/>
  <c r="I230" i="7"/>
  <c r="L232" i="7"/>
  <c r="L232" i="4"/>
  <c r="L235" i="4"/>
  <c r="I231" i="4"/>
  <c r="I227" i="7"/>
  <c r="I224" i="6"/>
  <c r="I221" i="5"/>
  <c r="L227" i="6"/>
  <c r="L237" i="7"/>
  <c r="I233" i="7"/>
  <c r="O232" i="7"/>
  <c r="O235" i="7"/>
  <c r="O233" i="7"/>
  <c r="O237" i="7"/>
  <c r="O236" i="7"/>
  <c r="O231" i="7"/>
  <c r="O234" i="7"/>
  <c r="L226" i="5"/>
  <c r="I222" i="5"/>
  <c r="I217" i="5"/>
  <c r="I220" i="6"/>
  <c r="I229" i="7"/>
  <c r="I226" i="7"/>
  <c r="L222" i="5"/>
  <c r="L230" i="6"/>
  <c r="I226" i="6"/>
  <c r="L234" i="7"/>
  <c r="I230" i="4"/>
  <c r="L234" i="4"/>
  <c r="L228" i="5"/>
  <c r="I224" i="5"/>
  <c r="O223" i="5"/>
  <c r="O228" i="5"/>
  <c r="O227" i="5"/>
  <c r="O225" i="5"/>
  <c r="O226" i="5"/>
  <c r="O222" i="5"/>
  <c r="O224" i="5"/>
  <c r="I227" i="6"/>
  <c r="L231" i="6"/>
  <c r="O225" i="6"/>
  <c r="O228" i="6"/>
  <c r="O229" i="6"/>
  <c r="O231" i="6"/>
  <c r="O230" i="6"/>
  <c r="O226" i="6"/>
  <c r="O227" i="6"/>
  <c r="L233" i="7"/>
  <c r="L229" i="7"/>
  <c r="O224" i="6"/>
  <c r="L235" i="7"/>
  <c r="I231" i="7"/>
  <c r="L227" i="5"/>
  <c r="I223" i="5"/>
  <c r="I222" i="6"/>
  <c r="I228" i="7"/>
  <c r="L236" i="4"/>
  <c r="I232" i="4"/>
  <c r="O235" i="4"/>
  <c r="O234" i="4"/>
  <c r="O232" i="4"/>
  <c r="O230" i="4"/>
  <c r="O231" i="4"/>
  <c r="O233" i="4"/>
  <c r="O236" i="4"/>
  <c r="L229" i="4"/>
  <c r="L231" i="7"/>
  <c r="L236" i="7"/>
  <c r="I232" i="7"/>
  <c r="I220" i="5"/>
  <c r="L230" i="4"/>
  <c r="L231" i="4"/>
  <c r="L224" i="5"/>
  <c r="O221" i="5"/>
  <c r="O230" i="7"/>
  <c r="I227" i="4"/>
  <c r="L229" i="6"/>
  <c r="I225" i="6"/>
  <c r="O229" i="4"/>
  <c r="L223" i="5"/>
  <c r="J228" i="1"/>
  <c r="M228" i="1"/>
  <c r="P228" i="1"/>
  <c r="J229" i="1"/>
  <c r="M229" i="1"/>
  <c r="P229" i="1"/>
  <c r="C230" i="1"/>
  <c r="C229" i="1"/>
  <c r="C228" i="1"/>
  <c r="J227" i="1"/>
  <c r="M227" i="1"/>
  <c r="P227" i="1"/>
  <c r="C227" i="1"/>
  <c r="J226" i="1"/>
  <c r="M226" i="1"/>
  <c r="P226" i="1"/>
  <c r="C226" i="1"/>
  <c r="J225" i="1"/>
  <c r="M225" i="1"/>
  <c r="P225" i="1"/>
  <c r="C225" i="1"/>
  <c r="J224" i="1"/>
  <c r="M224" i="1"/>
  <c r="P224" i="1"/>
  <c r="C224" i="1"/>
  <c r="J223" i="1"/>
  <c r="M223" i="1"/>
  <c r="P223" i="1"/>
  <c r="C223" i="1"/>
  <c r="J222" i="1"/>
  <c r="M222" i="1"/>
  <c r="P222" i="1"/>
  <c r="C222" i="1"/>
  <c r="I229" i="1" l="1"/>
  <c r="I228" i="1"/>
  <c r="L234" i="1"/>
  <c r="I230" i="1"/>
  <c r="L231" i="1"/>
  <c r="L230" i="1"/>
  <c r="L232" i="1"/>
  <c r="L236" i="1"/>
  <c r="I232" i="1"/>
  <c r="I226" i="1"/>
  <c r="L229" i="1"/>
  <c r="O230" i="1"/>
  <c r="L237" i="1"/>
  <c r="I233" i="1"/>
  <c r="O233" i="1"/>
  <c r="O237" i="1"/>
  <c r="O234" i="1"/>
  <c r="O235" i="1"/>
  <c r="O232" i="1"/>
  <c r="O236" i="1"/>
  <c r="O231" i="1"/>
  <c r="I227" i="1"/>
  <c r="O229" i="1"/>
  <c r="I225" i="1"/>
  <c r="L233" i="1"/>
  <c r="L235" i="1"/>
  <c r="I231" i="1"/>
  <c r="A13" i="6" l="1"/>
  <c r="J221" i="4" l="1"/>
  <c r="M221" i="4"/>
  <c r="P221" i="4"/>
  <c r="C221" i="4"/>
  <c r="I224" i="4" l="1"/>
  <c r="O228" i="4"/>
  <c r="L228" i="4"/>
  <c r="J221" i="1"/>
  <c r="M221" i="1"/>
  <c r="P221" i="1"/>
  <c r="C221" i="1"/>
  <c r="I224" i="1" l="1"/>
  <c r="O228" i="1"/>
  <c r="L228" i="1"/>
  <c r="J213" i="5"/>
  <c r="M213" i="5"/>
  <c r="P213" i="5"/>
  <c r="C213" i="5"/>
  <c r="I216" i="5" l="1"/>
  <c r="L220" i="5"/>
  <c r="O220" i="5"/>
  <c r="J221" i="9"/>
  <c r="M221" i="9"/>
  <c r="P221" i="9"/>
  <c r="C221" i="9"/>
  <c r="L228" i="9" l="1"/>
  <c r="I224" i="9"/>
  <c r="O228" i="9"/>
  <c r="J221" i="7"/>
  <c r="M221" i="7"/>
  <c r="P221" i="7"/>
  <c r="C221" i="7"/>
  <c r="L228" i="7" l="1"/>
  <c r="I224" i="7"/>
  <c r="O228" i="7"/>
  <c r="J216" i="6" l="1"/>
  <c r="M216" i="6"/>
  <c r="P216" i="6"/>
  <c r="C216" i="6"/>
  <c r="I219" i="6" l="1"/>
  <c r="L223" i="6"/>
  <c r="O223" i="6"/>
  <c r="J220" i="9"/>
  <c r="M220" i="9"/>
  <c r="P220" i="9"/>
  <c r="C220" i="9"/>
  <c r="J220" i="7"/>
  <c r="M220" i="7"/>
  <c r="P220" i="7"/>
  <c r="C220" i="7"/>
  <c r="J215" i="6"/>
  <c r="M215" i="6"/>
  <c r="P215" i="6"/>
  <c r="C215" i="6"/>
  <c r="J212" i="5"/>
  <c r="M212" i="5"/>
  <c r="P212" i="5"/>
  <c r="C212" i="5"/>
  <c r="J220" i="4"/>
  <c r="M220" i="4"/>
  <c r="P220" i="4"/>
  <c r="C220" i="4"/>
  <c r="J220" i="1"/>
  <c r="M220" i="1"/>
  <c r="P220" i="1"/>
  <c r="C220" i="1"/>
  <c r="I223" i="4" l="1"/>
  <c r="L227" i="4"/>
  <c r="O227" i="4"/>
  <c r="I223" i="9"/>
  <c r="L227" i="9"/>
  <c r="O227" i="9"/>
  <c r="L227" i="1"/>
  <c r="I223" i="1"/>
  <c r="O227" i="1"/>
  <c r="I223" i="7"/>
  <c r="L227" i="7"/>
  <c r="O227" i="7"/>
  <c r="L219" i="5"/>
  <c r="I215" i="5"/>
  <c r="O219" i="5"/>
  <c r="O222" i="6"/>
  <c r="L222" i="6"/>
  <c r="I218" i="6"/>
  <c r="J218" i="9"/>
  <c r="M218" i="9"/>
  <c r="P218" i="9"/>
  <c r="J219" i="9"/>
  <c r="M219" i="9"/>
  <c r="P219" i="9"/>
  <c r="C219" i="9"/>
  <c r="O226" i="9" s="1"/>
  <c r="C218" i="9"/>
  <c r="J218" i="7"/>
  <c r="M218" i="7"/>
  <c r="P218" i="7"/>
  <c r="J219" i="7"/>
  <c r="M219" i="7"/>
  <c r="P219" i="7"/>
  <c r="C219" i="7"/>
  <c r="O226" i="7" s="1"/>
  <c r="C218" i="7"/>
  <c r="J213" i="6"/>
  <c r="M213" i="6"/>
  <c r="P213" i="6"/>
  <c r="J214" i="6"/>
  <c r="M214" i="6"/>
  <c r="P214" i="6"/>
  <c r="C214" i="6"/>
  <c r="O221" i="6" s="1"/>
  <c r="C213" i="6"/>
  <c r="J210" i="5"/>
  <c r="M210" i="5"/>
  <c r="P210" i="5"/>
  <c r="J211" i="5"/>
  <c r="M211" i="5"/>
  <c r="P211" i="5"/>
  <c r="C211" i="5"/>
  <c r="C210" i="5"/>
  <c r="J218" i="4"/>
  <c r="M218" i="4"/>
  <c r="P218" i="4"/>
  <c r="J219" i="4"/>
  <c r="M219" i="4"/>
  <c r="P219" i="4"/>
  <c r="C219" i="4"/>
  <c r="C218" i="4"/>
  <c r="J218" i="1"/>
  <c r="M218" i="1"/>
  <c r="P218" i="1"/>
  <c r="J219" i="1"/>
  <c r="M219" i="1"/>
  <c r="P219" i="1"/>
  <c r="C219" i="1"/>
  <c r="C218" i="1"/>
  <c r="O225" i="1" l="1"/>
  <c r="L225" i="4"/>
  <c r="I221" i="4"/>
  <c r="L226" i="4"/>
  <c r="I222" i="4"/>
  <c r="L221" i="6"/>
  <c r="I217" i="6"/>
  <c r="O226" i="1"/>
  <c r="I214" i="5"/>
  <c r="L218" i="5"/>
  <c r="O220" i="6"/>
  <c r="I216" i="6"/>
  <c r="L220" i="6"/>
  <c r="O226" i="4"/>
  <c r="O225" i="7"/>
  <c r="O225" i="4"/>
  <c r="I221" i="1"/>
  <c r="L225" i="1"/>
  <c r="L225" i="9"/>
  <c r="I221" i="9"/>
  <c r="O217" i="5"/>
  <c r="O225" i="9"/>
  <c r="I222" i="1"/>
  <c r="L226" i="1"/>
  <c r="L225" i="7"/>
  <c r="I221" i="7"/>
  <c r="I222" i="7"/>
  <c r="L226" i="7"/>
  <c r="O218" i="5"/>
  <c r="L217" i="5"/>
  <c r="I213" i="5"/>
  <c r="I222" i="9"/>
  <c r="L226" i="9"/>
  <c r="J217" i="1"/>
  <c r="M217" i="1"/>
  <c r="P217" i="1"/>
  <c r="C217" i="1"/>
  <c r="J217" i="4"/>
  <c r="M217" i="4"/>
  <c r="P217" i="4"/>
  <c r="C217" i="4"/>
  <c r="O224" i="4" s="1"/>
  <c r="J217" i="9"/>
  <c r="M217" i="9"/>
  <c r="P217" i="9"/>
  <c r="C217" i="9"/>
  <c r="J217" i="7"/>
  <c r="M217" i="7"/>
  <c r="P217" i="7"/>
  <c r="C217" i="7"/>
  <c r="O224" i="7" s="1"/>
  <c r="J209" i="5"/>
  <c r="M209" i="5"/>
  <c r="P209" i="5"/>
  <c r="C209" i="5"/>
  <c r="O216" i="5" s="1"/>
  <c r="J212" i="6"/>
  <c r="M212" i="6"/>
  <c r="P212" i="6"/>
  <c r="C212" i="6"/>
  <c r="I220" i="1" l="1"/>
  <c r="L224" i="1"/>
  <c r="O224" i="1"/>
  <c r="I215" i="6"/>
  <c r="L219" i="6"/>
  <c r="O219" i="6"/>
  <c r="L224" i="9"/>
  <c r="I220" i="9"/>
  <c r="O224" i="9"/>
  <c r="L224" i="7"/>
  <c r="I220" i="7"/>
  <c r="L216" i="5"/>
  <c r="I212" i="5"/>
  <c r="O223" i="9"/>
  <c r="L224" i="4"/>
  <c r="I220" i="4"/>
  <c r="J215" i="9"/>
  <c r="M215" i="9"/>
  <c r="P215" i="9"/>
  <c r="J216" i="9"/>
  <c r="M216" i="9"/>
  <c r="P216" i="9"/>
  <c r="C216" i="9"/>
  <c r="C215" i="9"/>
  <c r="J215" i="7"/>
  <c r="M215" i="7"/>
  <c r="P215" i="7"/>
  <c r="J216" i="7"/>
  <c r="M216" i="7"/>
  <c r="P216" i="7"/>
  <c r="C216" i="7"/>
  <c r="C215" i="7"/>
  <c r="J210" i="6"/>
  <c r="M210" i="6"/>
  <c r="P210" i="6"/>
  <c r="J211" i="6"/>
  <c r="M211" i="6"/>
  <c r="P211" i="6"/>
  <c r="C211" i="6"/>
  <c r="C210" i="6"/>
  <c r="J207" i="5"/>
  <c r="M207" i="5"/>
  <c r="P207" i="5"/>
  <c r="J208" i="5"/>
  <c r="M208" i="5"/>
  <c r="P208" i="5"/>
  <c r="C207" i="5"/>
  <c r="C208" i="5"/>
  <c r="J215" i="4"/>
  <c r="M215" i="4"/>
  <c r="P215" i="4"/>
  <c r="J216" i="4"/>
  <c r="M216" i="4"/>
  <c r="P216" i="4"/>
  <c r="C216" i="4"/>
  <c r="C215" i="4"/>
  <c r="J215" i="1"/>
  <c r="M215" i="1"/>
  <c r="P215" i="1"/>
  <c r="J216" i="1"/>
  <c r="M216" i="1"/>
  <c r="P216" i="1"/>
  <c r="C216" i="1"/>
  <c r="C215" i="1"/>
  <c r="O222" i="4" l="1"/>
  <c r="O222" i="1"/>
  <c r="I213" i="6"/>
  <c r="L217" i="6"/>
  <c r="L215" i="5"/>
  <c r="I211" i="5"/>
  <c r="O214" i="5"/>
  <c r="L222" i="1"/>
  <c r="L214" i="5"/>
  <c r="I210" i="5"/>
  <c r="O218" i="6"/>
  <c r="O223" i="1"/>
  <c r="O222" i="9"/>
  <c r="L222" i="4"/>
  <c r="I218" i="4"/>
  <c r="O215" i="5"/>
  <c r="L222" i="7"/>
  <c r="I218" i="7"/>
  <c r="L223" i="4"/>
  <c r="I219" i="4"/>
  <c r="O223" i="4"/>
  <c r="L222" i="9"/>
  <c r="I218" i="9"/>
  <c r="I214" i="6"/>
  <c r="L218" i="6"/>
  <c r="L223" i="1"/>
  <c r="L223" i="7"/>
  <c r="I219" i="7"/>
  <c r="O222" i="7"/>
  <c r="O223" i="7"/>
  <c r="L223" i="9"/>
  <c r="I219" i="9"/>
  <c r="O217" i="6"/>
  <c r="I218" i="1"/>
  <c r="I219" i="1"/>
  <c r="J213" i="9"/>
  <c r="M213" i="9"/>
  <c r="P213" i="9"/>
  <c r="J214" i="9"/>
  <c r="M214" i="9"/>
  <c r="P214" i="9"/>
  <c r="C214" i="9"/>
  <c r="C213" i="9"/>
  <c r="J213" i="7"/>
  <c r="M213" i="7"/>
  <c r="P213" i="7"/>
  <c r="J214" i="7"/>
  <c r="M214" i="7"/>
  <c r="P214" i="7"/>
  <c r="C214" i="7"/>
  <c r="C213" i="7"/>
  <c r="J208" i="6"/>
  <c r="M208" i="6"/>
  <c r="P208" i="6"/>
  <c r="J209" i="6"/>
  <c r="M209" i="6"/>
  <c r="P209" i="6"/>
  <c r="C209" i="6"/>
  <c r="C208" i="6"/>
  <c r="J205" i="5"/>
  <c r="M205" i="5"/>
  <c r="P205" i="5"/>
  <c r="J206" i="5"/>
  <c r="M206" i="5"/>
  <c r="P206" i="5"/>
  <c r="C206" i="5"/>
  <c r="C205" i="5"/>
  <c r="J213" i="4"/>
  <c r="M213" i="4"/>
  <c r="P213" i="4"/>
  <c r="J214" i="4"/>
  <c r="M214" i="4"/>
  <c r="P214" i="4"/>
  <c r="C214" i="4"/>
  <c r="C213" i="4"/>
  <c r="J213" i="1"/>
  <c r="M213" i="1"/>
  <c r="P213" i="1"/>
  <c r="J214" i="1"/>
  <c r="M214" i="1"/>
  <c r="P214" i="1"/>
  <c r="C214" i="1"/>
  <c r="C213" i="1"/>
  <c r="L220" i="4" l="1"/>
  <c r="I216" i="4"/>
  <c r="O213" i="5"/>
  <c r="L212" i="5"/>
  <c r="I208" i="5"/>
  <c r="L221" i="4"/>
  <c r="I217" i="4"/>
  <c r="O212" i="5"/>
  <c r="O220" i="9"/>
  <c r="L221" i="7"/>
  <c r="I217" i="7"/>
  <c r="O220" i="7"/>
  <c r="O220" i="4"/>
  <c r="O221" i="4"/>
  <c r="L213" i="5"/>
  <c r="I209" i="5"/>
  <c r="L221" i="9"/>
  <c r="I217" i="9"/>
  <c r="L220" i="7"/>
  <c r="I216" i="7"/>
  <c r="L220" i="9"/>
  <c r="I216" i="9"/>
  <c r="O221" i="7"/>
  <c r="O221" i="9"/>
  <c r="O215" i="6"/>
  <c r="O216" i="6"/>
  <c r="L215" i="6"/>
  <c r="I211" i="6"/>
  <c r="L216" i="6"/>
  <c r="I212" i="6"/>
  <c r="O220" i="1"/>
  <c r="L221" i="1"/>
  <c r="I217" i="1"/>
  <c r="L220" i="1"/>
  <c r="I216" i="1"/>
  <c r="O221" i="1"/>
  <c r="J212" i="9"/>
  <c r="M212" i="9"/>
  <c r="P212" i="9"/>
  <c r="C212" i="9"/>
  <c r="O219" i="9" s="1"/>
  <c r="J212" i="7"/>
  <c r="M212" i="7"/>
  <c r="P212" i="7"/>
  <c r="C212" i="7"/>
  <c r="J207" i="6"/>
  <c r="M207" i="6"/>
  <c r="P207" i="6"/>
  <c r="C207" i="6"/>
  <c r="J204" i="5"/>
  <c r="M204" i="5"/>
  <c r="P204" i="5"/>
  <c r="C204" i="5"/>
  <c r="J212" i="4"/>
  <c r="M212" i="4"/>
  <c r="P212" i="4"/>
  <c r="C212" i="4"/>
  <c r="J212" i="1"/>
  <c r="M212" i="1"/>
  <c r="P212" i="1"/>
  <c r="C212" i="1"/>
  <c r="O219" i="7" l="1"/>
  <c r="O219" i="4"/>
  <c r="L219" i="4"/>
  <c r="I215" i="4"/>
  <c r="L219" i="7"/>
  <c r="I215" i="7"/>
  <c r="L211" i="5"/>
  <c r="I207" i="5"/>
  <c r="L219" i="9"/>
  <c r="I215" i="9"/>
  <c r="O211" i="5"/>
  <c r="I210" i="6"/>
  <c r="L214" i="6"/>
  <c r="O214" i="6"/>
  <c r="L219" i="1"/>
  <c r="L218" i="1"/>
  <c r="I215" i="1"/>
  <c r="I214" i="1"/>
  <c r="O218" i="1"/>
  <c r="O219" i="1"/>
  <c r="C159" i="9" l="1"/>
  <c r="C158" i="9"/>
  <c r="C157" i="9"/>
  <c r="C156" i="9"/>
  <c r="C155" i="9"/>
  <c r="I158" i="9" s="1"/>
  <c r="C154" i="9"/>
  <c r="C153" i="9"/>
  <c r="C152" i="9"/>
  <c r="C151" i="9"/>
  <c r="C150" i="9"/>
  <c r="C148" i="9"/>
  <c r="C147" i="9"/>
  <c r="C146" i="9"/>
  <c r="C145" i="9"/>
  <c r="C144" i="9"/>
  <c r="C143" i="9"/>
  <c r="C142" i="9"/>
  <c r="C141" i="9"/>
  <c r="C137" i="9"/>
  <c r="C136" i="9"/>
  <c r="C135" i="9"/>
  <c r="C149" i="9"/>
  <c r="J210" i="9" l="1"/>
  <c r="M210" i="9"/>
  <c r="P210" i="9"/>
  <c r="J211" i="9"/>
  <c r="M211" i="9"/>
  <c r="P211" i="9"/>
  <c r="C211" i="9"/>
  <c r="C210" i="9"/>
  <c r="J209" i="7"/>
  <c r="M209" i="7"/>
  <c r="P209" i="7"/>
  <c r="J210" i="7"/>
  <c r="M210" i="7"/>
  <c r="P210" i="7"/>
  <c r="J211" i="7"/>
  <c r="M211" i="7"/>
  <c r="P211" i="7"/>
  <c r="C211" i="7"/>
  <c r="C210" i="7"/>
  <c r="C209" i="7"/>
  <c r="J205" i="6"/>
  <c r="M205" i="6"/>
  <c r="P205" i="6"/>
  <c r="J206" i="6"/>
  <c r="M206" i="6"/>
  <c r="P206" i="6"/>
  <c r="C206" i="6"/>
  <c r="C205" i="6"/>
  <c r="J202" i="5"/>
  <c r="M202" i="5"/>
  <c r="P202" i="5"/>
  <c r="J203" i="5"/>
  <c r="M203" i="5"/>
  <c r="P203" i="5"/>
  <c r="C203" i="5"/>
  <c r="C202" i="5"/>
  <c r="J211" i="4"/>
  <c r="M211" i="4"/>
  <c r="P211" i="4"/>
  <c r="C211" i="4"/>
  <c r="J210" i="4"/>
  <c r="M210" i="4"/>
  <c r="P210" i="4"/>
  <c r="C210" i="4"/>
  <c r="J211" i="1"/>
  <c r="M211" i="1"/>
  <c r="P211" i="1"/>
  <c r="J210" i="1"/>
  <c r="M210" i="1"/>
  <c r="P210" i="1"/>
  <c r="C210" i="1"/>
  <c r="L217" i="9" l="1"/>
  <c r="I213" i="9"/>
  <c r="L218" i="4"/>
  <c r="I214" i="4"/>
  <c r="O218" i="4"/>
  <c r="O217" i="4"/>
  <c r="L217" i="4"/>
  <c r="I213" i="4"/>
  <c r="L216" i="7"/>
  <c r="I212" i="7"/>
  <c r="L218" i="7"/>
  <c r="I214" i="7"/>
  <c r="O216" i="7"/>
  <c r="O218" i="7"/>
  <c r="O217" i="7"/>
  <c r="L210" i="5"/>
  <c r="I206" i="5"/>
  <c r="O210" i="5"/>
  <c r="O209" i="5"/>
  <c r="L209" i="5"/>
  <c r="I205" i="5"/>
  <c r="L217" i="7"/>
  <c r="I213" i="7"/>
  <c r="L218" i="9"/>
  <c r="I214" i="9"/>
  <c r="O217" i="9"/>
  <c r="O218" i="9"/>
  <c r="L213" i="6"/>
  <c r="I209" i="6"/>
  <c r="O212" i="6"/>
  <c r="O213" i="6"/>
  <c r="L212" i="6"/>
  <c r="I208" i="6"/>
  <c r="L217" i="1"/>
  <c r="I213" i="1"/>
  <c r="O217" i="1"/>
  <c r="J209" i="9"/>
  <c r="M209" i="9"/>
  <c r="P209" i="9"/>
  <c r="C209" i="9"/>
  <c r="O216" i="9" s="1"/>
  <c r="J204" i="6"/>
  <c r="M204" i="6"/>
  <c r="P204" i="6"/>
  <c r="C204" i="6"/>
  <c r="J201" i="5"/>
  <c r="M201" i="5"/>
  <c r="P201" i="5"/>
  <c r="C201" i="5"/>
  <c r="P203" i="6"/>
  <c r="J209" i="4"/>
  <c r="M209" i="4"/>
  <c r="P209" i="4"/>
  <c r="C209" i="4"/>
  <c r="O216" i="4" s="1"/>
  <c r="J209" i="1"/>
  <c r="M209" i="1"/>
  <c r="P209" i="1"/>
  <c r="C209" i="1"/>
  <c r="L208" i="5" l="1"/>
  <c r="I204" i="5"/>
  <c r="L216" i="4"/>
  <c r="I212" i="4"/>
  <c r="L216" i="9"/>
  <c r="I212" i="9"/>
  <c r="O208" i="5"/>
  <c r="L211" i="6"/>
  <c r="I207" i="6"/>
  <c r="O211" i="6"/>
  <c r="L216" i="1"/>
  <c r="I212" i="1"/>
  <c r="O216" i="1"/>
  <c r="J199" i="5" l="1"/>
  <c r="M199" i="5"/>
  <c r="P199" i="5"/>
  <c r="J200" i="5"/>
  <c r="M200" i="5"/>
  <c r="P200" i="5"/>
  <c r="C200" i="5"/>
  <c r="C199" i="5"/>
  <c r="J207" i="4"/>
  <c r="M207" i="4"/>
  <c r="P207" i="4"/>
  <c r="J208" i="4"/>
  <c r="M208" i="4"/>
  <c r="P208" i="4"/>
  <c r="C208" i="4"/>
  <c r="C207" i="4"/>
  <c r="L206" i="5" l="1"/>
  <c r="L215" i="4"/>
  <c r="O214" i="4"/>
  <c r="O215" i="4"/>
  <c r="O213" i="4"/>
  <c r="L213" i="4"/>
  <c r="L214" i="4"/>
  <c r="L207" i="5"/>
  <c r="O206" i="5"/>
  <c r="O207" i="5"/>
  <c r="I202" i="5"/>
  <c r="I203" i="5"/>
  <c r="I210" i="4"/>
  <c r="I209" i="4"/>
  <c r="I211" i="4"/>
  <c r="J207" i="1"/>
  <c r="M207" i="1"/>
  <c r="P207" i="1"/>
  <c r="J208" i="1"/>
  <c r="M208" i="1"/>
  <c r="P208" i="1"/>
  <c r="C208" i="1"/>
  <c r="C207" i="1"/>
  <c r="J207" i="9"/>
  <c r="M207" i="9"/>
  <c r="P207" i="9"/>
  <c r="J208" i="9"/>
  <c r="M208" i="9"/>
  <c r="P208" i="9"/>
  <c r="C208" i="9"/>
  <c r="C207" i="9"/>
  <c r="J203" i="7"/>
  <c r="M203" i="7"/>
  <c r="P203" i="7"/>
  <c r="J204" i="7"/>
  <c r="M204" i="7"/>
  <c r="P204" i="7"/>
  <c r="J205" i="7"/>
  <c r="M205" i="7"/>
  <c r="P205" i="7"/>
  <c r="J206" i="7"/>
  <c r="M206" i="7"/>
  <c r="P206" i="7"/>
  <c r="J207" i="7"/>
  <c r="M207" i="7"/>
  <c r="P207" i="7"/>
  <c r="J208" i="7"/>
  <c r="M208" i="7"/>
  <c r="P208" i="7"/>
  <c r="C208" i="7"/>
  <c r="C207" i="7"/>
  <c r="C206" i="7"/>
  <c r="C205" i="7"/>
  <c r="C204" i="7"/>
  <c r="C203" i="7"/>
  <c r="J198" i="6"/>
  <c r="M198" i="6"/>
  <c r="P198" i="6"/>
  <c r="J199" i="6"/>
  <c r="M199" i="6"/>
  <c r="P199" i="6"/>
  <c r="J200" i="6"/>
  <c r="M200" i="6"/>
  <c r="P200" i="6"/>
  <c r="J201" i="6"/>
  <c r="M201" i="6"/>
  <c r="P201" i="6"/>
  <c r="J202" i="6"/>
  <c r="M202" i="6"/>
  <c r="P202" i="6"/>
  <c r="J203" i="6"/>
  <c r="M203" i="6"/>
  <c r="C203" i="6"/>
  <c r="C202" i="6"/>
  <c r="C201" i="6"/>
  <c r="C200" i="6"/>
  <c r="C199" i="6"/>
  <c r="C198" i="6"/>
  <c r="L214" i="7" l="1"/>
  <c r="L214" i="9"/>
  <c r="L213" i="7"/>
  <c r="L209" i="6"/>
  <c r="L212" i="7"/>
  <c r="L215" i="7"/>
  <c r="O214" i="7"/>
  <c r="O215" i="7"/>
  <c r="O212" i="7"/>
  <c r="O213" i="7"/>
  <c r="L214" i="1"/>
  <c r="L215" i="9"/>
  <c r="O214" i="9"/>
  <c r="O215" i="9"/>
  <c r="L207" i="6"/>
  <c r="L208" i="6"/>
  <c r="L210" i="6"/>
  <c r="O207" i="6"/>
  <c r="O210" i="6"/>
  <c r="O209" i="6"/>
  <c r="O208" i="6"/>
  <c r="L215" i="1"/>
  <c r="O215" i="1"/>
  <c r="O214" i="1"/>
  <c r="I210" i="9"/>
  <c r="I211" i="9"/>
  <c r="I210" i="1"/>
  <c r="I211" i="1"/>
  <c r="L205" i="6"/>
  <c r="I203" i="6"/>
  <c r="I201" i="6"/>
  <c r="L206" i="6"/>
  <c r="I204" i="6"/>
  <c r="I206" i="6"/>
  <c r="O206" i="6"/>
  <c r="O205" i="6"/>
  <c r="I202" i="6"/>
  <c r="I205" i="6"/>
  <c r="I207" i="7"/>
  <c r="I210" i="7"/>
  <c r="L210" i="7"/>
  <c r="I208" i="7"/>
  <c r="I206" i="7"/>
  <c r="L211" i="7"/>
  <c r="I209" i="7"/>
  <c r="O211" i="7"/>
  <c r="I211" i="7"/>
  <c r="O210" i="7"/>
  <c r="J195" i="5"/>
  <c r="M195" i="5"/>
  <c r="P195" i="5"/>
  <c r="J196" i="5"/>
  <c r="M196" i="5"/>
  <c r="P196" i="5"/>
  <c r="J197" i="5"/>
  <c r="M197" i="5"/>
  <c r="P197" i="5"/>
  <c r="J198" i="5"/>
  <c r="M198" i="5"/>
  <c r="P198" i="5"/>
  <c r="C198" i="5"/>
  <c r="C197" i="5"/>
  <c r="C196" i="5"/>
  <c r="C195" i="5"/>
  <c r="J203" i="4"/>
  <c r="M203" i="4"/>
  <c r="P203" i="4"/>
  <c r="J204" i="4"/>
  <c r="M204" i="4"/>
  <c r="P204" i="4"/>
  <c r="J205" i="4"/>
  <c r="M205" i="4"/>
  <c r="P205" i="4"/>
  <c r="J206" i="4"/>
  <c r="M206" i="4"/>
  <c r="P206" i="4"/>
  <c r="C205" i="4"/>
  <c r="C204" i="4"/>
  <c r="C203" i="4"/>
  <c r="J203" i="1"/>
  <c r="M203" i="1"/>
  <c r="P203" i="1"/>
  <c r="J204" i="1"/>
  <c r="M204" i="1"/>
  <c r="P204" i="1"/>
  <c r="J205" i="1"/>
  <c r="M205" i="1"/>
  <c r="P205" i="1"/>
  <c r="J206" i="1"/>
  <c r="M206" i="1"/>
  <c r="P206" i="1"/>
  <c r="C206" i="1"/>
  <c r="C205" i="1"/>
  <c r="C204" i="1"/>
  <c r="C203" i="1"/>
  <c r="J203" i="9"/>
  <c r="M203" i="9"/>
  <c r="P203" i="9"/>
  <c r="J204" i="9"/>
  <c r="M204" i="9"/>
  <c r="P204" i="9"/>
  <c r="J205" i="9"/>
  <c r="M205" i="9"/>
  <c r="P205" i="9"/>
  <c r="J206" i="9"/>
  <c r="M206" i="9"/>
  <c r="P206" i="9"/>
  <c r="C203" i="9"/>
  <c r="C204" i="9"/>
  <c r="C206" i="9"/>
  <c r="L204" i="5" l="1"/>
  <c r="L205" i="5"/>
  <c r="O204" i="5"/>
  <c r="O205" i="5"/>
  <c r="L212" i="4"/>
  <c r="O212" i="4"/>
  <c r="L213" i="9"/>
  <c r="L212" i="9"/>
  <c r="O212" i="9"/>
  <c r="O213" i="9"/>
  <c r="L212" i="1"/>
  <c r="O212" i="1"/>
  <c r="O210" i="1"/>
  <c r="L213" i="1"/>
  <c r="O213" i="1"/>
  <c r="L202" i="5"/>
  <c r="I200" i="5"/>
  <c r="I198" i="5"/>
  <c r="L203" i="5"/>
  <c r="I199" i="5"/>
  <c r="I201" i="5"/>
  <c r="O203" i="5"/>
  <c r="O202" i="5"/>
  <c r="L210" i="9"/>
  <c r="O210" i="9"/>
  <c r="L211" i="9"/>
  <c r="I207" i="9"/>
  <c r="I209" i="9"/>
  <c r="I208" i="9"/>
  <c r="I206" i="9"/>
  <c r="O211" i="9"/>
  <c r="L211" i="4"/>
  <c r="I207" i="4"/>
  <c r="L210" i="4"/>
  <c r="I208" i="4"/>
  <c r="O211" i="4"/>
  <c r="O210" i="4"/>
  <c r="I206" i="4"/>
  <c r="L210" i="1"/>
  <c r="I208" i="1"/>
  <c r="I206" i="1"/>
  <c r="L211" i="1"/>
  <c r="I207" i="1"/>
  <c r="I209" i="1"/>
  <c r="O211" i="1"/>
  <c r="J194" i="9"/>
  <c r="M194" i="9"/>
  <c r="P194" i="9"/>
  <c r="J195" i="9"/>
  <c r="M195" i="9"/>
  <c r="P195" i="9"/>
  <c r="J196" i="9"/>
  <c r="M196" i="9"/>
  <c r="P196" i="9"/>
  <c r="J197" i="9"/>
  <c r="M197" i="9"/>
  <c r="P197" i="9"/>
  <c r="J198" i="9"/>
  <c r="M198" i="9"/>
  <c r="P198" i="9"/>
  <c r="J199" i="9"/>
  <c r="M199" i="9"/>
  <c r="P199" i="9"/>
  <c r="J200" i="9"/>
  <c r="M200" i="9"/>
  <c r="P200" i="9"/>
  <c r="J201" i="9"/>
  <c r="M201" i="9"/>
  <c r="P201" i="9"/>
  <c r="J202" i="9"/>
  <c r="M202" i="9"/>
  <c r="P202" i="9"/>
  <c r="C202" i="9"/>
  <c r="C201" i="9"/>
  <c r="C200" i="9"/>
  <c r="C199" i="9"/>
  <c r="C198" i="9"/>
  <c r="C197" i="9"/>
  <c r="C196" i="9"/>
  <c r="C195" i="9"/>
  <c r="C194" i="9"/>
  <c r="J194" i="7"/>
  <c r="M194" i="7"/>
  <c r="P194" i="7"/>
  <c r="J195" i="7"/>
  <c r="M195" i="7"/>
  <c r="P195" i="7"/>
  <c r="J196" i="7"/>
  <c r="M196" i="7"/>
  <c r="P196" i="7"/>
  <c r="J197" i="7"/>
  <c r="M197" i="7"/>
  <c r="P197" i="7"/>
  <c r="J198" i="7"/>
  <c r="M198" i="7"/>
  <c r="P198" i="7"/>
  <c r="J199" i="7"/>
  <c r="M199" i="7"/>
  <c r="P199" i="7"/>
  <c r="J200" i="7"/>
  <c r="M200" i="7"/>
  <c r="P200" i="7"/>
  <c r="J201" i="7"/>
  <c r="M201" i="7"/>
  <c r="P201" i="7"/>
  <c r="J202" i="7"/>
  <c r="M202" i="7"/>
  <c r="P202" i="7"/>
  <c r="C202" i="7"/>
  <c r="C201" i="7"/>
  <c r="C200" i="7"/>
  <c r="C199" i="7"/>
  <c r="C198" i="7"/>
  <c r="C197" i="7"/>
  <c r="C196" i="7"/>
  <c r="C195" i="7"/>
  <c r="C194" i="7"/>
  <c r="J189" i="6"/>
  <c r="M189" i="6"/>
  <c r="P189" i="6"/>
  <c r="J190" i="6"/>
  <c r="M190" i="6"/>
  <c r="P190" i="6"/>
  <c r="J191" i="6"/>
  <c r="M191" i="6"/>
  <c r="P191" i="6"/>
  <c r="J192" i="6"/>
  <c r="M192" i="6"/>
  <c r="P192" i="6"/>
  <c r="J193" i="6"/>
  <c r="M193" i="6"/>
  <c r="P193" i="6"/>
  <c r="J194" i="6"/>
  <c r="M194" i="6"/>
  <c r="P194" i="6"/>
  <c r="J195" i="6"/>
  <c r="M195" i="6"/>
  <c r="P195" i="6"/>
  <c r="J196" i="6"/>
  <c r="M196" i="6"/>
  <c r="P196" i="6"/>
  <c r="J197" i="6"/>
  <c r="M197" i="6"/>
  <c r="P197" i="6"/>
  <c r="C197" i="6"/>
  <c r="C196" i="6"/>
  <c r="C195" i="6"/>
  <c r="C194" i="6"/>
  <c r="C193" i="6"/>
  <c r="C192" i="6"/>
  <c r="C191" i="6"/>
  <c r="C190" i="6"/>
  <c r="C189" i="6"/>
  <c r="J186" i="5"/>
  <c r="M186" i="5"/>
  <c r="P186" i="5"/>
  <c r="J187" i="5"/>
  <c r="M187" i="5"/>
  <c r="P187" i="5"/>
  <c r="J188" i="5"/>
  <c r="M188" i="5"/>
  <c r="P188" i="5"/>
  <c r="J189" i="5"/>
  <c r="M189" i="5"/>
  <c r="P189" i="5"/>
  <c r="J190" i="5"/>
  <c r="M190" i="5"/>
  <c r="P190" i="5"/>
  <c r="J191" i="5"/>
  <c r="M191" i="5"/>
  <c r="P191" i="5"/>
  <c r="J192" i="5"/>
  <c r="M192" i="5"/>
  <c r="P192" i="5"/>
  <c r="J193" i="5"/>
  <c r="M193" i="5"/>
  <c r="P193" i="5"/>
  <c r="J194" i="5"/>
  <c r="M194" i="5"/>
  <c r="P194" i="5"/>
  <c r="C194" i="5"/>
  <c r="C193" i="5"/>
  <c r="C192" i="5"/>
  <c r="C191" i="5"/>
  <c r="C190" i="5"/>
  <c r="C189" i="5"/>
  <c r="C188" i="5"/>
  <c r="C187" i="5"/>
  <c r="C186" i="5"/>
  <c r="J193" i="4"/>
  <c r="M193" i="4"/>
  <c r="P193" i="4"/>
  <c r="J194" i="4"/>
  <c r="M194" i="4"/>
  <c r="P194" i="4"/>
  <c r="J195" i="4"/>
  <c r="M195" i="4"/>
  <c r="P195" i="4"/>
  <c r="J196" i="4"/>
  <c r="M196" i="4"/>
  <c r="P196" i="4"/>
  <c r="J197" i="4"/>
  <c r="M197" i="4"/>
  <c r="P197" i="4"/>
  <c r="J198" i="4"/>
  <c r="M198" i="4"/>
  <c r="P198" i="4"/>
  <c r="J199" i="4"/>
  <c r="M199" i="4"/>
  <c r="P199" i="4"/>
  <c r="J200" i="4"/>
  <c r="M200" i="4"/>
  <c r="P200" i="4"/>
  <c r="J201" i="4"/>
  <c r="M201" i="4"/>
  <c r="P201" i="4"/>
  <c r="J202" i="4"/>
  <c r="M202" i="4"/>
  <c r="P202" i="4"/>
  <c r="C202" i="4"/>
  <c r="C201" i="4"/>
  <c r="C200" i="4"/>
  <c r="C199" i="4"/>
  <c r="C198" i="4"/>
  <c r="C197" i="4"/>
  <c r="C196" i="4"/>
  <c r="C195" i="4"/>
  <c r="C194" i="4"/>
  <c r="C193" i="4"/>
  <c r="I200" i="9" l="1"/>
  <c r="I202" i="9"/>
  <c r="O208" i="9"/>
  <c r="I198" i="9"/>
  <c r="L194" i="5"/>
  <c r="O198" i="5"/>
  <c r="O201" i="7"/>
  <c r="O201" i="9"/>
  <c r="O203" i="9"/>
  <c r="O202" i="9"/>
  <c r="I199" i="7"/>
  <c r="L201" i="9"/>
  <c r="O193" i="5"/>
  <c r="I189" i="5"/>
  <c r="L196" i="5"/>
  <c r="L198" i="5"/>
  <c r="L200" i="5"/>
  <c r="I196" i="5"/>
  <c r="O195" i="5"/>
  <c r="L195" i="5"/>
  <c r="I193" i="5"/>
  <c r="I191" i="5"/>
  <c r="O201" i="5"/>
  <c r="O194" i="5"/>
  <c r="I194" i="5"/>
  <c r="L193" i="5"/>
  <c r="I192" i="5"/>
  <c r="I190" i="5"/>
  <c r="O197" i="5"/>
  <c r="O200" i="5"/>
  <c r="L197" i="5"/>
  <c r="L199" i="5"/>
  <c r="I195" i="5"/>
  <c r="L201" i="5"/>
  <c r="I197" i="5"/>
  <c r="O199" i="5"/>
  <c r="O196" i="5"/>
  <c r="L205" i="9"/>
  <c r="O206" i="9"/>
  <c r="L203" i="9"/>
  <c r="L207" i="9"/>
  <c r="I203" i="9"/>
  <c r="L209" i="9"/>
  <c r="I205" i="9"/>
  <c r="L202" i="9"/>
  <c r="I201" i="9"/>
  <c r="I199" i="9"/>
  <c r="I197" i="9"/>
  <c r="O207" i="9"/>
  <c r="O209" i="9"/>
  <c r="L204" i="9"/>
  <c r="L206" i="9"/>
  <c r="L208" i="9"/>
  <c r="I204" i="9"/>
  <c r="O204" i="9"/>
  <c r="O205" i="9"/>
  <c r="O201" i="4"/>
  <c r="O204" i="4"/>
  <c r="O203" i="4"/>
  <c r="L203" i="4"/>
  <c r="L205" i="4"/>
  <c r="L207" i="4"/>
  <c r="I203" i="4"/>
  <c r="L209" i="4"/>
  <c r="I205" i="4"/>
  <c r="I201" i="4"/>
  <c r="L200" i="4"/>
  <c r="I199" i="4"/>
  <c r="I197" i="4"/>
  <c r="L202" i="4"/>
  <c r="O206" i="4"/>
  <c r="O209" i="4"/>
  <c r="L204" i="4"/>
  <c r="L206" i="4"/>
  <c r="L208" i="4"/>
  <c r="I204" i="4"/>
  <c r="I202" i="4"/>
  <c r="L201" i="4"/>
  <c r="O200" i="4"/>
  <c r="I200" i="4"/>
  <c r="I198" i="4"/>
  <c r="I196" i="4"/>
  <c r="O207" i="4"/>
  <c r="O208" i="4"/>
  <c r="O205" i="4"/>
  <c r="O202" i="4"/>
  <c r="L198" i="6"/>
  <c r="L202" i="6"/>
  <c r="I198" i="6"/>
  <c r="O196" i="6"/>
  <c r="I194" i="6"/>
  <c r="L201" i="6"/>
  <c r="L200" i="6"/>
  <c r="L204" i="6"/>
  <c r="I200" i="6"/>
  <c r="O202" i="6"/>
  <c r="O204" i="6"/>
  <c r="O200" i="6"/>
  <c r="O203" i="6"/>
  <c r="O198" i="6"/>
  <c r="O199" i="6"/>
  <c r="O201" i="6"/>
  <c r="L197" i="6"/>
  <c r="I196" i="6"/>
  <c r="I192" i="6"/>
  <c r="L199" i="6"/>
  <c r="L203" i="6"/>
  <c r="I199" i="6"/>
  <c r="O197" i="6"/>
  <c r="I197" i="6"/>
  <c r="L196" i="6"/>
  <c r="I195" i="6"/>
  <c r="I193" i="6"/>
  <c r="L205" i="7"/>
  <c r="L202" i="7"/>
  <c r="I201" i="7"/>
  <c r="I197" i="7"/>
  <c r="L203" i="7"/>
  <c r="L207" i="7"/>
  <c r="I203" i="7"/>
  <c r="L204" i="7"/>
  <c r="L206" i="7"/>
  <c r="I204" i="7"/>
  <c r="L208" i="7"/>
  <c r="L209" i="7"/>
  <c r="O203" i="7"/>
  <c r="I205" i="7"/>
  <c r="O208" i="7"/>
  <c r="O205" i="7"/>
  <c r="O209" i="7"/>
  <c r="O204" i="7"/>
  <c r="O207" i="7"/>
  <c r="O206" i="7"/>
  <c r="O202" i="7"/>
  <c r="I202" i="7"/>
  <c r="L201" i="7"/>
  <c r="I200" i="7"/>
  <c r="I198" i="7"/>
  <c r="J201" i="1"/>
  <c r="M201" i="1"/>
  <c r="P201" i="1"/>
  <c r="J202" i="1"/>
  <c r="M202" i="1"/>
  <c r="P202" i="1"/>
  <c r="C202" i="1"/>
  <c r="C201" i="1"/>
  <c r="J198" i="1"/>
  <c r="M198" i="1"/>
  <c r="P198" i="1"/>
  <c r="J199" i="1"/>
  <c r="M199" i="1"/>
  <c r="P199" i="1"/>
  <c r="J200" i="1"/>
  <c r="M200" i="1"/>
  <c r="P200" i="1"/>
  <c r="C198" i="1"/>
  <c r="J194" i="1"/>
  <c r="M194" i="1"/>
  <c r="P194" i="1"/>
  <c r="J195" i="1"/>
  <c r="M195" i="1"/>
  <c r="P195" i="1"/>
  <c r="J196" i="1"/>
  <c r="M196" i="1"/>
  <c r="P196" i="1"/>
  <c r="J197" i="1"/>
  <c r="M197" i="1"/>
  <c r="P197" i="1"/>
  <c r="C197" i="1"/>
  <c r="C196" i="1"/>
  <c r="C195" i="1"/>
  <c r="C194" i="1"/>
  <c r="I201" i="1" l="1"/>
  <c r="I200" i="1"/>
  <c r="L202" i="1"/>
  <c r="I197" i="1"/>
  <c r="O201" i="1"/>
  <c r="L209" i="1"/>
  <c r="O209" i="1"/>
  <c r="I205" i="1"/>
  <c r="O203" i="1"/>
  <c r="O205" i="1"/>
  <c r="O204" i="1"/>
  <c r="O207" i="1"/>
  <c r="O208" i="1"/>
  <c r="O206" i="1"/>
  <c r="I198" i="1"/>
  <c r="L203" i="1"/>
  <c r="L205" i="1"/>
  <c r="L204" i="1"/>
  <c r="L208" i="1"/>
  <c r="L207" i="1"/>
  <c r="I204" i="1"/>
  <c r="I203" i="1"/>
  <c r="L206" i="1"/>
  <c r="I199" i="1"/>
  <c r="O202" i="1"/>
  <c r="I202" i="1"/>
  <c r="L201" i="1"/>
  <c r="J191" i="9"/>
  <c r="M191" i="9"/>
  <c r="P191" i="9"/>
  <c r="J192" i="9"/>
  <c r="M192" i="9"/>
  <c r="P192" i="9"/>
  <c r="J193" i="9"/>
  <c r="M193" i="9"/>
  <c r="P193" i="9"/>
  <c r="C193" i="9"/>
  <c r="C192" i="9"/>
  <c r="C191" i="9"/>
  <c r="J191" i="7"/>
  <c r="M191" i="7"/>
  <c r="P191" i="7"/>
  <c r="J192" i="7"/>
  <c r="M192" i="7"/>
  <c r="P192" i="7"/>
  <c r="J193" i="7"/>
  <c r="M193" i="7"/>
  <c r="P193" i="7"/>
  <c r="C193" i="7"/>
  <c r="C192" i="7"/>
  <c r="C191" i="7"/>
  <c r="J185" i="6"/>
  <c r="M185" i="6"/>
  <c r="P185" i="6"/>
  <c r="J186" i="6"/>
  <c r="M186" i="6"/>
  <c r="P186" i="6"/>
  <c r="J187" i="6"/>
  <c r="M187" i="6"/>
  <c r="P187" i="6"/>
  <c r="J188" i="6"/>
  <c r="M188" i="6"/>
  <c r="P188" i="6"/>
  <c r="C188" i="6"/>
  <c r="C187" i="6"/>
  <c r="C186" i="6"/>
  <c r="J191" i="4"/>
  <c r="M191" i="4"/>
  <c r="P191" i="4"/>
  <c r="J192" i="4"/>
  <c r="M192" i="4"/>
  <c r="P192" i="4"/>
  <c r="C192" i="4"/>
  <c r="C191" i="4"/>
  <c r="J191" i="1"/>
  <c r="M191" i="1"/>
  <c r="P191" i="1"/>
  <c r="J192" i="1"/>
  <c r="M192" i="1"/>
  <c r="P192" i="1"/>
  <c r="J193" i="1"/>
  <c r="M193" i="1"/>
  <c r="P193" i="1"/>
  <c r="C193" i="1"/>
  <c r="C192" i="1"/>
  <c r="C191" i="1"/>
  <c r="J183" i="5"/>
  <c r="M183" i="5"/>
  <c r="P183" i="5"/>
  <c r="J184" i="5"/>
  <c r="M184" i="5"/>
  <c r="P184" i="5"/>
  <c r="J185" i="5"/>
  <c r="M185" i="5"/>
  <c r="P185" i="5"/>
  <c r="C185" i="5"/>
  <c r="C184" i="5"/>
  <c r="O200" i="1" l="1"/>
  <c r="L192" i="6"/>
  <c r="I186" i="5"/>
  <c r="L191" i="5"/>
  <c r="I187" i="5"/>
  <c r="L190" i="5"/>
  <c r="I188" i="5"/>
  <c r="L192" i="5"/>
  <c r="O190" i="5"/>
  <c r="O192" i="5"/>
  <c r="O191" i="5"/>
  <c r="L198" i="9"/>
  <c r="I194" i="9"/>
  <c r="L197" i="9"/>
  <c r="I196" i="9"/>
  <c r="O200" i="9"/>
  <c r="L200" i="9"/>
  <c r="O198" i="9"/>
  <c r="O197" i="9"/>
  <c r="O199" i="9"/>
  <c r="I195" i="9"/>
  <c r="L199" i="9"/>
  <c r="I193" i="9"/>
  <c r="L199" i="4"/>
  <c r="I195" i="4"/>
  <c r="O198" i="4"/>
  <c r="O199" i="4"/>
  <c r="I194" i="4"/>
  <c r="L198" i="4"/>
  <c r="L200" i="1"/>
  <c r="I196" i="1"/>
  <c r="L199" i="1"/>
  <c r="I195" i="1"/>
  <c r="L198" i="1"/>
  <c r="I194" i="1"/>
  <c r="O199" i="1"/>
  <c r="O198" i="1"/>
  <c r="L194" i="6"/>
  <c r="I190" i="6"/>
  <c r="I188" i="6"/>
  <c r="I189" i="6"/>
  <c r="L193" i="6"/>
  <c r="I191" i="6"/>
  <c r="L195" i="6"/>
  <c r="O192" i="6"/>
  <c r="O195" i="6"/>
  <c r="O193" i="6"/>
  <c r="O194" i="6"/>
  <c r="L199" i="7"/>
  <c r="I195" i="7"/>
  <c r="I194" i="7"/>
  <c r="L198" i="7"/>
  <c r="I196" i="7"/>
  <c r="L200" i="7"/>
  <c r="O199" i="7"/>
  <c r="O200" i="7"/>
  <c r="O198" i="7"/>
  <c r="J190" i="9"/>
  <c r="M190" i="9"/>
  <c r="P190" i="9"/>
  <c r="J187" i="9"/>
  <c r="M187" i="9"/>
  <c r="P187" i="9"/>
  <c r="J188" i="9"/>
  <c r="M188" i="9"/>
  <c r="P188" i="9"/>
  <c r="J189" i="9"/>
  <c r="M189" i="9"/>
  <c r="P189" i="9"/>
  <c r="C189" i="9"/>
  <c r="C188" i="9"/>
  <c r="C187" i="9"/>
  <c r="J187" i="7"/>
  <c r="M187" i="7"/>
  <c r="P187" i="7"/>
  <c r="J188" i="7"/>
  <c r="M188" i="7"/>
  <c r="P188" i="7"/>
  <c r="J189" i="7"/>
  <c r="M189" i="7"/>
  <c r="P189" i="7"/>
  <c r="J190" i="7"/>
  <c r="M190" i="7"/>
  <c r="P190" i="7"/>
  <c r="C190" i="7"/>
  <c r="C189" i="7"/>
  <c r="C188" i="7"/>
  <c r="C187" i="7"/>
  <c r="J182" i="6"/>
  <c r="M182" i="6"/>
  <c r="P182" i="6"/>
  <c r="J183" i="6"/>
  <c r="M183" i="6"/>
  <c r="P183" i="6"/>
  <c r="J184" i="6"/>
  <c r="M184" i="6"/>
  <c r="P184" i="6"/>
  <c r="C184" i="6"/>
  <c r="O191" i="6" s="1"/>
  <c r="C183" i="6"/>
  <c r="C182" i="6"/>
  <c r="J179" i="5"/>
  <c r="M179" i="5"/>
  <c r="P179" i="5"/>
  <c r="J180" i="5"/>
  <c r="M180" i="5"/>
  <c r="P180" i="5"/>
  <c r="J181" i="5"/>
  <c r="M181" i="5"/>
  <c r="P181" i="5"/>
  <c r="J182" i="5"/>
  <c r="M182" i="5"/>
  <c r="P182" i="5"/>
  <c r="C182" i="5"/>
  <c r="C181" i="5"/>
  <c r="C180" i="5"/>
  <c r="C179" i="5"/>
  <c r="J190" i="4"/>
  <c r="M190" i="4"/>
  <c r="P190" i="4"/>
  <c r="C190" i="4"/>
  <c r="O197" i="4" s="1"/>
  <c r="J189" i="4"/>
  <c r="M189" i="4"/>
  <c r="P189" i="4"/>
  <c r="C189" i="4"/>
  <c r="J187" i="4"/>
  <c r="M187" i="4"/>
  <c r="P187" i="4"/>
  <c r="J188" i="4"/>
  <c r="M188" i="4"/>
  <c r="P188" i="4"/>
  <c r="C188" i="4"/>
  <c r="C187" i="4"/>
  <c r="O194" i="9" l="1"/>
  <c r="O195" i="7"/>
  <c r="O196" i="9"/>
  <c r="O187" i="5"/>
  <c r="I190" i="7"/>
  <c r="L188" i="5"/>
  <c r="I184" i="5"/>
  <c r="O189" i="5"/>
  <c r="O186" i="5"/>
  <c r="L186" i="5"/>
  <c r="I182" i="5"/>
  <c r="L187" i="5"/>
  <c r="I183" i="5"/>
  <c r="L189" i="5"/>
  <c r="I185" i="5"/>
  <c r="O188" i="5"/>
  <c r="L195" i="9"/>
  <c r="I191" i="9"/>
  <c r="O195" i="9"/>
  <c r="I190" i="9"/>
  <c r="L194" i="9"/>
  <c r="L196" i="9"/>
  <c r="I192" i="9"/>
  <c r="L195" i="4"/>
  <c r="I191" i="4"/>
  <c r="O195" i="4"/>
  <c r="I190" i="4"/>
  <c r="L194" i="4"/>
  <c r="L196" i="4"/>
  <c r="I192" i="4"/>
  <c r="L197" i="4"/>
  <c r="I193" i="4"/>
  <c r="O196" i="4"/>
  <c r="O194" i="4"/>
  <c r="O189" i="6"/>
  <c r="O190" i="6"/>
  <c r="L190" i="6"/>
  <c r="I186" i="6"/>
  <c r="L189" i="6"/>
  <c r="I185" i="6"/>
  <c r="L191" i="6"/>
  <c r="I187" i="6"/>
  <c r="O194" i="7"/>
  <c r="L194" i="7"/>
  <c r="L196" i="7"/>
  <c r="I192" i="7"/>
  <c r="L195" i="7"/>
  <c r="I191" i="7"/>
  <c r="L197" i="7"/>
  <c r="I193" i="7"/>
  <c r="O197" i="7"/>
  <c r="O196" i="7"/>
  <c r="J189" i="1"/>
  <c r="M189" i="1"/>
  <c r="P189" i="1"/>
  <c r="J190" i="1"/>
  <c r="M190" i="1"/>
  <c r="P190" i="1"/>
  <c r="C190" i="1"/>
  <c r="J187" i="1"/>
  <c r="M187" i="1"/>
  <c r="P187" i="1"/>
  <c r="J188" i="1"/>
  <c r="M188" i="1"/>
  <c r="P188" i="1"/>
  <c r="C188" i="1"/>
  <c r="C187" i="1"/>
  <c r="L195" i="1" l="1"/>
  <c r="I191" i="1"/>
  <c r="L194" i="1"/>
  <c r="L197" i="1"/>
  <c r="L196" i="1"/>
  <c r="I192" i="1"/>
  <c r="I193" i="1"/>
  <c r="O195" i="1"/>
  <c r="O196" i="1"/>
  <c r="O197" i="1"/>
  <c r="O194" i="1"/>
  <c r="I190" i="1"/>
  <c r="J186" i="9"/>
  <c r="M186" i="9"/>
  <c r="P186" i="9"/>
  <c r="C186" i="9"/>
  <c r="J186" i="7"/>
  <c r="M186" i="7"/>
  <c r="P186" i="7"/>
  <c r="C186" i="7"/>
  <c r="J181" i="6"/>
  <c r="M181" i="6"/>
  <c r="P181" i="6"/>
  <c r="C181" i="6"/>
  <c r="J178" i="5"/>
  <c r="M178" i="5"/>
  <c r="P178" i="5"/>
  <c r="C178" i="5"/>
  <c r="J186" i="4"/>
  <c r="M186" i="4"/>
  <c r="P186" i="4"/>
  <c r="C186" i="4"/>
  <c r="J186" i="1"/>
  <c r="M186" i="1"/>
  <c r="P186" i="1"/>
  <c r="C186" i="1"/>
  <c r="O193" i="1" l="1"/>
  <c r="L185" i="5"/>
  <c r="I181" i="5"/>
  <c r="O185" i="5"/>
  <c r="L193" i="9"/>
  <c r="I189" i="9"/>
  <c r="O193" i="9"/>
  <c r="L193" i="4"/>
  <c r="I189" i="4"/>
  <c r="O193" i="4"/>
  <c r="L193" i="1"/>
  <c r="I189" i="1"/>
  <c r="L188" i="6"/>
  <c r="I184" i="6"/>
  <c r="O188" i="6"/>
  <c r="L192" i="7"/>
  <c r="L193" i="7"/>
  <c r="I189" i="7"/>
  <c r="I188" i="7"/>
  <c r="O192" i="7"/>
  <c r="O193" i="7"/>
  <c r="J183" i="9"/>
  <c r="M183" i="9"/>
  <c r="P183" i="9"/>
  <c r="J184" i="9"/>
  <c r="M184" i="9"/>
  <c r="P184" i="9"/>
  <c r="J185" i="9"/>
  <c r="M185" i="9"/>
  <c r="P185" i="9"/>
  <c r="C185" i="9"/>
  <c r="J183" i="7"/>
  <c r="M183" i="7"/>
  <c r="P183" i="7"/>
  <c r="J184" i="7"/>
  <c r="M184" i="7"/>
  <c r="P184" i="7"/>
  <c r="J185" i="7"/>
  <c r="M185" i="7"/>
  <c r="P185" i="7"/>
  <c r="J178" i="6"/>
  <c r="M178" i="6"/>
  <c r="P178" i="6"/>
  <c r="J179" i="6"/>
  <c r="M179" i="6"/>
  <c r="P179" i="6"/>
  <c r="J180" i="6"/>
  <c r="M180" i="6"/>
  <c r="P180" i="6"/>
  <c r="C180" i="6"/>
  <c r="J175" i="5"/>
  <c r="M175" i="5"/>
  <c r="P175" i="5"/>
  <c r="J176" i="5"/>
  <c r="M176" i="5"/>
  <c r="P176" i="5"/>
  <c r="J177" i="5"/>
  <c r="M177" i="5"/>
  <c r="P177" i="5"/>
  <c r="C177" i="5"/>
  <c r="O184" i="5" s="1"/>
  <c r="J183" i="4"/>
  <c r="M183" i="4"/>
  <c r="P183" i="4"/>
  <c r="J184" i="4"/>
  <c r="M184" i="4"/>
  <c r="P184" i="4"/>
  <c r="J185" i="4"/>
  <c r="M185" i="4"/>
  <c r="P185" i="4"/>
  <c r="C185" i="4"/>
  <c r="J183" i="1"/>
  <c r="M183" i="1"/>
  <c r="P183" i="1"/>
  <c r="J184" i="1"/>
  <c r="M184" i="1"/>
  <c r="P184" i="1"/>
  <c r="J185" i="1"/>
  <c r="M185" i="1"/>
  <c r="P185" i="1"/>
  <c r="C185" i="1"/>
  <c r="L184" i="5" l="1"/>
  <c r="I180" i="5"/>
  <c r="O192" i="9"/>
  <c r="L192" i="9"/>
  <c r="I188" i="9"/>
  <c r="L191" i="4"/>
  <c r="L192" i="4"/>
  <c r="I188" i="4"/>
  <c r="I187" i="4"/>
  <c r="O192" i="4"/>
  <c r="O191" i="4"/>
  <c r="O192" i="1"/>
  <c r="L192" i="1"/>
  <c r="I188" i="1"/>
  <c r="L187" i="6"/>
  <c r="I183" i="6"/>
  <c r="O187" i="6"/>
  <c r="C184" i="9"/>
  <c r="C183" i="9"/>
  <c r="C184" i="7"/>
  <c r="C183" i="7"/>
  <c r="C179" i="6"/>
  <c r="O186" i="6" s="1"/>
  <c r="C178" i="6"/>
  <c r="C176" i="5"/>
  <c r="O183" i="5" s="1"/>
  <c r="C175" i="5"/>
  <c r="C183" i="4"/>
  <c r="C184" i="1"/>
  <c r="C183" i="1"/>
  <c r="O182" i="5" l="1"/>
  <c r="O185" i="6"/>
  <c r="L183" i="5"/>
  <c r="I179" i="5"/>
  <c r="L182" i="5"/>
  <c r="I178" i="5"/>
  <c r="L191" i="9"/>
  <c r="I187" i="9"/>
  <c r="O191" i="9"/>
  <c r="O190" i="9"/>
  <c r="L190" i="9"/>
  <c r="I186" i="9"/>
  <c r="L190" i="4"/>
  <c r="L189" i="4"/>
  <c r="L187" i="4"/>
  <c r="L188" i="4"/>
  <c r="I186" i="4"/>
  <c r="I184" i="4"/>
  <c r="I185" i="4"/>
  <c r="O188" i="4"/>
  <c r="I183" i="4"/>
  <c r="O189" i="4"/>
  <c r="O187" i="4"/>
  <c r="O190" i="4"/>
  <c r="L190" i="1"/>
  <c r="I186" i="1"/>
  <c r="O190" i="1"/>
  <c r="O191" i="1"/>
  <c r="L191" i="1"/>
  <c r="I187" i="1"/>
  <c r="L185" i="6"/>
  <c r="I181" i="6"/>
  <c r="L186" i="6"/>
  <c r="I182" i="6"/>
  <c r="L191" i="7"/>
  <c r="I187" i="7"/>
  <c r="O191" i="7"/>
  <c r="O190" i="7"/>
  <c r="L190" i="7"/>
  <c r="I186" i="7"/>
  <c r="J182" i="4"/>
  <c r="M182" i="4"/>
  <c r="P182" i="4"/>
  <c r="J181" i="4"/>
  <c r="M181" i="4"/>
  <c r="P181" i="4"/>
  <c r="J181" i="1" l="1"/>
  <c r="M181" i="1"/>
  <c r="P181" i="1"/>
  <c r="J182" i="1"/>
  <c r="M182" i="1"/>
  <c r="P182" i="1"/>
  <c r="C182" i="1"/>
  <c r="C181" i="1"/>
  <c r="J173" i="5"/>
  <c r="M173" i="5"/>
  <c r="P173" i="5"/>
  <c r="J174" i="5"/>
  <c r="M174" i="5"/>
  <c r="P174" i="5"/>
  <c r="C174" i="5"/>
  <c r="C173" i="5"/>
  <c r="J181" i="9"/>
  <c r="M181" i="9"/>
  <c r="P181" i="9"/>
  <c r="J182" i="9"/>
  <c r="M182" i="9"/>
  <c r="P182" i="9"/>
  <c r="C182" i="9"/>
  <c r="C181" i="9"/>
  <c r="J181" i="7"/>
  <c r="M181" i="7"/>
  <c r="P181" i="7"/>
  <c r="J182" i="7"/>
  <c r="M182" i="7"/>
  <c r="P182" i="7"/>
  <c r="C182" i="7"/>
  <c r="C181" i="7"/>
  <c r="J176" i="6"/>
  <c r="M176" i="6"/>
  <c r="P176" i="6"/>
  <c r="J177" i="6"/>
  <c r="M177" i="6"/>
  <c r="P177" i="6"/>
  <c r="C177" i="6"/>
  <c r="C176" i="6"/>
  <c r="L180" i="5" l="1"/>
  <c r="I176" i="5"/>
  <c r="L181" i="5"/>
  <c r="I177" i="5"/>
  <c r="O180" i="5"/>
  <c r="O181" i="5"/>
  <c r="L188" i="9"/>
  <c r="I184" i="9"/>
  <c r="L189" i="9"/>
  <c r="I185" i="9"/>
  <c r="O189" i="9"/>
  <c r="O188" i="9"/>
  <c r="L187" i="1"/>
  <c r="L188" i="1"/>
  <c r="I183" i="1"/>
  <c r="I184" i="1"/>
  <c r="L189" i="1"/>
  <c r="I185" i="1"/>
  <c r="O188" i="1"/>
  <c r="O187" i="1"/>
  <c r="O189" i="1"/>
  <c r="L182" i="6"/>
  <c r="L183" i="6"/>
  <c r="I178" i="6"/>
  <c r="I179" i="6"/>
  <c r="L184" i="6"/>
  <c r="I180" i="6"/>
  <c r="O182" i="6"/>
  <c r="O183" i="6"/>
  <c r="O184" i="6"/>
  <c r="L189" i="7"/>
  <c r="I185" i="7"/>
  <c r="O189" i="7"/>
  <c r="O188" i="7"/>
  <c r="L188" i="7"/>
  <c r="I184" i="7"/>
  <c r="J178" i="4" l="1"/>
  <c r="M178" i="4"/>
  <c r="P178" i="4"/>
  <c r="J179" i="4"/>
  <c r="M179" i="4"/>
  <c r="P179" i="4"/>
  <c r="J180" i="4"/>
  <c r="M180" i="4"/>
  <c r="P180" i="4"/>
  <c r="J170" i="5"/>
  <c r="M170" i="5"/>
  <c r="P170" i="5"/>
  <c r="J171" i="5"/>
  <c r="M171" i="5"/>
  <c r="P171" i="5"/>
  <c r="J172" i="5"/>
  <c r="M172" i="5"/>
  <c r="P172" i="5"/>
  <c r="J173" i="6"/>
  <c r="M173" i="6"/>
  <c r="P173" i="6"/>
  <c r="J174" i="6"/>
  <c r="M174" i="6"/>
  <c r="P174" i="6"/>
  <c r="J175" i="6"/>
  <c r="M175" i="6"/>
  <c r="P175" i="6"/>
  <c r="J178" i="7"/>
  <c r="M178" i="7"/>
  <c r="P178" i="7"/>
  <c r="J179" i="7"/>
  <c r="M179" i="7"/>
  <c r="P179" i="7"/>
  <c r="J180" i="7"/>
  <c r="M180" i="7"/>
  <c r="P180" i="7"/>
  <c r="J178" i="9"/>
  <c r="M178" i="9"/>
  <c r="P178" i="9"/>
  <c r="J179" i="9"/>
  <c r="M179" i="9"/>
  <c r="P179" i="9"/>
  <c r="J180" i="9"/>
  <c r="M180" i="9"/>
  <c r="P180" i="9"/>
  <c r="C180" i="9"/>
  <c r="C179" i="9"/>
  <c r="C178" i="9"/>
  <c r="C180" i="7"/>
  <c r="C179" i="7"/>
  <c r="C178" i="7"/>
  <c r="C174" i="6"/>
  <c r="C173" i="6"/>
  <c r="C172" i="5"/>
  <c r="C171" i="5"/>
  <c r="C170" i="5"/>
  <c r="C179" i="4"/>
  <c r="J178" i="1"/>
  <c r="M178" i="1"/>
  <c r="P178" i="1"/>
  <c r="J179" i="1"/>
  <c r="M179" i="1"/>
  <c r="P179" i="1"/>
  <c r="J180" i="1"/>
  <c r="M180" i="1"/>
  <c r="P180" i="1"/>
  <c r="L178" i="5" l="1"/>
  <c r="I174" i="5"/>
  <c r="L177" i="5"/>
  <c r="I173" i="5"/>
  <c r="L179" i="5"/>
  <c r="I175" i="5"/>
  <c r="O178" i="5"/>
  <c r="O177" i="5"/>
  <c r="O179" i="5"/>
  <c r="L185" i="9"/>
  <c r="I181" i="9"/>
  <c r="L187" i="9"/>
  <c r="I183" i="9"/>
  <c r="O186" i="9"/>
  <c r="O187" i="9"/>
  <c r="O185" i="9"/>
  <c r="L186" i="9"/>
  <c r="I182" i="9"/>
  <c r="L186" i="4"/>
  <c r="L185" i="4"/>
  <c r="I181" i="4"/>
  <c r="O186" i="4"/>
  <c r="O185" i="4"/>
  <c r="I182" i="4"/>
  <c r="I175" i="6"/>
  <c r="L180" i="6"/>
  <c r="L179" i="6"/>
  <c r="I176" i="6"/>
  <c r="L181" i="6"/>
  <c r="I177" i="6"/>
  <c r="O179" i="6"/>
  <c r="O180" i="6"/>
  <c r="O181" i="6"/>
  <c r="L185" i="7"/>
  <c r="I181" i="7"/>
  <c r="L187" i="7"/>
  <c r="I183" i="7"/>
  <c r="O187" i="7"/>
  <c r="O186" i="7"/>
  <c r="O185" i="7"/>
  <c r="L186" i="7"/>
  <c r="I182" i="7"/>
  <c r="C179" i="1"/>
  <c r="C178" i="1"/>
  <c r="L185" i="1" l="1"/>
  <c r="I181" i="1"/>
  <c r="L186" i="1"/>
  <c r="I182" i="1"/>
  <c r="O186" i="1"/>
  <c r="O185" i="1"/>
  <c r="I6" i="5" l="1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J133" i="5"/>
  <c r="J134" i="5"/>
  <c r="J135" i="5"/>
  <c r="J136" i="5"/>
  <c r="I137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I6" i="6"/>
  <c r="I7" i="6"/>
  <c r="I8" i="6"/>
  <c r="I9" i="6"/>
  <c r="I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J33" i="6"/>
  <c r="I34" i="6"/>
  <c r="J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7" i="6"/>
  <c r="I68" i="6"/>
  <c r="I69" i="6"/>
  <c r="I70" i="6"/>
  <c r="I71" i="6"/>
  <c r="J71" i="6"/>
  <c r="I72" i="6"/>
  <c r="J72" i="6"/>
  <c r="I73" i="6"/>
  <c r="J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J110" i="6"/>
  <c r="I111" i="6"/>
  <c r="J111" i="6"/>
  <c r="I112" i="6"/>
  <c r="J112" i="6"/>
  <c r="I113" i="6"/>
  <c r="J113" i="6"/>
  <c r="I114" i="6"/>
  <c r="J114" i="6"/>
  <c r="I115" i="6"/>
  <c r="J115" i="6"/>
  <c r="I116" i="6"/>
  <c r="J116" i="6"/>
  <c r="I117" i="6"/>
  <c r="J117" i="6"/>
  <c r="I118" i="6"/>
  <c r="J118" i="6"/>
  <c r="I119" i="6"/>
  <c r="J119" i="6"/>
  <c r="I120" i="6"/>
  <c r="J120" i="6"/>
  <c r="I121" i="6"/>
  <c r="J121" i="6"/>
  <c r="I122" i="6"/>
  <c r="J122" i="6"/>
  <c r="I123" i="6"/>
  <c r="J123" i="6"/>
  <c r="I124" i="6"/>
  <c r="J124" i="6"/>
  <c r="I125" i="6"/>
  <c r="J125" i="6"/>
  <c r="I126" i="6"/>
  <c r="J126" i="6"/>
  <c r="I127" i="6"/>
  <c r="J127" i="6"/>
  <c r="I128" i="6"/>
  <c r="J128" i="6"/>
  <c r="I129" i="6"/>
  <c r="J129" i="6"/>
  <c r="I130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I153" i="6"/>
  <c r="J153" i="6"/>
  <c r="I154" i="6"/>
  <c r="J154" i="6"/>
  <c r="I155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7" i="9"/>
  <c r="J27" i="9"/>
  <c r="I28" i="9"/>
  <c r="J28" i="9"/>
  <c r="I29" i="9"/>
  <c r="J29" i="9"/>
  <c r="I30" i="9"/>
  <c r="J30" i="9"/>
  <c r="I31" i="9"/>
  <c r="J31" i="9"/>
  <c r="I32" i="9"/>
  <c r="J32" i="9"/>
  <c r="I33" i="9"/>
  <c r="J33" i="9"/>
  <c r="I34" i="9"/>
  <c r="J34" i="9"/>
  <c r="I35" i="9"/>
  <c r="J35" i="9"/>
  <c r="I36" i="9"/>
  <c r="J36" i="9"/>
  <c r="I37" i="9"/>
  <c r="J37" i="9"/>
  <c r="I38" i="9"/>
  <c r="J38" i="9"/>
  <c r="I39" i="9"/>
  <c r="J39" i="9"/>
  <c r="I40" i="9"/>
  <c r="J40" i="9"/>
  <c r="I41" i="9"/>
  <c r="J41" i="9"/>
  <c r="I42" i="9"/>
  <c r="J42" i="9"/>
  <c r="I43" i="9"/>
  <c r="J43" i="9"/>
  <c r="I44" i="9"/>
  <c r="J44" i="9"/>
  <c r="I45" i="9"/>
  <c r="J45" i="9"/>
  <c r="I46" i="9"/>
  <c r="J46" i="9"/>
  <c r="I47" i="9"/>
  <c r="J47" i="9"/>
  <c r="I48" i="9"/>
  <c r="J48" i="9"/>
  <c r="I49" i="9"/>
  <c r="J49" i="9"/>
  <c r="I50" i="9"/>
  <c r="J50" i="9"/>
  <c r="I51" i="9"/>
  <c r="J51" i="9"/>
  <c r="I52" i="9"/>
  <c r="J52" i="9"/>
  <c r="I53" i="9"/>
  <c r="J53" i="9"/>
  <c r="I54" i="9"/>
  <c r="J54" i="9"/>
  <c r="I55" i="9"/>
  <c r="J55" i="9"/>
  <c r="I56" i="9"/>
  <c r="J56" i="9"/>
  <c r="I57" i="9"/>
  <c r="J57" i="9"/>
  <c r="I58" i="9"/>
  <c r="J58" i="9"/>
  <c r="I59" i="9"/>
  <c r="J59" i="9"/>
  <c r="I60" i="9"/>
  <c r="J60" i="9"/>
  <c r="I61" i="9"/>
  <c r="J61" i="9"/>
  <c r="I62" i="9"/>
  <c r="J62" i="9"/>
  <c r="I63" i="9"/>
  <c r="J63" i="9"/>
  <c r="I64" i="9"/>
  <c r="J64" i="9"/>
  <c r="I65" i="9"/>
  <c r="J65" i="9"/>
  <c r="I66" i="9"/>
  <c r="J66" i="9"/>
  <c r="I67" i="9"/>
  <c r="J67" i="9"/>
  <c r="I68" i="9"/>
  <c r="J68" i="9"/>
  <c r="I69" i="9"/>
  <c r="J69" i="9"/>
  <c r="I70" i="9"/>
  <c r="J70" i="9"/>
  <c r="I71" i="9"/>
  <c r="J71" i="9"/>
  <c r="I72" i="9"/>
  <c r="J72" i="9"/>
  <c r="I73" i="9"/>
  <c r="J73" i="9"/>
  <c r="I74" i="9"/>
  <c r="J74" i="9"/>
  <c r="I75" i="9"/>
  <c r="J75" i="9"/>
  <c r="I76" i="9"/>
  <c r="J76" i="9"/>
  <c r="I77" i="9"/>
  <c r="J77" i="9"/>
  <c r="I78" i="9"/>
  <c r="J78" i="9"/>
  <c r="I79" i="9"/>
  <c r="J79" i="9"/>
  <c r="I80" i="9"/>
  <c r="J80" i="9"/>
  <c r="I81" i="9"/>
  <c r="J81" i="9"/>
  <c r="I82" i="9"/>
  <c r="J82" i="9"/>
  <c r="I83" i="9"/>
  <c r="J83" i="9"/>
  <c r="I84" i="9"/>
  <c r="J84" i="9"/>
  <c r="I85" i="9"/>
  <c r="J85" i="9"/>
  <c r="I86" i="9"/>
  <c r="J86" i="9"/>
  <c r="I87" i="9"/>
  <c r="J87" i="9"/>
  <c r="I88" i="9"/>
  <c r="J88" i="9"/>
  <c r="I89" i="9"/>
  <c r="J89" i="9"/>
  <c r="I90" i="9"/>
  <c r="J90" i="9"/>
  <c r="I91" i="9"/>
  <c r="J91" i="9"/>
  <c r="I92" i="9"/>
  <c r="J92" i="9"/>
  <c r="I93" i="9"/>
  <c r="J93" i="9"/>
  <c r="I94" i="9"/>
  <c r="J94" i="9"/>
  <c r="I95" i="9"/>
  <c r="J95" i="9"/>
  <c r="I96" i="9"/>
  <c r="J96" i="9"/>
  <c r="I97" i="9"/>
  <c r="J97" i="9"/>
  <c r="I98" i="9"/>
  <c r="J98" i="9"/>
  <c r="I99" i="9"/>
  <c r="J99" i="9"/>
  <c r="I100" i="9"/>
  <c r="J100" i="9"/>
  <c r="I101" i="9"/>
  <c r="J101" i="9"/>
  <c r="I102" i="9"/>
  <c r="J102" i="9"/>
  <c r="I103" i="9"/>
  <c r="J103" i="9"/>
  <c r="I104" i="9"/>
  <c r="J104" i="9"/>
  <c r="I105" i="9"/>
  <c r="J105" i="9"/>
  <c r="I106" i="9"/>
  <c r="J106" i="9"/>
  <c r="I107" i="9"/>
  <c r="J107" i="9"/>
  <c r="I108" i="9"/>
  <c r="J108" i="9"/>
  <c r="I109" i="9"/>
  <c r="J109" i="9"/>
  <c r="I110" i="9"/>
  <c r="J110" i="9"/>
  <c r="I111" i="9"/>
  <c r="J111" i="9"/>
  <c r="I112" i="9"/>
  <c r="J112" i="9"/>
  <c r="I113" i="9"/>
  <c r="J113" i="9"/>
  <c r="I114" i="9"/>
  <c r="J114" i="9"/>
  <c r="I115" i="9"/>
  <c r="J115" i="9"/>
  <c r="I116" i="9"/>
  <c r="J116" i="9"/>
  <c r="I117" i="9"/>
  <c r="J117" i="9"/>
  <c r="I118" i="9"/>
  <c r="J118" i="9"/>
  <c r="I119" i="9"/>
  <c r="J119" i="9"/>
  <c r="I120" i="9"/>
  <c r="J120" i="9"/>
  <c r="I121" i="9"/>
  <c r="J121" i="9"/>
  <c r="I122" i="9"/>
  <c r="J122" i="9"/>
  <c r="I123" i="9"/>
  <c r="J123" i="9"/>
  <c r="I124" i="9"/>
  <c r="J124" i="9"/>
  <c r="I125" i="9"/>
  <c r="J125" i="9"/>
  <c r="I126" i="9"/>
  <c r="J126" i="9"/>
  <c r="I127" i="9"/>
  <c r="J127" i="9"/>
  <c r="I128" i="9"/>
  <c r="J128" i="9"/>
  <c r="I129" i="9"/>
  <c r="J129" i="9"/>
  <c r="I130" i="9"/>
  <c r="J130" i="9"/>
  <c r="I131" i="9"/>
  <c r="J131" i="9"/>
  <c r="I132" i="9"/>
  <c r="J132" i="9"/>
  <c r="I133" i="9"/>
  <c r="J133" i="9"/>
  <c r="I134" i="9"/>
  <c r="J134" i="9"/>
  <c r="I135" i="9"/>
  <c r="J135" i="9"/>
  <c r="J136" i="9"/>
  <c r="J137" i="9"/>
  <c r="J138" i="9"/>
  <c r="J139" i="9"/>
  <c r="J140" i="9"/>
  <c r="J141" i="9"/>
  <c r="J142" i="9"/>
  <c r="J143" i="9"/>
  <c r="J144" i="9"/>
  <c r="J145" i="9"/>
  <c r="I146" i="9"/>
  <c r="J146" i="9"/>
  <c r="I147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P177" i="9"/>
  <c r="M177" i="9"/>
  <c r="C177" i="9"/>
  <c r="P176" i="9"/>
  <c r="M176" i="9"/>
  <c r="P175" i="9"/>
  <c r="M175" i="9"/>
  <c r="C175" i="9"/>
  <c r="P174" i="9"/>
  <c r="M174" i="9"/>
  <c r="C174" i="9"/>
  <c r="P173" i="9"/>
  <c r="M173" i="9"/>
  <c r="P172" i="9"/>
  <c r="M172" i="9"/>
  <c r="C172" i="9"/>
  <c r="P171" i="9"/>
  <c r="M171" i="9"/>
  <c r="C171" i="9"/>
  <c r="P170" i="9"/>
  <c r="M170" i="9"/>
  <c r="P169" i="9"/>
  <c r="M169" i="9"/>
  <c r="C169" i="9"/>
  <c r="P168" i="9"/>
  <c r="M168" i="9"/>
  <c r="C168" i="9"/>
  <c r="P167" i="9"/>
  <c r="M167" i="9"/>
  <c r="C167" i="9"/>
  <c r="P166" i="9"/>
  <c r="M166" i="9"/>
  <c r="C166" i="9"/>
  <c r="P165" i="9"/>
  <c r="M165" i="9"/>
  <c r="C165" i="9"/>
  <c r="P164" i="9"/>
  <c r="M164" i="9"/>
  <c r="C164" i="9"/>
  <c r="P163" i="9"/>
  <c r="M163" i="9"/>
  <c r="C163" i="9"/>
  <c r="P162" i="9"/>
  <c r="M162" i="9"/>
  <c r="P161" i="9"/>
  <c r="M161" i="9"/>
  <c r="P160" i="9"/>
  <c r="M160" i="9"/>
  <c r="C160" i="9"/>
  <c r="P159" i="9"/>
  <c r="M159" i="9"/>
  <c r="P158" i="9"/>
  <c r="M158" i="9"/>
  <c r="P157" i="9"/>
  <c r="M157" i="9"/>
  <c r="I159" i="9"/>
  <c r="P156" i="9"/>
  <c r="M156" i="9"/>
  <c r="P155" i="9"/>
  <c r="M155" i="9"/>
  <c r="I157" i="9"/>
  <c r="P154" i="9"/>
  <c r="M154" i="9"/>
  <c r="P153" i="9"/>
  <c r="M153" i="9"/>
  <c r="P152" i="9"/>
  <c r="M152" i="9"/>
  <c r="I155" i="9"/>
  <c r="P151" i="9"/>
  <c r="M151" i="9"/>
  <c r="I153" i="9"/>
  <c r="P150" i="9"/>
  <c r="M150" i="9"/>
  <c r="P149" i="9"/>
  <c r="M149" i="9"/>
  <c r="P148" i="9"/>
  <c r="M148" i="9"/>
  <c r="P147" i="9"/>
  <c r="M147" i="9"/>
  <c r="P146" i="9"/>
  <c r="M146" i="9"/>
  <c r="P145" i="9"/>
  <c r="M145" i="9"/>
  <c r="P144" i="9"/>
  <c r="M144" i="9"/>
  <c r="P143" i="9"/>
  <c r="M143" i="9"/>
  <c r="P142" i="9"/>
  <c r="M142" i="9"/>
  <c r="P141" i="9"/>
  <c r="M141" i="9"/>
  <c r="P140" i="9"/>
  <c r="M140" i="9"/>
  <c r="P139" i="9"/>
  <c r="M139" i="9"/>
  <c r="P138" i="9"/>
  <c r="M138" i="9"/>
  <c r="P137" i="9"/>
  <c r="M137" i="9"/>
  <c r="P136" i="9"/>
  <c r="M136" i="9"/>
  <c r="P135" i="9"/>
  <c r="O135" i="9"/>
  <c r="M135" i="9"/>
  <c r="L135" i="9"/>
  <c r="P134" i="9"/>
  <c r="O134" i="9"/>
  <c r="M134" i="9"/>
  <c r="L134" i="9"/>
  <c r="P133" i="9"/>
  <c r="O133" i="9"/>
  <c r="M133" i="9"/>
  <c r="L133" i="9"/>
  <c r="P132" i="9"/>
  <c r="O132" i="9"/>
  <c r="M132" i="9"/>
  <c r="L132" i="9"/>
  <c r="P131" i="9"/>
  <c r="O131" i="9"/>
  <c r="M131" i="9"/>
  <c r="L131" i="9"/>
  <c r="P130" i="9"/>
  <c r="O130" i="9"/>
  <c r="M130" i="9"/>
  <c r="L130" i="9"/>
  <c r="P129" i="9"/>
  <c r="O129" i="9"/>
  <c r="M129" i="9"/>
  <c r="L129" i="9"/>
  <c r="P128" i="9"/>
  <c r="O128" i="9"/>
  <c r="M128" i="9"/>
  <c r="L128" i="9"/>
  <c r="P127" i="9"/>
  <c r="O127" i="9"/>
  <c r="M127" i="9"/>
  <c r="L127" i="9"/>
  <c r="P126" i="9"/>
  <c r="O126" i="9"/>
  <c r="M126" i="9"/>
  <c r="L126" i="9"/>
  <c r="P125" i="9"/>
  <c r="O125" i="9"/>
  <c r="M125" i="9"/>
  <c r="L125" i="9"/>
  <c r="P124" i="9"/>
  <c r="O124" i="9"/>
  <c r="M124" i="9"/>
  <c r="L124" i="9"/>
  <c r="P123" i="9"/>
  <c r="O123" i="9"/>
  <c r="M123" i="9"/>
  <c r="L123" i="9"/>
  <c r="P122" i="9"/>
  <c r="O122" i="9"/>
  <c r="M122" i="9"/>
  <c r="L122" i="9"/>
  <c r="P121" i="9"/>
  <c r="O121" i="9"/>
  <c r="M121" i="9"/>
  <c r="L121" i="9"/>
  <c r="P120" i="9"/>
  <c r="O120" i="9"/>
  <c r="M120" i="9"/>
  <c r="L120" i="9"/>
  <c r="P119" i="9"/>
  <c r="O119" i="9"/>
  <c r="M119" i="9"/>
  <c r="L119" i="9"/>
  <c r="P118" i="9"/>
  <c r="O118" i="9"/>
  <c r="M118" i="9"/>
  <c r="L118" i="9"/>
  <c r="P117" i="9"/>
  <c r="O117" i="9"/>
  <c r="M117" i="9"/>
  <c r="L117" i="9"/>
  <c r="P116" i="9"/>
  <c r="O116" i="9"/>
  <c r="M116" i="9"/>
  <c r="L116" i="9"/>
  <c r="P115" i="9"/>
  <c r="O115" i="9"/>
  <c r="M115" i="9"/>
  <c r="L115" i="9"/>
  <c r="P114" i="9"/>
  <c r="O114" i="9"/>
  <c r="M114" i="9"/>
  <c r="L114" i="9"/>
  <c r="P113" i="9"/>
  <c r="O113" i="9"/>
  <c r="M113" i="9"/>
  <c r="L113" i="9"/>
  <c r="P112" i="9"/>
  <c r="O112" i="9"/>
  <c r="M112" i="9"/>
  <c r="L112" i="9"/>
  <c r="P111" i="9"/>
  <c r="O111" i="9"/>
  <c r="M111" i="9"/>
  <c r="L111" i="9"/>
  <c r="P110" i="9"/>
  <c r="O110" i="9"/>
  <c r="M110" i="9"/>
  <c r="L110" i="9"/>
  <c r="P109" i="9"/>
  <c r="O109" i="9"/>
  <c r="M109" i="9"/>
  <c r="L109" i="9"/>
  <c r="P108" i="9"/>
  <c r="O108" i="9"/>
  <c r="M108" i="9"/>
  <c r="L108" i="9"/>
  <c r="P107" i="9"/>
  <c r="O107" i="9"/>
  <c r="M107" i="9"/>
  <c r="L107" i="9"/>
  <c r="P106" i="9"/>
  <c r="O106" i="9"/>
  <c r="M106" i="9"/>
  <c r="L106" i="9"/>
  <c r="P105" i="9"/>
  <c r="O105" i="9"/>
  <c r="M105" i="9"/>
  <c r="L105" i="9"/>
  <c r="P104" i="9"/>
  <c r="O104" i="9"/>
  <c r="M104" i="9"/>
  <c r="L104" i="9"/>
  <c r="P103" i="9"/>
  <c r="O103" i="9"/>
  <c r="M103" i="9"/>
  <c r="L103" i="9"/>
  <c r="P102" i="9"/>
  <c r="O102" i="9"/>
  <c r="M102" i="9"/>
  <c r="L102" i="9"/>
  <c r="P101" i="9"/>
  <c r="O101" i="9"/>
  <c r="M101" i="9"/>
  <c r="L101" i="9"/>
  <c r="P100" i="9"/>
  <c r="O100" i="9"/>
  <c r="M100" i="9"/>
  <c r="L100" i="9"/>
  <c r="P99" i="9"/>
  <c r="O99" i="9"/>
  <c r="M99" i="9"/>
  <c r="L99" i="9"/>
  <c r="P98" i="9"/>
  <c r="O98" i="9"/>
  <c r="M98" i="9"/>
  <c r="L98" i="9"/>
  <c r="P97" i="9"/>
  <c r="O97" i="9"/>
  <c r="M97" i="9"/>
  <c r="L97" i="9"/>
  <c r="P96" i="9"/>
  <c r="O96" i="9"/>
  <c r="M96" i="9"/>
  <c r="L96" i="9"/>
  <c r="P95" i="9"/>
  <c r="O95" i="9"/>
  <c r="M95" i="9"/>
  <c r="L95" i="9"/>
  <c r="P94" i="9"/>
  <c r="O94" i="9"/>
  <c r="M94" i="9"/>
  <c r="L94" i="9"/>
  <c r="P93" i="9"/>
  <c r="O93" i="9"/>
  <c r="M93" i="9"/>
  <c r="L93" i="9"/>
  <c r="P92" i="9"/>
  <c r="O92" i="9"/>
  <c r="M92" i="9"/>
  <c r="L92" i="9"/>
  <c r="P91" i="9"/>
  <c r="O91" i="9"/>
  <c r="M91" i="9"/>
  <c r="L91" i="9"/>
  <c r="P90" i="9"/>
  <c r="O90" i="9"/>
  <c r="M90" i="9"/>
  <c r="L90" i="9"/>
  <c r="P89" i="9"/>
  <c r="O89" i="9"/>
  <c r="M89" i="9"/>
  <c r="L89" i="9"/>
  <c r="P88" i="9"/>
  <c r="O88" i="9"/>
  <c r="M88" i="9"/>
  <c r="L88" i="9"/>
  <c r="P87" i="9"/>
  <c r="O87" i="9"/>
  <c r="M87" i="9"/>
  <c r="L87" i="9"/>
  <c r="P86" i="9"/>
  <c r="O86" i="9"/>
  <c r="M86" i="9"/>
  <c r="L86" i="9"/>
  <c r="P85" i="9"/>
  <c r="O85" i="9"/>
  <c r="M85" i="9"/>
  <c r="L85" i="9"/>
  <c r="P84" i="9"/>
  <c r="O84" i="9"/>
  <c r="M84" i="9"/>
  <c r="L84" i="9"/>
  <c r="P83" i="9"/>
  <c r="O83" i="9"/>
  <c r="M83" i="9"/>
  <c r="L83" i="9"/>
  <c r="P82" i="9"/>
  <c r="O82" i="9"/>
  <c r="M82" i="9"/>
  <c r="L82" i="9"/>
  <c r="P81" i="9"/>
  <c r="O81" i="9"/>
  <c r="M81" i="9"/>
  <c r="L81" i="9"/>
  <c r="P80" i="9"/>
  <c r="O80" i="9"/>
  <c r="M80" i="9"/>
  <c r="L80" i="9"/>
  <c r="P79" i="9"/>
  <c r="O79" i="9"/>
  <c r="M79" i="9"/>
  <c r="L79" i="9"/>
  <c r="P78" i="9"/>
  <c r="O78" i="9"/>
  <c r="M78" i="9"/>
  <c r="L78" i="9"/>
  <c r="P77" i="9"/>
  <c r="O77" i="9"/>
  <c r="M77" i="9"/>
  <c r="L77" i="9"/>
  <c r="P76" i="9"/>
  <c r="O76" i="9"/>
  <c r="M76" i="9"/>
  <c r="L76" i="9"/>
  <c r="P75" i="9"/>
  <c r="O75" i="9"/>
  <c r="M75" i="9"/>
  <c r="L75" i="9"/>
  <c r="P74" i="9"/>
  <c r="O74" i="9"/>
  <c r="M74" i="9"/>
  <c r="L74" i="9"/>
  <c r="P73" i="9"/>
  <c r="O73" i="9"/>
  <c r="M73" i="9"/>
  <c r="L73" i="9"/>
  <c r="P72" i="9"/>
  <c r="O72" i="9"/>
  <c r="M72" i="9"/>
  <c r="L72" i="9"/>
  <c r="P71" i="9"/>
  <c r="O71" i="9"/>
  <c r="M71" i="9"/>
  <c r="L71" i="9"/>
  <c r="P70" i="9"/>
  <c r="O70" i="9"/>
  <c r="M70" i="9"/>
  <c r="L70" i="9"/>
  <c r="P69" i="9"/>
  <c r="O69" i="9"/>
  <c r="M69" i="9"/>
  <c r="L69" i="9"/>
  <c r="P68" i="9"/>
  <c r="O68" i="9"/>
  <c r="M68" i="9"/>
  <c r="L68" i="9"/>
  <c r="P67" i="9"/>
  <c r="O67" i="9"/>
  <c r="M67" i="9"/>
  <c r="L67" i="9"/>
  <c r="P66" i="9"/>
  <c r="O66" i="9"/>
  <c r="M66" i="9"/>
  <c r="L66" i="9"/>
  <c r="P65" i="9"/>
  <c r="O65" i="9"/>
  <c r="M65" i="9"/>
  <c r="L65" i="9"/>
  <c r="P64" i="9"/>
  <c r="O64" i="9"/>
  <c r="M64" i="9"/>
  <c r="L64" i="9"/>
  <c r="P63" i="9"/>
  <c r="O63" i="9"/>
  <c r="M63" i="9"/>
  <c r="L63" i="9"/>
  <c r="P62" i="9"/>
  <c r="O62" i="9"/>
  <c r="M62" i="9"/>
  <c r="L62" i="9"/>
  <c r="P61" i="9"/>
  <c r="O61" i="9"/>
  <c r="M61" i="9"/>
  <c r="L61" i="9"/>
  <c r="P60" i="9"/>
  <c r="O60" i="9"/>
  <c r="M60" i="9"/>
  <c r="L60" i="9"/>
  <c r="P59" i="9"/>
  <c r="O59" i="9"/>
  <c r="M59" i="9"/>
  <c r="L59" i="9"/>
  <c r="P58" i="9"/>
  <c r="O58" i="9"/>
  <c r="M58" i="9"/>
  <c r="L58" i="9"/>
  <c r="P57" i="9"/>
  <c r="O57" i="9"/>
  <c r="M57" i="9"/>
  <c r="L57" i="9"/>
  <c r="P56" i="9"/>
  <c r="O56" i="9"/>
  <c r="M56" i="9"/>
  <c r="L56" i="9"/>
  <c r="P55" i="9"/>
  <c r="O55" i="9"/>
  <c r="M55" i="9"/>
  <c r="L55" i="9"/>
  <c r="P54" i="9"/>
  <c r="O54" i="9"/>
  <c r="M54" i="9"/>
  <c r="L54" i="9"/>
  <c r="P53" i="9"/>
  <c r="O53" i="9"/>
  <c r="M53" i="9"/>
  <c r="L53" i="9"/>
  <c r="P52" i="9"/>
  <c r="O52" i="9"/>
  <c r="M52" i="9"/>
  <c r="L52" i="9"/>
  <c r="P51" i="9"/>
  <c r="O51" i="9"/>
  <c r="M51" i="9"/>
  <c r="L51" i="9"/>
  <c r="P50" i="9"/>
  <c r="O50" i="9"/>
  <c r="M50" i="9"/>
  <c r="L50" i="9"/>
  <c r="P49" i="9"/>
  <c r="O49" i="9"/>
  <c r="M49" i="9"/>
  <c r="L49" i="9"/>
  <c r="P48" i="9"/>
  <c r="O48" i="9"/>
  <c r="M48" i="9"/>
  <c r="L48" i="9"/>
  <c r="P47" i="9"/>
  <c r="O47" i="9"/>
  <c r="M47" i="9"/>
  <c r="L47" i="9"/>
  <c r="P46" i="9"/>
  <c r="O46" i="9"/>
  <c r="M46" i="9"/>
  <c r="L46" i="9"/>
  <c r="P45" i="9"/>
  <c r="O45" i="9"/>
  <c r="M45" i="9"/>
  <c r="L45" i="9"/>
  <c r="P44" i="9"/>
  <c r="O44" i="9"/>
  <c r="M44" i="9"/>
  <c r="L44" i="9"/>
  <c r="P43" i="9"/>
  <c r="O43" i="9"/>
  <c r="M43" i="9"/>
  <c r="L43" i="9"/>
  <c r="P42" i="9"/>
  <c r="O42" i="9"/>
  <c r="M42" i="9"/>
  <c r="L42" i="9"/>
  <c r="P41" i="9"/>
  <c r="O41" i="9"/>
  <c r="M41" i="9"/>
  <c r="L41" i="9"/>
  <c r="P40" i="9"/>
  <c r="O40" i="9"/>
  <c r="M40" i="9"/>
  <c r="L40" i="9"/>
  <c r="P39" i="9"/>
  <c r="O39" i="9"/>
  <c r="M39" i="9"/>
  <c r="L39" i="9"/>
  <c r="P38" i="9"/>
  <c r="O38" i="9"/>
  <c r="M38" i="9"/>
  <c r="L38" i="9"/>
  <c r="P37" i="9"/>
  <c r="O37" i="9"/>
  <c r="M37" i="9"/>
  <c r="L37" i="9"/>
  <c r="P36" i="9"/>
  <c r="O36" i="9"/>
  <c r="M36" i="9"/>
  <c r="L36" i="9"/>
  <c r="P35" i="9"/>
  <c r="O35" i="9"/>
  <c r="M35" i="9"/>
  <c r="L35" i="9"/>
  <c r="P34" i="9"/>
  <c r="O34" i="9"/>
  <c r="M34" i="9"/>
  <c r="L34" i="9"/>
  <c r="P33" i="9"/>
  <c r="O33" i="9"/>
  <c r="M33" i="9"/>
  <c r="L33" i="9"/>
  <c r="P32" i="9"/>
  <c r="O32" i="9"/>
  <c r="M32" i="9"/>
  <c r="L32" i="9"/>
  <c r="P31" i="9"/>
  <c r="O31" i="9"/>
  <c r="M31" i="9"/>
  <c r="L31" i="9"/>
  <c r="P30" i="9"/>
  <c r="O30" i="9"/>
  <c r="M30" i="9"/>
  <c r="L30" i="9"/>
  <c r="P29" i="9"/>
  <c r="O29" i="9"/>
  <c r="M29" i="9"/>
  <c r="L29" i="9"/>
  <c r="P28" i="9"/>
  <c r="O28" i="9"/>
  <c r="M28" i="9"/>
  <c r="L28" i="9"/>
  <c r="P27" i="9"/>
  <c r="O27" i="9"/>
  <c r="M27" i="9"/>
  <c r="L27" i="9"/>
  <c r="P26" i="9"/>
  <c r="O26" i="9"/>
  <c r="M26" i="9"/>
  <c r="L26" i="9"/>
  <c r="P25" i="9"/>
  <c r="O25" i="9"/>
  <c r="M25" i="9"/>
  <c r="L25" i="9"/>
  <c r="P24" i="9"/>
  <c r="O24" i="9"/>
  <c r="M24" i="9"/>
  <c r="L24" i="9"/>
  <c r="P23" i="9"/>
  <c r="O23" i="9"/>
  <c r="M23" i="9"/>
  <c r="L23" i="9"/>
  <c r="P22" i="9"/>
  <c r="O22" i="9"/>
  <c r="M22" i="9"/>
  <c r="L22" i="9"/>
  <c r="P21" i="9"/>
  <c r="O21" i="9"/>
  <c r="M21" i="9"/>
  <c r="L21" i="9"/>
  <c r="P20" i="9"/>
  <c r="O20" i="9"/>
  <c r="M20" i="9"/>
  <c r="L20" i="9"/>
  <c r="P19" i="9"/>
  <c r="O19" i="9"/>
  <c r="M19" i="9"/>
  <c r="L19" i="9"/>
  <c r="P18" i="9"/>
  <c r="O18" i="9"/>
  <c r="M18" i="9"/>
  <c r="L18" i="9"/>
  <c r="P17" i="9"/>
  <c r="O17" i="9"/>
  <c r="M17" i="9"/>
  <c r="L17" i="9"/>
  <c r="P16" i="9"/>
  <c r="O16" i="9"/>
  <c r="M16" i="9"/>
  <c r="L16" i="9"/>
  <c r="P15" i="9"/>
  <c r="O15" i="9"/>
  <c r="M15" i="9"/>
  <c r="L15" i="9"/>
  <c r="P14" i="9"/>
  <c r="O14" i="9"/>
  <c r="M14" i="9"/>
  <c r="L14" i="9"/>
  <c r="P13" i="9"/>
  <c r="O13" i="9"/>
  <c r="M13" i="9"/>
  <c r="L13" i="9"/>
  <c r="M12" i="9"/>
  <c r="L12" i="9"/>
  <c r="M11" i="9"/>
  <c r="L11" i="9"/>
  <c r="M10" i="9"/>
  <c r="L10" i="9"/>
  <c r="M9" i="9"/>
  <c r="L9" i="9"/>
  <c r="J5" i="9"/>
  <c r="I5" i="9"/>
  <c r="I171" i="9" l="1"/>
  <c r="I165" i="9"/>
  <c r="I167" i="9"/>
  <c r="I169" i="9"/>
  <c r="O171" i="9"/>
  <c r="I148" i="9"/>
  <c r="I150" i="9"/>
  <c r="I149" i="9"/>
  <c r="I151" i="9"/>
  <c r="L155" i="9"/>
  <c r="O177" i="9"/>
  <c r="L184" i="9"/>
  <c r="L183" i="9"/>
  <c r="I179" i="9"/>
  <c r="O178" i="9"/>
  <c r="I180" i="9"/>
  <c r="O180" i="9"/>
  <c r="O183" i="9"/>
  <c r="O179" i="9"/>
  <c r="O184" i="9"/>
  <c r="O182" i="9"/>
  <c r="O181" i="9"/>
  <c r="L146" i="9"/>
  <c r="I140" i="9"/>
  <c r="I142" i="9"/>
  <c r="I141" i="9"/>
  <c r="I173" i="9"/>
  <c r="O174" i="9"/>
  <c r="L181" i="9"/>
  <c r="L180" i="9"/>
  <c r="I176" i="9"/>
  <c r="I177" i="9"/>
  <c r="O175" i="9"/>
  <c r="L182" i="9"/>
  <c r="I178" i="9"/>
  <c r="L150" i="9"/>
  <c r="L154" i="9"/>
  <c r="L179" i="9"/>
  <c r="O172" i="9"/>
  <c r="I175" i="9"/>
  <c r="L143" i="9"/>
  <c r="I136" i="9"/>
  <c r="I138" i="9"/>
  <c r="O136" i="9"/>
  <c r="L139" i="9"/>
  <c r="I137" i="9"/>
  <c r="I139" i="9"/>
  <c r="L138" i="9"/>
  <c r="L147" i="9"/>
  <c r="L148" i="9"/>
  <c r="O145" i="9"/>
  <c r="L167" i="9"/>
  <c r="O170" i="9"/>
  <c r="L176" i="9"/>
  <c r="I163" i="9"/>
  <c r="I161" i="9"/>
  <c r="I145" i="9"/>
  <c r="I143" i="9"/>
  <c r="L157" i="9"/>
  <c r="O152" i="9"/>
  <c r="O153" i="9"/>
  <c r="L162" i="9"/>
  <c r="L164" i="9"/>
  <c r="L169" i="9"/>
  <c r="L171" i="9"/>
  <c r="L172" i="9"/>
  <c r="L173" i="9"/>
  <c r="L174" i="9"/>
  <c r="L175" i="9"/>
  <c r="L178" i="9"/>
  <c r="I174" i="9"/>
  <c r="I172" i="9"/>
  <c r="I170" i="9"/>
  <c r="I168" i="9"/>
  <c r="I166" i="9"/>
  <c r="I164" i="9"/>
  <c r="I162" i="9"/>
  <c r="I160" i="9"/>
  <c r="I156" i="9"/>
  <c r="I154" i="9"/>
  <c r="I152" i="9"/>
  <c r="I144" i="9"/>
  <c r="L140" i="9"/>
  <c r="L142" i="9"/>
  <c r="O158" i="9"/>
  <c r="L177" i="9"/>
  <c r="L137" i="9"/>
  <c r="O143" i="9"/>
  <c r="L145" i="9"/>
  <c r="O147" i="9"/>
  <c r="O148" i="9"/>
  <c r="L151" i="9"/>
  <c r="L152" i="9"/>
  <c r="L153" i="9"/>
  <c r="O156" i="9"/>
  <c r="O157" i="9"/>
  <c r="L159" i="9"/>
  <c r="L160" i="9"/>
  <c r="O162" i="9"/>
  <c r="O163" i="9"/>
  <c r="O164" i="9"/>
  <c r="O165" i="9"/>
  <c r="O166" i="9"/>
  <c r="O167" i="9"/>
  <c r="O168" i="9"/>
  <c r="O169" i="9"/>
  <c r="O144" i="9"/>
  <c r="O149" i="9"/>
  <c r="L136" i="9"/>
  <c r="O138" i="9"/>
  <c r="O139" i="9"/>
  <c r="O140" i="9"/>
  <c r="O141" i="9"/>
  <c r="O142" i="9"/>
  <c r="L144" i="9"/>
  <c r="O146" i="9"/>
  <c r="L149" i="9"/>
  <c r="O154" i="9"/>
  <c r="O155" i="9"/>
  <c r="L158" i="9"/>
  <c r="O161" i="9"/>
  <c r="L170" i="9"/>
  <c r="O176" i="9"/>
  <c r="L141" i="9"/>
  <c r="L161" i="9"/>
  <c r="O137" i="9"/>
  <c r="O150" i="9"/>
  <c r="O151" i="9"/>
  <c r="L156" i="9"/>
  <c r="O159" i="9"/>
  <c r="O160" i="9"/>
  <c r="L163" i="9"/>
  <c r="L165" i="9"/>
  <c r="L166" i="9"/>
  <c r="L168" i="9"/>
  <c r="O173" i="9"/>
  <c r="I6" i="7" l="1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I48" i="7"/>
  <c r="J48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I59" i="7"/>
  <c r="J59" i="7"/>
  <c r="I60" i="7"/>
  <c r="J60" i="7"/>
  <c r="I61" i="7"/>
  <c r="J61" i="7"/>
  <c r="I62" i="7"/>
  <c r="J62" i="7"/>
  <c r="I63" i="7"/>
  <c r="J63" i="7"/>
  <c r="I64" i="7"/>
  <c r="J64" i="7"/>
  <c r="I65" i="7"/>
  <c r="J65" i="7"/>
  <c r="I66" i="7"/>
  <c r="J66" i="7"/>
  <c r="I67" i="7"/>
  <c r="J67" i="7"/>
  <c r="I68" i="7"/>
  <c r="J68" i="7"/>
  <c r="I69" i="7"/>
  <c r="J69" i="7"/>
  <c r="I70" i="7"/>
  <c r="J70" i="7"/>
  <c r="I71" i="7"/>
  <c r="J71" i="7"/>
  <c r="I72" i="7"/>
  <c r="J72" i="7"/>
  <c r="I73" i="7"/>
  <c r="J73" i="7"/>
  <c r="I74" i="7"/>
  <c r="J74" i="7"/>
  <c r="I75" i="7"/>
  <c r="J75" i="7"/>
  <c r="I76" i="7"/>
  <c r="J76" i="7"/>
  <c r="I77" i="7"/>
  <c r="J77" i="7"/>
  <c r="I78" i="7"/>
  <c r="J7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86" i="7"/>
  <c r="J86" i="7"/>
  <c r="I87" i="7"/>
  <c r="J87" i="7"/>
  <c r="I88" i="7"/>
  <c r="J88" i="7"/>
  <c r="I89" i="7"/>
  <c r="J89" i="7"/>
  <c r="I90" i="7"/>
  <c r="J90" i="7"/>
  <c r="I91" i="7"/>
  <c r="J91" i="7"/>
  <c r="I92" i="7"/>
  <c r="J92" i="7"/>
  <c r="I93" i="7"/>
  <c r="J93" i="7"/>
  <c r="I94" i="7"/>
  <c r="J94" i="7"/>
  <c r="I95" i="7"/>
  <c r="J95" i="7"/>
  <c r="I96" i="7"/>
  <c r="J96" i="7"/>
  <c r="I97" i="7"/>
  <c r="J97" i="7"/>
  <c r="I98" i="7"/>
  <c r="J98" i="7"/>
  <c r="I99" i="7"/>
  <c r="J99" i="7"/>
  <c r="I100" i="7"/>
  <c r="J100" i="7"/>
  <c r="I101" i="7"/>
  <c r="J101" i="7"/>
  <c r="I102" i="7"/>
  <c r="J102" i="7"/>
  <c r="I103" i="7"/>
  <c r="J103" i="7"/>
  <c r="I104" i="7"/>
  <c r="J104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16" i="7"/>
  <c r="J116" i="7"/>
  <c r="I117" i="7"/>
  <c r="J117" i="7"/>
  <c r="I118" i="7"/>
  <c r="J118" i="7"/>
  <c r="I119" i="7"/>
  <c r="J119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29" i="7"/>
  <c r="J129" i="7"/>
  <c r="I130" i="7"/>
  <c r="J130" i="7"/>
  <c r="I131" i="7"/>
  <c r="J131" i="7"/>
  <c r="I132" i="7"/>
  <c r="J132" i="7"/>
  <c r="I133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I162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5" i="7"/>
  <c r="P177" i="7" l="1"/>
  <c r="M177" i="7"/>
  <c r="C177" i="7"/>
  <c r="P176" i="7"/>
  <c r="M176" i="7"/>
  <c r="C176" i="7"/>
  <c r="P175" i="7"/>
  <c r="M175" i="7"/>
  <c r="C175" i="7"/>
  <c r="P174" i="7"/>
  <c r="M174" i="7"/>
  <c r="C174" i="7"/>
  <c r="P173" i="7"/>
  <c r="M173" i="7"/>
  <c r="C173" i="7"/>
  <c r="P172" i="7"/>
  <c r="M172" i="7"/>
  <c r="C172" i="7"/>
  <c r="P171" i="7"/>
  <c r="M171" i="7"/>
  <c r="C171" i="7"/>
  <c r="P170" i="7"/>
  <c r="M170" i="7"/>
  <c r="P169" i="7"/>
  <c r="M169" i="7"/>
  <c r="C169" i="7"/>
  <c r="P168" i="7"/>
  <c r="M168" i="7"/>
  <c r="P167" i="7"/>
  <c r="M167" i="7"/>
  <c r="C167" i="7"/>
  <c r="P166" i="7"/>
  <c r="M166" i="7"/>
  <c r="P165" i="7"/>
  <c r="M165" i="7"/>
  <c r="C165" i="7"/>
  <c r="P164" i="7"/>
  <c r="M164" i="7"/>
  <c r="C164" i="7"/>
  <c r="P163" i="7"/>
  <c r="M163" i="7"/>
  <c r="C163" i="7"/>
  <c r="P162" i="7"/>
  <c r="O162" i="7"/>
  <c r="M162" i="7"/>
  <c r="P161" i="7"/>
  <c r="M161" i="7"/>
  <c r="P160" i="7"/>
  <c r="M160" i="7"/>
  <c r="P159" i="7"/>
  <c r="M159" i="7"/>
  <c r="P158" i="7"/>
  <c r="M158" i="7"/>
  <c r="C158" i="7"/>
  <c r="P157" i="7"/>
  <c r="M157" i="7"/>
  <c r="P156" i="7"/>
  <c r="M156" i="7"/>
  <c r="P155" i="7"/>
  <c r="M155" i="7"/>
  <c r="P154" i="7"/>
  <c r="M154" i="7"/>
  <c r="C154" i="7"/>
  <c r="P153" i="7"/>
  <c r="M153" i="7"/>
  <c r="P152" i="7"/>
  <c r="M152" i="7"/>
  <c r="C152" i="7"/>
  <c r="P151" i="7"/>
  <c r="M151" i="7"/>
  <c r="C151" i="7"/>
  <c r="P150" i="7"/>
  <c r="M150" i="7"/>
  <c r="P149" i="7"/>
  <c r="M149" i="7"/>
  <c r="P148" i="7"/>
  <c r="M148" i="7"/>
  <c r="C148" i="7"/>
  <c r="P147" i="7"/>
  <c r="M147" i="7"/>
  <c r="C147" i="7"/>
  <c r="P146" i="7"/>
  <c r="M146" i="7"/>
  <c r="P145" i="7"/>
  <c r="M145" i="7"/>
  <c r="C145" i="7"/>
  <c r="P144" i="7"/>
  <c r="O144" i="7"/>
  <c r="M144" i="7"/>
  <c r="P143" i="7"/>
  <c r="M143" i="7"/>
  <c r="P142" i="7"/>
  <c r="M142" i="7"/>
  <c r="P141" i="7"/>
  <c r="M141" i="7"/>
  <c r="C141" i="7"/>
  <c r="P140" i="7"/>
  <c r="M140" i="7"/>
  <c r="P139" i="7"/>
  <c r="M139" i="7"/>
  <c r="C139" i="7"/>
  <c r="P138" i="7"/>
  <c r="M138" i="7"/>
  <c r="C138" i="7"/>
  <c r="P137" i="7"/>
  <c r="O137" i="7"/>
  <c r="M137" i="7"/>
  <c r="P136" i="7"/>
  <c r="M136" i="7"/>
  <c r="P135" i="7"/>
  <c r="M135" i="7"/>
  <c r="P134" i="7"/>
  <c r="M134" i="7"/>
  <c r="C134" i="7"/>
  <c r="L135" i="7" s="1"/>
  <c r="P133" i="7"/>
  <c r="O133" i="7"/>
  <c r="M133" i="7"/>
  <c r="L133" i="7"/>
  <c r="P132" i="7"/>
  <c r="O132" i="7"/>
  <c r="M132" i="7"/>
  <c r="L132" i="7"/>
  <c r="P131" i="7"/>
  <c r="O131" i="7"/>
  <c r="M131" i="7"/>
  <c r="L131" i="7"/>
  <c r="P130" i="7"/>
  <c r="O130" i="7"/>
  <c r="M130" i="7"/>
  <c r="L130" i="7"/>
  <c r="P129" i="7"/>
  <c r="O129" i="7"/>
  <c r="M129" i="7"/>
  <c r="L129" i="7"/>
  <c r="P128" i="7"/>
  <c r="O128" i="7"/>
  <c r="M128" i="7"/>
  <c r="L128" i="7"/>
  <c r="P127" i="7"/>
  <c r="O127" i="7"/>
  <c r="M127" i="7"/>
  <c r="L127" i="7"/>
  <c r="P126" i="7"/>
  <c r="O126" i="7"/>
  <c r="M126" i="7"/>
  <c r="L126" i="7"/>
  <c r="P125" i="7"/>
  <c r="O125" i="7"/>
  <c r="M125" i="7"/>
  <c r="L125" i="7"/>
  <c r="P124" i="7"/>
  <c r="O124" i="7"/>
  <c r="M124" i="7"/>
  <c r="L124" i="7"/>
  <c r="P123" i="7"/>
  <c r="O123" i="7"/>
  <c r="M123" i="7"/>
  <c r="L123" i="7"/>
  <c r="P122" i="7"/>
  <c r="O122" i="7"/>
  <c r="M122" i="7"/>
  <c r="L122" i="7"/>
  <c r="P121" i="7"/>
  <c r="O121" i="7"/>
  <c r="M121" i="7"/>
  <c r="L121" i="7"/>
  <c r="P120" i="7"/>
  <c r="O120" i="7"/>
  <c r="M120" i="7"/>
  <c r="L120" i="7"/>
  <c r="P119" i="7"/>
  <c r="O119" i="7"/>
  <c r="M119" i="7"/>
  <c r="L119" i="7"/>
  <c r="P118" i="7"/>
  <c r="O118" i="7"/>
  <c r="M118" i="7"/>
  <c r="L118" i="7"/>
  <c r="P117" i="7"/>
  <c r="O117" i="7"/>
  <c r="M117" i="7"/>
  <c r="L117" i="7"/>
  <c r="P116" i="7"/>
  <c r="O116" i="7"/>
  <c r="M116" i="7"/>
  <c r="L116" i="7"/>
  <c r="P115" i="7"/>
  <c r="O115" i="7"/>
  <c r="M115" i="7"/>
  <c r="L115" i="7"/>
  <c r="P114" i="7"/>
  <c r="O114" i="7"/>
  <c r="M114" i="7"/>
  <c r="L114" i="7"/>
  <c r="P113" i="7"/>
  <c r="O113" i="7"/>
  <c r="M113" i="7"/>
  <c r="L113" i="7"/>
  <c r="P112" i="7"/>
  <c r="O112" i="7"/>
  <c r="M112" i="7"/>
  <c r="L112" i="7"/>
  <c r="P111" i="7"/>
  <c r="O111" i="7"/>
  <c r="M111" i="7"/>
  <c r="L111" i="7"/>
  <c r="P110" i="7"/>
  <c r="O110" i="7"/>
  <c r="M110" i="7"/>
  <c r="L110" i="7"/>
  <c r="P109" i="7"/>
  <c r="O109" i="7"/>
  <c r="M109" i="7"/>
  <c r="L109" i="7"/>
  <c r="P108" i="7"/>
  <c r="O108" i="7"/>
  <c r="M108" i="7"/>
  <c r="L108" i="7"/>
  <c r="P107" i="7"/>
  <c r="O107" i="7"/>
  <c r="M107" i="7"/>
  <c r="L107" i="7"/>
  <c r="P106" i="7"/>
  <c r="O106" i="7"/>
  <c r="M106" i="7"/>
  <c r="L106" i="7"/>
  <c r="P105" i="7"/>
  <c r="O105" i="7"/>
  <c r="M105" i="7"/>
  <c r="L105" i="7"/>
  <c r="P104" i="7"/>
  <c r="O104" i="7"/>
  <c r="M104" i="7"/>
  <c r="L104" i="7"/>
  <c r="P103" i="7"/>
  <c r="O103" i="7"/>
  <c r="M103" i="7"/>
  <c r="L103" i="7"/>
  <c r="P102" i="7"/>
  <c r="O102" i="7"/>
  <c r="M102" i="7"/>
  <c r="L102" i="7"/>
  <c r="P101" i="7"/>
  <c r="O101" i="7"/>
  <c r="M101" i="7"/>
  <c r="L101" i="7"/>
  <c r="P100" i="7"/>
  <c r="O100" i="7"/>
  <c r="M100" i="7"/>
  <c r="L100" i="7"/>
  <c r="P99" i="7"/>
  <c r="O99" i="7"/>
  <c r="M99" i="7"/>
  <c r="L99" i="7"/>
  <c r="P98" i="7"/>
  <c r="O98" i="7"/>
  <c r="M98" i="7"/>
  <c r="L98" i="7"/>
  <c r="P97" i="7"/>
  <c r="O97" i="7"/>
  <c r="M97" i="7"/>
  <c r="L97" i="7"/>
  <c r="P96" i="7"/>
  <c r="O96" i="7"/>
  <c r="M96" i="7"/>
  <c r="L96" i="7"/>
  <c r="P95" i="7"/>
  <c r="O95" i="7"/>
  <c r="M95" i="7"/>
  <c r="L95" i="7"/>
  <c r="P94" i="7"/>
  <c r="O94" i="7"/>
  <c r="M94" i="7"/>
  <c r="L94" i="7"/>
  <c r="P93" i="7"/>
  <c r="O93" i="7"/>
  <c r="M93" i="7"/>
  <c r="L93" i="7"/>
  <c r="P92" i="7"/>
  <c r="O92" i="7"/>
  <c r="M92" i="7"/>
  <c r="L92" i="7"/>
  <c r="P91" i="7"/>
  <c r="O91" i="7"/>
  <c r="M91" i="7"/>
  <c r="L91" i="7"/>
  <c r="P90" i="7"/>
  <c r="O90" i="7"/>
  <c r="M90" i="7"/>
  <c r="L90" i="7"/>
  <c r="P89" i="7"/>
  <c r="O89" i="7"/>
  <c r="M89" i="7"/>
  <c r="L89" i="7"/>
  <c r="P88" i="7"/>
  <c r="O88" i="7"/>
  <c r="M88" i="7"/>
  <c r="L88" i="7"/>
  <c r="P87" i="7"/>
  <c r="O87" i="7"/>
  <c r="M87" i="7"/>
  <c r="L87" i="7"/>
  <c r="P86" i="7"/>
  <c r="O86" i="7"/>
  <c r="M86" i="7"/>
  <c r="L86" i="7"/>
  <c r="P85" i="7"/>
  <c r="O85" i="7"/>
  <c r="M85" i="7"/>
  <c r="L85" i="7"/>
  <c r="P84" i="7"/>
  <c r="O84" i="7"/>
  <c r="M84" i="7"/>
  <c r="L84" i="7"/>
  <c r="P83" i="7"/>
  <c r="O83" i="7"/>
  <c r="M83" i="7"/>
  <c r="L83" i="7"/>
  <c r="P82" i="7"/>
  <c r="O82" i="7"/>
  <c r="M82" i="7"/>
  <c r="L82" i="7"/>
  <c r="P81" i="7"/>
  <c r="O81" i="7"/>
  <c r="M81" i="7"/>
  <c r="L81" i="7"/>
  <c r="P80" i="7"/>
  <c r="O80" i="7"/>
  <c r="M80" i="7"/>
  <c r="L80" i="7"/>
  <c r="P79" i="7"/>
  <c r="O79" i="7"/>
  <c r="M79" i="7"/>
  <c r="L79" i="7"/>
  <c r="P78" i="7"/>
  <c r="O78" i="7"/>
  <c r="M78" i="7"/>
  <c r="L78" i="7"/>
  <c r="P77" i="7"/>
  <c r="O77" i="7"/>
  <c r="M77" i="7"/>
  <c r="L77" i="7"/>
  <c r="P76" i="7"/>
  <c r="O76" i="7"/>
  <c r="M76" i="7"/>
  <c r="L76" i="7"/>
  <c r="P75" i="7"/>
  <c r="O75" i="7"/>
  <c r="M75" i="7"/>
  <c r="L75" i="7"/>
  <c r="P74" i="7"/>
  <c r="O74" i="7"/>
  <c r="M74" i="7"/>
  <c r="L74" i="7"/>
  <c r="P73" i="7"/>
  <c r="O73" i="7"/>
  <c r="M73" i="7"/>
  <c r="L73" i="7"/>
  <c r="P72" i="7"/>
  <c r="O72" i="7"/>
  <c r="M72" i="7"/>
  <c r="L72" i="7"/>
  <c r="P71" i="7"/>
  <c r="O71" i="7"/>
  <c r="M71" i="7"/>
  <c r="L71" i="7"/>
  <c r="P70" i="7"/>
  <c r="O70" i="7"/>
  <c r="M70" i="7"/>
  <c r="L70" i="7"/>
  <c r="P69" i="7"/>
  <c r="O69" i="7"/>
  <c r="M69" i="7"/>
  <c r="L69" i="7"/>
  <c r="P68" i="7"/>
  <c r="O68" i="7"/>
  <c r="M68" i="7"/>
  <c r="L68" i="7"/>
  <c r="P67" i="7"/>
  <c r="O67" i="7"/>
  <c r="M67" i="7"/>
  <c r="L67" i="7"/>
  <c r="P66" i="7"/>
  <c r="O66" i="7"/>
  <c r="M66" i="7"/>
  <c r="L66" i="7"/>
  <c r="P65" i="7"/>
  <c r="O65" i="7"/>
  <c r="M65" i="7"/>
  <c r="L65" i="7"/>
  <c r="P64" i="7"/>
  <c r="O64" i="7"/>
  <c r="M64" i="7"/>
  <c r="L64" i="7"/>
  <c r="P63" i="7"/>
  <c r="O63" i="7"/>
  <c r="M63" i="7"/>
  <c r="L63" i="7"/>
  <c r="P62" i="7"/>
  <c r="O62" i="7"/>
  <c r="M62" i="7"/>
  <c r="L62" i="7"/>
  <c r="P61" i="7"/>
  <c r="O61" i="7"/>
  <c r="M61" i="7"/>
  <c r="L61" i="7"/>
  <c r="P60" i="7"/>
  <c r="O60" i="7"/>
  <c r="M60" i="7"/>
  <c r="L60" i="7"/>
  <c r="P59" i="7"/>
  <c r="O59" i="7"/>
  <c r="M59" i="7"/>
  <c r="L59" i="7"/>
  <c r="P58" i="7"/>
  <c r="O58" i="7"/>
  <c r="M58" i="7"/>
  <c r="L58" i="7"/>
  <c r="P57" i="7"/>
  <c r="O57" i="7"/>
  <c r="M57" i="7"/>
  <c r="L57" i="7"/>
  <c r="P56" i="7"/>
  <c r="O56" i="7"/>
  <c r="M56" i="7"/>
  <c r="L56" i="7"/>
  <c r="P55" i="7"/>
  <c r="O55" i="7"/>
  <c r="M55" i="7"/>
  <c r="L55" i="7"/>
  <c r="P54" i="7"/>
  <c r="O54" i="7"/>
  <c r="M54" i="7"/>
  <c r="L54" i="7"/>
  <c r="P53" i="7"/>
  <c r="O53" i="7"/>
  <c r="M53" i="7"/>
  <c r="L53" i="7"/>
  <c r="P52" i="7"/>
  <c r="O52" i="7"/>
  <c r="M52" i="7"/>
  <c r="L52" i="7"/>
  <c r="P51" i="7"/>
  <c r="O51" i="7"/>
  <c r="M51" i="7"/>
  <c r="L51" i="7"/>
  <c r="P50" i="7"/>
  <c r="O50" i="7"/>
  <c r="M50" i="7"/>
  <c r="L50" i="7"/>
  <c r="P49" i="7"/>
  <c r="O49" i="7"/>
  <c r="M49" i="7"/>
  <c r="L49" i="7"/>
  <c r="P48" i="7"/>
  <c r="O48" i="7"/>
  <c r="M48" i="7"/>
  <c r="L48" i="7"/>
  <c r="P47" i="7"/>
  <c r="O47" i="7"/>
  <c r="M47" i="7"/>
  <c r="L47" i="7"/>
  <c r="P46" i="7"/>
  <c r="O46" i="7"/>
  <c r="M46" i="7"/>
  <c r="L46" i="7"/>
  <c r="P45" i="7"/>
  <c r="O45" i="7"/>
  <c r="M45" i="7"/>
  <c r="L45" i="7"/>
  <c r="P44" i="7"/>
  <c r="O44" i="7"/>
  <c r="M44" i="7"/>
  <c r="L44" i="7"/>
  <c r="P43" i="7"/>
  <c r="O43" i="7"/>
  <c r="M43" i="7"/>
  <c r="L43" i="7"/>
  <c r="P42" i="7"/>
  <c r="O42" i="7"/>
  <c r="M42" i="7"/>
  <c r="L42" i="7"/>
  <c r="P41" i="7"/>
  <c r="O41" i="7"/>
  <c r="M41" i="7"/>
  <c r="L41" i="7"/>
  <c r="P40" i="7"/>
  <c r="O40" i="7"/>
  <c r="M40" i="7"/>
  <c r="L40" i="7"/>
  <c r="P39" i="7"/>
  <c r="O39" i="7"/>
  <c r="M39" i="7"/>
  <c r="L39" i="7"/>
  <c r="P38" i="7"/>
  <c r="O38" i="7"/>
  <c r="M38" i="7"/>
  <c r="L38" i="7"/>
  <c r="P37" i="7"/>
  <c r="O37" i="7"/>
  <c r="M37" i="7"/>
  <c r="L37" i="7"/>
  <c r="P36" i="7"/>
  <c r="O36" i="7"/>
  <c r="M36" i="7"/>
  <c r="L36" i="7"/>
  <c r="P35" i="7"/>
  <c r="O35" i="7"/>
  <c r="M35" i="7"/>
  <c r="L35" i="7"/>
  <c r="P34" i="7"/>
  <c r="O34" i="7"/>
  <c r="M34" i="7"/>
  <c r="L34" i="7"/>
  <c r="P33" i="7"/>
  <c r="O33" i="7"/>
  <c r="M33" i="7"/>
  <c r="L33" i="7"/>
  <c r="P32" i="7"/>
  <c r="O32" i="7"/>
  <c r="M32" i="7"/>
  <c r="L32" i="7"/>
  <c r="P31" i="7"/>
  <c r="O31" i="7"/>
  <c r="M31" i="7"/>
  <c r="L31" i="7"/>
  <c r="P30" i="7"/>
  <c r="O30" i="7"/>
  <c r="M30" i="7"/>
  <c r="L30" i="7"/>
  <c r="P29" i="7"/>
  <c r="O29" i="7"/>
  <c r="M29" i="7"/>
  <c r="L29" i="7"/>
  <c r="P28" i="7"/>
  <c r="O28" i="7"/>
  <c r="M28" i="7"/>
  <c r="L28" i="7"/>
  <c r="P27" i="7"/>
  <c r="O27" i="7"/>
  <c r="M27" i="7"/>
  <c r="L27" i="7"/>
  <c r="P26" i="7"/>
  <c r="O26" i="7"/>
  <c r="M26" i="7"/>
  <c r="L26" i="7"/>
  <c r="P25" i="7"/>
  <c r="O25" i="7"/>
  <c r="M25" i="7"/>
  <c r="L25" i="7"/>
  <c r="P24" i="7"/>
  <c r="O24" i="7"/>
  <c r="M24" i="7"/>
  <c r="L24" i="7"/>
  <c r="P23" i="7"/>
  <c r="O23" i="7"/>
  <c r="M23" i="7"/>
  <c r="L23" i="7"/>
  <c r="P22" i="7"/>
  <c r="O22" i="7"/>
  <c r="M22" i="7"/>
  <c r="L22" i="7"/>
  <c r="P21" i="7"/>
  <c r="O21" i="7"/>
  <c r="M21" i="7"/>
  <c r="L21" i="7"/>
  <c r="P20" i="7"/>
  <c r="O20" i="7"/>
  <c r="M20" i="7"/>
  <c r="L20" i="7"/>
  <c r="P19" i="7"/>
  <c r="O19" i="7"/>
  <c r="M19" i="7"/>
  <c r="L19" i="7"/>
  <c r="P18" i="7"/>
  <c r="O18" i="7"/>
  <c r="M18" i="7"/>
  <c r="L18" i="7"/>
  <c r="P17" i="7"/>
  <c r="O17" i="7"/>
  <c r="M17" i="7"/>
  <c r="L17" i="7"/>
  <c r="P16" i="7"/>
  <c r="O16" i="7"/>
  <c r="M16" i="7"/>
  <c r="L16" i="7"/>
  <c r="P15" i="7"/>
  <c r="O15" i="7"/>
  <c r="M15" i="7"/>
  <c r="L15" i="7"/>
  <c r="P14" i="7"/>
  <c r="O14" i="7"/>
  <c r="M14" i="7"/>
  <c r="L14" i="7"/>
  <c r="P13" i="7"/>
  <c r="O13" i="7"/>
  <c r="M13" i="7"/>
  <c r="L13" i="7"/>
  <c r="M12" i="7"/>
  <c r="L12" i="7"/>
  <c r="M11" i="7"/>
  <c r="L11" i="7"/>
  <c r="M10" i="7"/>
  <c r="L10" i="7"/>
  <c r="M9" i="7"/>
  <c r="L9" i="7"/>
  <c r="I5" i="7"/>
  <c r="O154" i="7" l="1"/>
  <c r="O138" i="7"/>
  <c r="O167" i="7"/>
  <c r="L171" i="7"/>
  <c r="O159" i="7"/>
  <c r="O166" i="7"/>
  <c r="L156" i="7"/>
  <c r="O145" i="7"/>
  <c r="L176" i="7"/>
  <c r="O158" i="7"/>
  <c r="L142" i="7"/>
  <c r="O177" i="7"/>
  <c r="L184" i="7"/>
  <c r="I180" i="7"/>
  <c r="O179" i="7"/>
  <c r="O181" i="7"/>
  <c r="O178" i="7"/>
  <c r="O180" i="7"/>
  <c r="O183" i="7"/>
  <c r="O184" i="7"/>
  <c r="O182" i="7"/>
  <c r="L158" i="7"/>
  <c r="I152" i="7"/>
  <c r="I154" i="7"/>
  <c r="I153" i="7"/>
  <c r="I155" i="7"/>
  <c r="O155" i="7"/>
  <c r="I156" i="7"/>
  <c r="I157" i="7"/>
  <c r="L165" i="7"/>
  <c r="I158" i="7"/>
  <c r="I160" i="7"/>
  <c r="I159" i="7"/>
  <c r="I161" i="7"/>
  <c r="L143" i="7"/>
  <c r="I138" i="7"/>
  <c r="I140" i="7"/>
  <c r="I139" i="7"/>
  <c r="I141" i="7"/>
  <c r="O139" i="7"/>
  <c r="L152" i="7"/>
  <c r="I146" i="7"/>
  <c r="I148" i="7"/>
  <c r="I145" i="7"/>
  <c r="I147" i="7"/>
  <c r="O147" i="7"/>
  <c r="I150" i="7"/>
  <c r="I149" i="7"/>
  <c r="O148" i="7"/>
  <c r="I151" i="7"/>
  <c r="L167" i="7"/>
  <c r="I164" i="7"/>
  <c r="I166" i="7"/>
  <c r="I163" i="7"/>
  <c r="I165" i="7"/>
  <c r="I167" i="7"/>
  <c r="O168" i="7"/>
  <c r="I168" i="7"/>
  <c r="I170" i="7"/>
  <c r="I169" i="7"/>
  <c r="O169" i="7"/>
  <c r="I172" i="7"/>
  <c r="I171" i="7"/>
  <c r="L174" i="7"/>
  <c r="L178" i="7"/>
  <c r="I174" i="7"/>
  <c r="I173" i="7"/>
  <c r="L136" i="7"/>
  <c r="I134" i="7"/>
  <c r="I136" i="7"/>
  <c r="I135" i="7"/>
  <c r="I137" i="7"/>
  <c r="O140" i="7"/>
  <c r="I142" i="7"/>
  <c r="O141" i="7"/>
  <c r="I144" i="7"/>
  <c r="I143" i="7"/>
  <c r="L149" i="7"/>
  <c r="O153" i="7"/>
  <c r="O157" i="7"/>
  <c r="L160" i="7"/>
  <c r="L161" i="7"/>
  <c r="L170" i="7"/>
  <c r="L179" i="7"/>
  <c r="I175" i="7"/>
  <c r="L180" i="7"/>
  <c r="I176" i="7"/>
  <c r="L181" i="7"/>
  <c r="I177" i="7"/>
  <c r="O175" i="7"/>
  <c r="L182" i="7"/>
  <c r="I178" i="7"/>
  <c r="O176" i="7"/>
  <c r="L183" i="7"/>
  <c r="I179" i="7"/>
  <c r="L173" i="7"/>
  <c r="L175" i="7"/>
  <c r="L177" i="7"/>
  <c r="L134" i="7"/>
  <c r="O136" i="7"/>
  <c r="L140" i="7"/>
  <c r="L141" i="7"/>
  <c r="O143" i="7"/>
  <c r="L146" i="7"/>
  <c r="L147" i="7"/>
  <c r="L148" i="7"/>
  <c r="O150" i="7"/>
  <c r="O151" i="7"/>
  <c r="O152" i="7"/>
  <c r="L155" i="7"/>
  <c r="O163" i="7"/>
  <c r="O164" i="7"/>
  <c r="O165" i="7"/>
  <c r="L168" i="7"/>
  <c r="L169" i="7"/>
  <c r="O135" i="7"/>
  <c r="L137" i="7"/>
  <c r="L138" i="7"/>
  <c r="L139" i="7"/>
  <c r="O142" i="7"/>
  <c r="L144" i="7"/>
  <c r="L145" i="7"/>
  <c r="O149" i="7"/>
  <c r="L153" i="7"/>
  <c r="L154" i="7"/>
  <c r="O156" i="7"/>
  <c r="L159" i="7"/>
  <c r="O161" i="7"/>
  <c r="L166" i="7"/>
  <c r="O170" i="7"/>
  <c r="O171" i="7"/>
  <c r="O172" i="7"/>
  <c r="O173" i="7"/>
  <c r="O174" i="7"/>
  <c r="L172" i="7"/>
  <c r="O134" i="7"/>
  <c r="O146" i="7"/>
  <c r="L150" i="7"/>
  <c r="L151" i="7"/>
  <c r="L157" i="7"/>
  <c r="O160" i="7"/>
  <c r="L162" i="7"/>
  <c r="L163" i="7"/>
  <c r="L164" i="7"/>
  <c r="P172" i="6" l="1"/>
  <c r="M172" i="6"/>
  <c r="P171" i="6"/>
  <c r="M171" i="6"/>
  <c r="C171" i="6"/>
  <c r="P170" i="6"/>
  <c r="M170" i="6"/>
  <c r="C170" i="6"/>
  <c r="P169" i="6"/>
  <c r="M169" i="6"/>
  <c r="P168" i="6"/>
  <c r="M168" i="6"/>
  <c r="C168" i="6"/>
  <c r="L172" i="6" s="1"/>
  <c r="P167" i="6"/>
  <c r="M167" i="6"/>
  <c r="P166" i="6"/>
  <c r="M166" i="6"/>
  <c r="P165" i="6"/>
  <c r="M165" i="6"/>
  <c r="P164" i="6"/>
  <c r="M164" i="6"/>
  <c r="C164" i="6"/>
  <c r="P163" i="6"/>
  <c r="M163" i="6"/>
  <c r="C163" i="6"/>
  <c r="P162" i="6"/>
  <c r="M162" i="6"/>
  <c r="P161" i="6"/>
  <c r="M161" i="6"/>
  <c r="P160" i="6"/>
  <c r="M160" i="6"/>
  <c r="C160" i="6"/>
  <c r="P159" i="6"/>
  <c r="M159" i="6"/>
  <c r="C159" i="6"/>
  <c r="P158" i="6"/>
  <c r="M158" i="6"/>
  <c r="C158" i="6"/>
  <c r="P157" i="6"/>
  <c r="M157" i="6"/>
  <c r="C157" i="6"/>
  <c r="P156" i="6"/>
  <c r="M156" i="6"/>
  <c r="C156" i="6"/>
  <c r="O161" i="6" s="1"/>
  <c r="P155" i="6"/>
  <c r="M155" i="6"/>
  <c r="P154" i="6"/>
  <c r="M154" i="6"/>
  <c r="P153" i="6"/>
  <c r="M153" i="6"/>
  <c r="P152" i="6"/>
  <c r="M152" i="6"/>
  <c r="P151" i="6"/>
  <c r="M151" i="6"/>
  <c r="P150" i="6"/>
  <c r="M150" i="6"/>
  <c r="P149" i="6"/>
  <c r="M149" i="6"/>
  <c r="C149" i="6"/>
  <c r="P148" i="6"/>
  <c r="M148" i="6"/>
  <c r="C148" i="6"/>
  <c r="P147" i="6"/>
  <c r="M147" i="6"/>
  <c r="C147" i="6"/>
  <c r="P146" i="6"/>
  <c r="M146" i="6"/>
  <c r="P145" i="6"/>
  <c r="M145" i="6"/>
  <c r="C145" i="6"/>
  <c r="P144" i="6"/>
  <c r="M144" i="6"/>
  <c r="P143" i="6"/>
  <c r="M143" i="6"/>
  <c r="C143" i="6"/>
  <c r="P142" i="6"/>
  <c r="M142" i="6"/>
  <c r="C142" i="6"/>
  <c r="P141" i="6"/>
  <c r="M141" i="6"/>
  <c r="C141" i="6"/>
  <c r="P140" i="6"/>
  <c r="M140" i="6"/>
  <c r="P139" i="6"/>
  <c r="M139" i="6"/>
  <c r="P138" i="6"/>
  <c r="M138" i="6"/>
  <c r="P137" i="6"/>
  <c r="M137" i="6"/>
  <c r="C137" i="6"/>
  <c r="P136" i="6"/>
  <c r="M136" i="6"/>
  <c r="P135" i="6"/>
  <c r="M135" i="6"/>
  <c r="P134" i="6"/>
  <c r="M134" i="6"/>
  <c r="P133" i="6"/>
  <c r="M133" i="6"/>
  <c r="C133" i="6"/>
  <c r="P132" i="6"/>
  <c r="M132" i="6"/>
  <c r="P131" i="6"/>
  <c r="M131" i="6"/>
  <c r="C131" i="6"/>
  <c r="O131" i="6" s="1"/>
  <c r="P130" i="6"/>
  <c r="O130" i="6"/>
  <c r="M130" i="6"/>
  <c r="L130" i="6"/>
  <c r="P129" i="6"/>
  <c r="O129" i="6"/>
  <c r="M129" i="6"/>
  <c r="L129" i="6"/>
  <c r="P128" i="6"/>
  <c r="O128" i="6"/>
  <c r="M128" i="6"/>
  <c r="L128" i="6"/>
  <c r="P127" i="6"/>
  <c r="O127" i="6"/>
  <c r="M127" i="6"/>
  <c r="L127" i="6"/>
  <c r="P126" i="6"/>
  <c r="O126" i="6"/>
  <c r="M126" i="6"/>
  <c r="L126" i="6"/>
  <c r="P125" i="6"/>
  <c r="O125" i="6"/>
  <c r="M125" i="6"/>
  <c r="L125" i="6"/>
  <c r="P124" i="6"/>
  <c r="O124" i="6"/>
  <c r="M124" i="6"/>
  <c r="L124" i="6"/>
  <c r="P123" i="6"/>
  <c r="O123" i="6"/>
  <c r="M123" i="6"/>
  <c r="L123" i="6"/>
  <c r="P122" i="6"/>
  <c r="O122" i="6"/>
  <c r="M122" i="6"/>
  <c r="L122" i="6"/>
  <c r="P121" i="6"/>
  <c r="O121" i="6"/>
  <c r="M121" i="6"/>
  <c r="L121" i="6"/>
  <c r="P120" i="6"/>
  <c r="O120" i="6"/>
  <c r="M120" i="6"/>
  <c r="L120" i="6"/>
  <c r="P119" i="6"/>
  <c r="O119" i="6"/>
  <c r="M119" i="6"/>
  <c r="L119" i="6"/>
  <c r="P118" i="6"/>
  <c r="O118" i="6"/>
  <c r="M118" i="6"/>
  <c r="L118" i="6"/>
  <c r="P117" i="6"/>
  <c r="O117" i="6"/>
  <c r="M117" i="6"/>
  <c r="L117" i="6"/>
  <c r="P116" i="6"/>
  <c r="O116" i="6"/>
  <c r="M116" i="6"/>
  <c r="L116" i="6"/>
  <c r="P115" i="6"/>
  <c r="O115" i="6"/>
  <c r="M115" i="6"/>
  <c r="L115" i="6"/>
  <c r="P114" i="6"/>
  <c r="O114" i="6"/>
  <c r="M114" i="6"/>
  <c r="L114" i="6"/>
  <c r="O113" i="6"/>
  <c r="L113" i="6"/>
  <c r="O112" i="6"/>
  <c r="L112" i="6"/>
  <c r="O111" i="6"/>
  <c r="L111" i="6"/>
  <c r="O110" i="6"/>
  <c r="L110" i="6"/>
  <c r="O109" i="6"/>
  <c r="L109" i="6"/>
  <c r="O108" i="6"/>
  <c r="L108" i="6"/>
  <c r="O107" i="6"/>
  <c r="L107" i="6"/>
  <c r="O106" i="6"/>
  <c r="L106" i="6"/>
  <c r="D106" i="6"/>
  <c r="P111" i="6" s="1"/>
  <c r="O105" i="6"/>
  <c r="L105" i="6"/>
  <c r="O104" i="6"/>
  <c r="L104" i="6"/>
  <c r="O103" i="6"/>
  <c r="L103" i="6"/>
  <c r="D103" i="6"/>
  <c r="O102" i="6"/>
  <c r="L102" i="6"/>
  <c r="O101" i="6"/>
  <c r="L101" i="6"/>
  <c r="O100" i="6"/>
  <c r="L100" i="6"/>
  <c r="D100" i="6"/>
  <c r="O99" i="6"/>
  <c r="L99" i="6"/>
  <c r="D99" i="6"/>
  <c r="O98" i="6"/>
  <c r="L98" i="6"/>
  <c r="D98" i="6"/>
  <c r="O97" i="6"/>
  <c r="L97" i="6"/>
  <c r="O96" i="6"/>
  <c r="L96" i="6"/>
  <c r="D96" i="6"/>
  <c r="O95" i="6"/>
  <c r="L95" i="6"/>
  <c r="D95" i="6"/>
  <c r="O94" i="6"/>
  <c r="L94" i="6"/>
  <c r="O93" i="6"/>
  <c r="L93" i="6"/>
  <c r="D93" i="6"/>
  <c r="O92" i="6"/>
  <c r="L92" i="6"/>
  <c r="O91" i="6"/>
  <c r="L91" i="6"/>
  <c r="O90" i="6"/>
  <c r="L90" i="6"/>
  <c r="D90" i="6"/>
  <c r="O89" i="6"/>
  <c r="L89" i="6"/>
  <c r="O88" i="6"/>
  <c r="L88" i="6"/>
  <c r="O87" i="6"/>
  <c r="L87" i="6"/>
  <c r="D87" i="6"/>
  <c r="O86" i="6"/>
  <c r="L86" i="6"/>
  <c r="D86" i="6"/>
  <c r="O85" i="6"/>
  <c r="L85" i="6"/>
  <c r="D85" i="6"/>
  <c r="O84" i="6"/>
  <c r="L84" i="6"/>
  <c r="D84" i="6"/>
  <c r="O83" i="6"/>
  <c r="L83" i="6"/>
  <c r="O82" i="6"/>
  <c r="L82" i="6"/>
  <c r="O81" i="6"/>
  <c r="L81" i="6"/>
  <c r="D81" i="6"/>
  <c r="O80" i="6"/>
  <c r="L80" i="6"/>
  <c r="D80" i="6"/>
  <c r="O79" i="6"/>
  <c r="L79" i="6"/>
  <c r="D79" i="6"/>
  <c r="O78" i="6"/>
  <c r="L78" i="6"/>
  <c r="O77" i="6"/>
  <c r="L77" i="6"/>
  <c r="D77" i="6"/>
  <c r="O76" i="6"/>
  <c r="L76" i="6"/>
  <c r="D76" i="6"/>
  <c r="O75" i="6"/>
  <c r="L75" i="6"/>
  <c r="D75" i="6"/>
  <c r="O74" i="6"/>
  <c r="L74" i="6"/>
  <c r="D74" i="6"/>
  <c r="O73" i="6"/>
  <c r="L73" i="6"/>
  <c r="O72" i="6"/>
  <c r="L72" i="6"/>
  <c r="O71" i="6"/>
  <c r="L71" i="6"/>
  <c r="D67" i="6"/>
  <c r="D66" i="6"/>
  <c r="D65" i="6"/>
  <c r="D64" i="6"/>
  <c r="D63" i="6"/>
  <c r="C63" i="6"/>
  <c r="L70" i="6" s="1"/>
  <c r="O62" i="6"/>
  <c r="L62" i="6"/>
  <c r="D62" i="6"/>
  <c r="O61" i="6"/>
  <c r="L61" i="6"/>
  <c r="D61" i="6"/>
  <c r="O60" i="6"/>
  <c r="L60" i="6"/>
  <c r="D60" i="6"/>
  <c r="O59" i="6"/>
  <c r="L59" i="6"/>
  <c r="O58" i="6"/>
  <c r="L58" i="6"/>
  <c r="D58" i="6"/>
  <c r="O57" i="6"/>
  <c r="L57" i="6"/>
  <c r="D57" i="6"/>
  <c r="O56" i="6"/>
  <c r="L56" i="6"/>
  <c r="O55" i="6"/>
  <c r="L55" i="6"/>
  <c r="D55" i="6"/>
  <c r="O54" i="6"/>
  <c r="L54" i="6"/>
  <c r="D54" i="6"/>
  <c r="O53" i="6"/>
  <c r="L53" i="6"/>
  <c r="D53" i="6"/>
  <c r="O52" i="6"/>
  <c r="L52" i="6"/>
  <c r="D52" i="6"/>
  <c r="O51" i="6"/>
  <c r="L51" i="6"/>
  <c r="O50" i="6"/>
  <c r="L50" i="6"/>
  <c r="O49" i="6"/>
  <c r="L49" i="6"/>
  <c r="O48" i="6"/>
  <c r="L48" i="6"/>
  <c r="D48" i="6"/>
  <c r="O47" i="6"/>
  <c r="L47" i="6"/>
  <c r="O46" i="6"/>
  <c r="L46" i="6"/>
  <c r="D46" i="6"/>
  <c r="O45" i="6"/>
  <c r="L45" i="6"/>
  <c r="O44" i="6"/>
  <c r="L44" i="6"/>
  <c r="O43" i="6"/>
  <c r="L43" i="6"/>
  <c r="D43" i="6"/>
  <c r="O42" i="6"/>
  <c r="L42" i="6"/>
  <c r="D42" i="6"/>
  <c r="O41" i="6"/>
  <c r="L41" i="6"/>
  <c r="O40" i="6"/>
  <c r="L40" i="6"/>
  <c r="D40" i="6"/>
  <c r="O39" i="6"/>
  <c r="L39" i="6"/>
  <c r="O38" i="6"/>
  <c r="L38" i="6"/>
  <c r="D38" i="6"/>
  <c r="O37" i="6"/>
  <c r="L37" i="6"/>
  <c r="D37" i="6"/>
  <c r="O36" i="6"/>
  <c r="L36" i="6"/>
  <c r="D36" i="6"/>
  <c r="O35" i="6"/>
  <c r="L35" i="6"/>
  <c r="D35" i="6"/>
  <c r="O34" i="6"/>
  <c r="L34" i="6"/>
  <c r="O33" i="6"/>
  <c r="L33" i="6"/>
  <c r="O32" i="6"/>
  <c r="L32" i="6"/>
  <c r="O31" i="6"/>
  <c r="L31" i="6"/>
  <c r="O30" i="6"/>
  <c r="L30" i="6"/>
  <c r="O29" i="6"/>
  <c r="L29" i="6"/>
  <c r="D29" i="6"/>
  <c r="O28" i="6"/>
  <c r="L28" i="6"/>
  <c r="D28" i="6"/>
  <c r="O27" i="6"/>
  <c r="L27" i="6"/>
  <c r="O26" i="6"/>
  <c r="L26" i="6"/>
  <c r="D26" i="6"/>
  <c r="O25" i="6"/>
  <c r="L25" i="6"/>
  <c r="D25" i="6"/>
  <c r="O24" i="6"/>
  <c r="L24" i="6"/>
  <c r="D24" i="6"/>
  <c r="O23" i="6"/>
  <c r="L23" i="6"/>
  <c r="D23" i="6"/>
  <c r="O22" i="6"/>
  <c r="L22" i="6"/>
  <c r="D22" i="6"/>
  <c r="O21" i="6"/>
  <c r="L21" i="6"/>
  <c r="D21" i="6"/>
  <c r="O20" i="6"/>
  <c r="L20" i="6"/>
  <c r="D20" i="6"/>
  <c r="O19" i="6"/>
  <c r="L19" i="6"/>
  <c r="D19" i="6"/>
  <c r="O18" i="6"/>
  <c r="L18" i="6"/>
  <c r="D18" i="6"/>
  <c r="O17" i="6"/>
  <c r="L17" i="6"/>
  <c r="D17" i="6"/>
  <c r="P16" i="6"/>
  <c r="O16" i="6"/>
  <c r="M16" i="6"/>
  <c r="L16" i="6"/>
  <c r="P15" i="6"/>
  <c r="O15" i="6"/>
  <c r="M15" i="6"/>
  <c r="L15" i="6"/>
  <c r="O14" i="6"/>
  <c r="L14" i="6"/>
  <c r="O13" i="6"/>
  <c r="L13" i="6"/>
  <c r="L12" i="6"/>
  <c r="L11" i="6"/>
  <c r="L10" i="6"/>
  <c r="L9" i="6"/>
  <c r="D7" i="6"/>
  <c r="P13" i="6" s="1"/>
  <c r="I5" i="6"/>
  <c r="D5" i="6"/>
  <c r="D4" i="6"/>
  <c r="D3" i="6"/>
  <c r="D2" i="6"/>
  <c r="O137" i="6" l="1"/>
  <c r="P94" i="6"/>
  <c r="P27" i="6"/>
  <c r="O136" i="6"/>
  <c r="P33" i="6"/>
  <c r="M31" i="6"/>
  <c r="P64" i="6"/>
  <c r="M73" i="6"/>
  <c r="O64" i="6"/>
  <c r="L134" i="6"/>
  <c r="O63" i="6"/>
  <c r="O66" i="6"/>
  <c r="L68" i="6"/>
  <c r="M113" i="6"/>
  <c r="M43" i="6"/>
  <c r="J39" i="6"/>
  <c r="M61" i="6"/>
  <c r="J57" i="6"/>
  <c r="J70" i="6"/>
  <c r="M80" i="6"/>
  <c r="J75" i="6"/>
  <c r="J77" i="6"/>
  <c r="J74" i="6"/>
  <c r="J76" i="6"/>
  <c r="M75" i="6"/>
  <c r="L148" i="6"/>
  <c r="I143" i="6"/>
  <c r="I142" i="6"/>
  <c r="I144" i="6"/>
  <c r="I141" i="6"/>
  <c r="L149" i="6"/>
  <c r="I145" i="6"/>
  <c r="I146" i="6"/>
  <c r="L151" i="6"/>
  <c r="I147" i="6"/>
  <c r="I148" i="6"/>
  <c r="L153" i="6"/>
  <c r="I150" i="6"/>
  <c r="I149" i="6"/>
  <c r="L155" i="6"/>
  <c r="I151" i="6"/>
  <c r="L156" i="6"/>
  <c r="I152" i="6"/>
  <c r="M10" i="6"/>
  <c r="J6" i="6"/>
  <c r="M12" i="6"/>
  <c r="J8" i="6"/>
  <c r="P14" i="6"/>
  <c r="J9" i="6"/>
  <c r="J10" i="6"/>
  <c r="M24" i="6"/>
  <c r="J17" i="6"/>
  <c r="J19" i="6"/>
  <c r="J18" i="6"/>
  <c r="J20" i="6"/>
  <c r="M25" i="6"/>
  <c r="J21" i="6"/>
  <c r="M26" i="6"/>
  <c r="J22" i="6"/>
  <c r="M27" i="6"/>
  <c r="J23" i="6"/>
  <c r="M28" i="6"/>
  <c r="J24" i="6"/>
  <c r="M29" i="6"/>
  <c r="J25" i="6"/>
  <c r="M30" i="6"/>
  <c r="J26" i="6"/>
  <c r="J27" i="6"/>
  <c r="M32" i="6"/>
  <c r="J28" i="6"/>
  <c r="M33" i="6"/>
  <c r="J29" i="6"/>
  <c r="J31" i="6"/>
  <c r="J30" i="6"/>
  <c r="P28" i="6"/>
  <c r="J78" i="6"/>
  <c r="M76" i="6"/>
  <c r="J85" i="6"/>
  <c r="J87" i="6"/>
  <c r="J86" i="6"/>
  <c r="J88" i="6"/>
  <c r="J89" i="6"/>
  <c r="J90" i="6"/>
  <c r="J95" i="6"/>
  <c r="J94" i="6"/>
  <c r="J96" i="6"/>
  <c r="J97" i="6"/>
  <c r="J98" i="6"/>
  <c r="P95" i="6"/>
  <c r="L143" i="6"/>
  <c r="I137" i="6"/>
  <c r="I138" i="6"/>
  <c r="I140" i="6"/>
  <c r="I139" i="6"/>
  <c r="L150" i="6"/>
  <c r="O152" i="6"/>
  <c r="O154" i="6"/>
  <c r="I164" i="6"/>
  <c r="I166" i="6"/>
  <c r="I165" i="6"/>
  <c r="O164" i="6"/>
  <c r="I167" i="6"/>
  <c r="M42" i="6"/>
  <c r="J35" i="6"/>
  <c r="J37" i="6"/>
  <c r="J36" i="6"/>
  <c r="J38" i="6"/>
  <c r="P38" i="6"/>
  <c r="J41" i="6"/>
  <c r="M60" i="6"/>
  <c r="J56" i="6"/>
  <c r="J69" i="6"/>
  <c r="J105" i="6"/>
  <c r="J104" i="6"/>
  <c r="J106" i="6"/>
  <c r="L173" i="6"/>
  <c r="L175" i="6"/>
  <c r="L174" i="6"/>
  <c r="I171" i="6"/>
  <c r="I168" i="6"/>
  <c r="I170" i="6"/>
  <c r="I169" i="6"/>
  <c r="O170" i="6"/>
  <c r="L176" i="6"/>
  <c r="L177" i="6"/>
  <c r="I173" i="6"/>
  <c r="I172" i="6"/>
  <c r="O171" i="6"/>
  <c r="L178" i="6"/>
  <c r="I174" i="6"/>
  <c r="O173" i="6"/>
  <c r="O175" i="6"/>
  <c r="O177" i="6"/>
  <c r="O178" i="6"/>
  <c r="O176" i="6"/>
  <c r="O174" i="6"/>
  <c r="P34" i="6"/>
  <c r="J32" i="6"/>
  <c r="P29" i="6"/>
  <c r="M49" i="6"/>
  <c r="J45" i="6"/>
  <c r="J44" i="6"/>
  <c r="M50" i="6"/>
  <c r="J46" i="6"/>
  <c r="J63" i="6"/>
  <c r="J62" i="6"/>
  <c r="J64" i="6"/>
  <c r="J65" i="6"/>
  <c r="I63" i="6"/>
  <c r="I64" i="6"/>
  <c r="I66" i="6"/>
  <c r="I65" i="6"/>
  <c r="J67" i="6"/>
  <c r="M72" i="6"/>
  <c r="J68" i="6"/>
  <c r="M66" i="6"/>
  <c r="O67" i="6"/>
  <c r="L69" i="6"/>
  <c r="P71" i="6"/>
  <c r="P72" i="6"/>
  <c r="P76" i="6"/>
  <c r="J79" i="6"/>
  <c r="M77" i="6"/>
  <c r="J99" i="6"/>
  <c r="P96" i="6"/>
  <c r="J101" i="6"/>
  <c r="J100" i="6"/>
  <c r="J102" i="6"/>
  <c r="J103" i="6"/>
  <c r="P112" i="6"/>
  <c r="J107" i="6"/>
  <c r="J109" i="6"/>
  <c r="J108" i="6"/>
  <c r="L135" i="6"/>
  <c r="I133" i="6"/>
  <c r="I132" i="6"/>
  <c r="I134" i="6"/>
  <c r="I131" i="6"/>
  <c r="L140" i="6"/>
  <c r="I136" i="6"/>
  <c r="I135" i="6"/>
  <c r="L139" i="6"/>
  <c r="O144" i="6"/>
  <c r="L160" i="6"/>
  <c r="I157" i="6"/>
  <c r="I156" i="6"/>
  <c r="I158" i="6"/>
  <c r="I159" i="6"/>
  <c r="L164" i="6"/>
  <c r="I160" i="6"/>
  <c r="O158" i="6"/>
  <c r="I161" i="6"/>
  <c r="L166" i="6"/>
  <c r="I162" i="6"/>
  <c r="I163" i="6"/>
  <c r="L165" i="6"/>
  <c r="O167" i="6"/>
  <c r="P37" i="6"/>
  <c r="J40" i="6"/>
  <c r="P46" i="6"/>
  <c r="J47" i="6"/>
  <c r="J49" i="6"/>
  <c r="J48" i="6"/>
  <c r="M59" i="6"/>
  <c r="J53" i="6"/>
  <c r="J55" i="6"/>
  <c r="J52" i="6"/>
  <c r="J54" i="6"/>
  <c r="M62" i="6"/>
  <c r="J58" i="6"/>
  <c r="M71" i="6"/>
  <c r="M9" i="6"/>
  <c r="J7" i="6"/>
  <c r="P45" i="6"/>
  <c r="J43" i="6"/>
  <c r="J42" i="6"/>
  <c r="P51" i="6"/>
  <c r="J51" i="6"/>
  <c r="J50" i="6"/>
  <c r="M63" i="6"/>
  <c r="J59" i="6"/>
  <c r="J60" i="6"/>
  <c r="P58" i="6"/>
  <c r="J61" i="6"/>
  <c r="P68" i="6"/>
  <c r="J66" i="6"/>
  <c r="M69" i="6"/>
  <c r="P73" i="6"/>
  <c r="M74" i="6"/>
  <c r="P77" i="6"/>
  <c r="J80" i="6"/>
  <c r="M81" i="6"/>
  <c r="J81" i="6"/>
  <c r="J82" i="6"/>
  <c r="J83" i="6"/>
  <c r="P83" i="6"/>
  <c r="J84" i="6"/>
  <c r="J91" i="6"/>
  <c r="J93" i="6"/>
  <c r="J92" i="6"/>
  <c r="O145" i="6"/>
  <c r="L154" i="6"/>
  <c r="O168" i="6"/>
  <c r="M11" i="6"/>
  <c r="M39" i="6"/>
  <c r="M40" i="6"/>
  <c r="M47" i="6"/>
  <c r="P50" i="6"/>
  <c r="M56" i="6"/>
  <c r="P85" i="6"/>
  <c r="M92" i="6"/>
  <c r="M14" i="6"/>
  <c r="P17" i="6"/>
  <c r="P18" i="6"/>
  <c r="P19" i="6"/>
  <c r="P20" i="6"/>
  <c r="P21" i="6"/>
  <c r="P22" i="6"/>
  <c r="P23" i="6"/>
  <c r="P24" i="6"/>
  <c r="P25" i="6"/>
  <c r="P26" i="6"/>
  <c r="P32" i="6"/>
  <c r="M34" i="6"/>
  <c r="M35" i="6"/>
  <c r="M36" i="6"/>
  <c r="M37" i="6"/>
  <c r="M38" i="6"/>
  <c r="P41" i="6"/>
  <c r="P42" i="6"/>
  <c r="P43" i="6"/>
  <c r="M45" i="6"/>
  <c r="M46" i="6"/>
  <c r="P49" i="6"/>
  <c r="M51" i="6"/>
  <c r="M52" i="6"/>
  <c r="M53" i="6"/>
  <c r="M54" i="6"/>
  <c r="M55" i="6"/>
  <c r="P59" i="6"/>
  <c r="P60" i="6"/>
  <c r="P61" i="6"/>
  <c r="P62" i="6"/>
  <c r="P63" i="6"/>
  <c r="M65" i="6"/>
  <c r="P67" i="6"/>
  <c r="P69" i="6"/>
  <c r="M70" i="6"/>
  <c r="P86" i="6"/>
  <c r="M93" i="6"/>
  <c r="P88" i="6"/>
  <c r="P91" i="6"/>
  <c r="M48" i="6"/>
  <c r="M79" i="6"/>
  <c r="P82" i="6"/>
  <c r="P102" i="6"/>
  <c r="M107" i="6"/>
  <c r="P100" i="6"/>
  <c r="M13" i="6"/>
  <c r="P31" i="6"/>
  <c r="P39" i="6"/>
  <c r="P40" i="6"/>
  <c r="M44" i="6"/>
  <c r="P47" i="6"/>
  <c r="P48" i="6"/>
  <c r="P56" i="6"/>
  <c r="P57" i="6"/>
  <c r="M68" i="6"/>
  <c r="O69" i="6"/>
  <c r="L67" i="6"/>
  <c r="L66" i="6"/>
  <c r="L65" i="6"/>
  <c r="L64" i="6"/>
  <c r="L63" i="6"/>
  <c r="M64" i="6"/>
  <c r="O65" i="6"/>
  <c r="P66" i="6"/>
  <c r="O68" i="6"/>
  <c r="O70" i="6"/>
  <c r="P74" i="6"/>
  <c r="P75" i="6"/>
  <c r="M78" i="6"/>
  <c r="M87" i="6"/>
  <c r="P80" i="6"/>
  <c r="M82" i="6"/>
  <c r="P87" i="6"/>
  <c r="P89" i="6"/>
  <c r="M97" i="6"/>
  <c r="P92" i="6"/>
  <c r="P90" i="6"/>
  <c r="M100" i="6"/>
  <c r="M99" i="6"/>
  <c r="M98" i="6"/>
  <c r="P93" i="6"/>
  <c r="M102" i="6"/>
  <c r="M103" i="6"/>
  <c r="M105" i="6"/>
  <c r="M101" i="6"/>
  <c r="P98" i="6"/>
  <c r="P101" i="6"/>
  <c r="P44" i="6"/>
  <c r="M57" i="6"/>
  <c r="M58" i="6"/>
  <c r="M86" i="6"/>
  <c r="M85" i="6"/>
  <c r="P79" i="6"/>
  <c r="P81" i="6"/>
  <c r="J5" i="6"/>
  <c r="M17" i="6"/>
  <c r="M18" i="6"/>
  <c r="M19" i="6"/>
  <c r="M20" i="6"/>
  <c r="M21" i="6"/>
  <c r="M22" i="6"/>
  <c r="M23" i="6"/>
  <c r="P30" i="6"/>
  <c r="P35" i="6"/>
  <c r="P36" i="6"/>
  <c r="M41" i="6"/>
  <c r="P52" i="6"/>
  <c r="P53" i="6"/>
  <c r="P54" i="6"/>
  <c r="P55" i="6"/>
  <c r="P65" i="6"/>
  <c r="P70" i="6"/>
  <c r="M67" i="6"/>
  <c r="M83" i="6"/>
  <c r="M84" i="6"/>
  <c r="P78" i="6"/>
  <c r="M90" i="6"/>
  <c r="M89" i="6"/>
  <c r="P84" i="6"/>
  <c r="M88" i="6"/>
  <c r="M91" i="6"/>
  <c r="M94" i="6"/>
  <c r="M95" i="6"/>
  <c r="M96" i="6"/>
  <c r="M106" i="6"/>
  <c r="P99" i="6"/>
  <c r="M110" i="6"/>
  <c r="P103" i="6"/>
  <c r="P104" i="6"/>
  <c r="M108" i="6"/>
  <c r="P105" i="6"/>
  <c r="M104" i="6"/>
  <c r="P107" i="6"/>
  <c r="M109" i="6"/>
  <c r="P97" i="6"/>
  <c r="P106" i="6"/>
  <c r="P110" i="6"/>
  <c r="M112" i="6"/>
  <c r="L132" i="6"/>
  <c r="L133" i="6"/>
  <c r="O135" i="6"/>
  <c r="L138" i="6"/>
  <c r="O140" i="6"/>
  <c r="O141" i="6"/>
  <c r="O142" i="6"/>
  <c r="O143" i="6"/>
  <c r="L146" i="6"/>
  <c r="L147" i="6"/>
  <c r="O151" i="6"/>
  <c r="O155" i="6"/>
  <c r="O156" i="6"/>
  <c r="O157" i="6"/>
  <c r="O159" i="6"/>
  <c r="O160" i="6"/>
  <c r="L162" i="6"/>
  <c r="L163" i="6"/>
  <c r="O166" i="6"/>
  <c r="L169" i="6"/>
  <c r="L170" i="6"/>
  <c r="L171" i="6"/>
  <c r="P109" i="6"/>
  <c r="M111" i="6"/>
  <c r="P113" i="6"/>
  <c r="L131" i="6"/>
  <c r="O134" i="6"/>
  <c r="L136" i="6"/>
  <c r="L137" i="6"/>
  <c r="O139" i="6"/>
  <c r="L144" i="6"/>
  <c r="L145" i="6"/>
  <c r="O150" i="6"/>
  <c r="L152" i="6"/>
  <c r="L161" i="6"/>
  <c r="O165" i="6"/>
  <c r="L167" i="6"/>
  <c r="L168" i="6"/>
  <c r="O172" i="6"/>
  <c r="P108" i="6"/>
  <c r="O132" i="6"/>
  <c r="O133" i="6"/>
  <c r="O138" i="6"/>
  <c r="L141" i="6"/>
  <c r="L142" i="6"/>
  <c r="O146" i="6"/>
  <c r="O147" i="6"/>
  <c r="O148" i="6"/>
  <c r="O149" i="6"/>
  <c r="O153" i="6"/>
  <c r="L157" i="6"/>
  <c r="L158" i="6"/>
  <c r="L159" i="6"/>
  <c r="O162" i="6"/>
  <c r="O163" i="6"/>
  <c r="O169" i="6"/>
  <c r="P169" i="5" l="1"/>
  <c r="M169" i="5"/>
  <c r="C169" i="5"/>
  <c r="P168" i="5"/>
  <c r="M168" i="5"/>
  <c r="C168" i="5"/>
  <c r="P167" i="5"/>
  <c r="M167" i="5"/>
  <c r="P166" i="5"/>
  <c r="M166" i="5"/>
  <c r="C166" i="5"/>
  <c r="P165" i="5"/>
  <c r="M165" i="5"/>
  <c r="C165" i="5"/>
  <c r="P164" i="5"/>
  <c r="M164" i="5"/>
  <c r="C164" i="5"/>
  <c r="P163" i="5"/>
  <c r="M163" i="5"/>
  <c r="P162" i="5"/>
  <c r="M162" i="5"/>
  <c r="P161" i="5"/>
  <c r="M161" i="5"/>
  <c r="C161" i="5"/>
  <c r="P160" i="5"/>
  <c r="M160" i="5"/>
  <c r="P159" i="5"/>
  <c r="M159" i="5"/>
  <c r="C159" i="5"/>
  <c r="P158" i="5"/>
  <c r="M158" i="5"/>
  <c r="P157" i="5"/>
  <c r="M157" i="5"/>
  <c r="P156" i="5"/>
  <c r="M156" i="5"/>
  <c r="C156" i="5"/>
  <c r="P155" i="5"/>
  <c r="M155" i="5"/>
  <c r="C155" i="5"/>
  <c r="P154" i="5"/>
  <c r="M154" i="5"/>
  <c r="C154" i="5"/>
  <c r="P153" i="5"/>
  <c r="M153" i="5"/>
  <c r="C153" i="5"/>
  <c r="P152" i="5"/>
  <c r="M152" i="5"/>
  <c r="P151" i="5"/>
  <c r="M151" i="5"/>
  <c r="C151" i="5"/>
  <c r="P150" i="5"/>
  <c r="M150" i="5"/>
  <c r="P149" i="5"/>
  <c r="M149" i="5"/>
  <c r="C149" i="5"/>
  <c r="P148" i="5"/>
  <c r="M148" i="5"/>
  <c r="P147" i="5"/>
  <c r="M147" i="5"/>
  <c r="C147" i="5"/>
  <c r="P146" i="5"/>
  <c r="M146" i="5"/>
  <c r="P145" i="5"/>
  <c r="M145" i="5"/>
  <c r="C145" i="5"/>
  <c r="P144" i="5"/>
  <c r="M144" i="5"/>
  <c r="P143" i="5"/>
  <c r="M143" i="5"/>
  <c r="C143" i="5"/>
  <c r="P142" i="5"/>
  <c r="M142" i="5"/>
  <c r="P141" i="5"/>
  <c r="M141" i="5"/>
  <c r="C141" i="5"/>
  <c r="P140" i="5"/>
  <c r="M140" i="5"/>
  <c r="C140" i="5"/>
  <c r="P139" i="5"/>
  <c r="M139" i="5"/>
  <c r="P138" i="5"/>
  <c r="M138" i="5"/>
  <c r="C138" i="5"/>
  <c r="P137" i="5"/>
  <c r="M137" i="5"/>
  <c r="P136" i="5"/>
  <c r="M136" i="5"/>
  <c r="P135" i="5"/>
  <c r="M135" i="5"/>
  <c r="P134" i="5"/>
  <c r="M134" i="5"/>
  <c r="P133" i="5"/>
  <c r="M133" i="5"/>
  <c r="C133" i="5"/>
  <c r="O133" i="5" s="1"/>
  <c r="P132" i="5"/>
  <c r="O132" i="5"/>
  <c r="M132" i="5"/>
  <c r="L132" i="5"/>
  <c r="P131" i="5"/>
  <c r="O131" i="5"/>
  <c r="M131" i="5"/>
  <c r="L131" i="5"/>
  <c r="P130" i="5"/>
  <c r="O130" i="5"/>
  <c r="M130" i="5"/>
  <c r="L130" i="5"/>
  <c r="P129" i="5"/>
  <c r="O129" i="5"/>
  <c r="M129" i="5"/>
  <c r="L129" i="5"/>
  <c r="P128" i="5"/>
  <c r="O128" i="5"/>
  <c r="M128" i="5"/>
  <c r="L128" i="5"/>
  <c r="P127" i="5"/>
  <c r="O127" i="5"/>
  <c r="M127" i="5"/>
  <c r="L127" i="5"/>
  <c r="P126" i="5"/>
  <c r="O126" i="5"/>
  <c r="M126" i="5"/>
  <c r="L126" i="5"/>
  <c r="P125" i="5"/>
  <c r="O125" i="5"/>
  <c r="M125" i="5"/>
  <c r="L125" i="5"/>
  <c r="P124" i="5"/>
  <c r="O124" i="5"/>
  <c r="M124" i="5"/>
  <c r="L124" i="5"/>
  <c r="P123" i="5"/>
  <c r="O123" i="5"/>
  <c r="M123" i="5"/>
  <c r="L123" i="5"/>
  <c r="P122" i="5"/>
  <c r="O122" i="5"/>
  <c r="M122" i="5"/>
  <c r="L122" i="5"/>
  <c r="P121" i="5"/>
  <c r="O121" i="5"/>
  <c r="M121" i="5"/>
  <c r="L121" i="5"/>
  <c r="P120" i="5"/>
  <c r="O120" i="5"/>
  <c r="M120" i="5"/>
  <c r="L120" i="5"/>
  <c r="P119" i="5"/>
  <c r="O119" i="5"/>
  <c r="M119" i="5"/>
  <c r="L119" i="5"/>
  <c r="P118" i="5"/>
  <c r="O118" i="5"/>
  <c r="M118" i="5"/>
  <c r="L118" i="5"/>
  <c r="P117" i="5"/>
  <c r="O117" i="5"/>
  <c r="M117" i="5"/>
  <c r="L117" i="5"/>
  <c r="P116" i="5"/>
  <c r="O116" i="5"/>
  <c r="M116" i="5"/>
  <c r="L116" i="5"/>
  <c r="P115" i="5"/>
  <c r="O115" i="5"/>
  <c r="M115" i="5"/>
  <c r="L115" i="5"/>
  <c r="P114" i="5"/>
  <c r="O114" i="5"/>
  <c r="M114" i="5"/>
  <c r="L114" i="5"/>
  <c r="P113" i="5"/>
  <c r="O113" i="5"/>
  <c r="M113" i="5"/>
  <c r="L113" i="5"/>
  <c r="P112" i="5"/>
  <c r="O112" i="5"/>
  <c r="M112" i="5"/>
  <c r="L112" i="5"/>
  <c r="P111" i="5"/>
  <c r="O111" i="5"/>
  <c r="M111" i="5"/>
  <c r="L111" i="5"/>
  <c r="P110" i="5"/>
  <c r="O110" i="5"/>
  <c r="M110" i="5"/>
  <c r="L110" i="5"/>
  <c r="P109" i="5"/>
  <c r="O109" i="5"/>
  <c r="M109" i="5"/>
  <c r="L109" i="5"/>
  <c r="P108" i="5"/>
  <c r="O108" i="5"/>
  <c r="M108" i="5"/>
  <c r="L108" i="5"/>
  <c r="P107" i="5"/>
  <c r="O107" i="5"/>
  <c r="M107" i="5"/>
  <c r="L107" i="5"/>
  <c r="P106" i="5"/>
  <c r="O106" i="5"/>
  <c r="M106" i="5"/>
  <c r="L106" i="5"/>
  <c r="P105" i="5"/>
  <c r="O105" i="5"/>
  <c r="M105" i="5"/>
  <c r="L105" i="5"/>
  <c r="P104" i="5"/>
  <c r="O104" i="5"/>
  <c r="M104" i="5"/>
  <c r="L104" i="5"/>
  <c r="P103" i="5"/>
  <c r="O103" i="5"/>
  <c r="M103" i="5"/>
  <c r="L103" i="5"/>
  <c r="P102" i="5"/>
  <c r="O102" i="5"/>
  <c r="M102" i="5"/>
  <c r="L102" i="5"/>
  <c r="P101" i="5"/>
  <c r="O101" i="5"/>
  <c r="M101" i="5"/>
  <c r="L101" i="5"/>
  <c r="P100" i="5"/>
  <c r="O100" i="5"/>
  <c r="M100" i="5"/>
  <c r="L100" i="5"/>
  <c r="P99" i="5"/>
  <c r="O99" i="5"/>
  <c r="M99" i="5"/>
  <c r="L99" i="5"/>
  <c r="P98" i="5"/>
  <c r="O98" i="5"/>
  <c r="M98" i="5"/>
  <c r="L98" i="5"/>
  <c r="P97" i="5"/>
  <c r="O97" i="5"/>
  <c r="M97" i="5"/>
  <c r="L97" i="5"/>
  <c r="P96" i="5"/>
  <c r="O96" i="5"/>
  <c r="M96" i="5"/>
  <c r="L96" i="5"/>
  <c r="P95" i="5"/>
  <c r="O95" i="5"/>
  <c r="M95" i="5"/>
  <c r="L95" i="5"/>
  <c r="P94" i="5"/>
  <c r="O94" i="5"/>
  <c r="M94" i="5"/>
  <c r="L94" i="5"/>
  <c r="P93" i="5"/>
  <c r="O93" i="5"/>
  <c r="M93" i="5"/>
  <c r="L93" i="5"/>
  <c r="P92" i="5"/>
  <c r="O92" i="5"/>
  <c r="M92" i="5"/>
  <c r="L92" i="5"/>
  <c r="P91" i="5"/>
  <c r="O91" i="5"/>
  <c r="M91" i="5"/>
  <c r="L91" i="5"/>
  <c r="P90" i="5"/>
  <c r="O90" i="5"/>
  <c r="M90" i="5"/>
  <c r="L90" i="5"/>
  <c r="P89" i="5"/>
  <c r="O89" i="5"/>
  <c r="M89" i="5"/>
  <c r="L89" i="5"/>
  <c r="P88" i="5"/>
  <c r="O88" i="5"/>
  <c r="M88" i="5"/>
  <c r="L88" i="5"/>
  <c r="P87" i="5"/>
  <c r="O87" i="5"/>
  <c r="M87" i="5"/>
  <c r="L87" i="5"/>
  <c r="P86" i="5"/>
  <c r="O86" i="5"/>
  <c r="M86" i="5"/>
  <c r="L86" i="5"/>
  <c r="P85" i="5"/>
  <c r="O85" i="5"/>
  <c r="M85" i="5"/>
  <c r="L85" i="5"/>
  <c r="P84" i="5"/>
  <c r="O84" i="5"/>
  <c r="M84" i="5"/>
  <c r="L84" i="5"/>
  <c r="P83" i="5"/>
  <c r="O83" i="5"/>
  <c r="M83" i="5"/>
  <c r="L83" i="5"/>
  <c r="P82" i="5"/>
  <c r="O82" i="5"/>
  <c r="M82" i="5"/>
  <c r="L82" i="5"/>
  <c r="P81" i="5"/>
  <c r="O81" i="5"/>
  <c r="M81" i="5"/>
  <c r="L81" i="5"/>
  <c r="P80" i="5"/>
  <c r="O80" i="5"/>
  <c r="M80" i="5"/>
  <c r="L80" i="5"/>
  <c r="P79" i="5"/>
  <c r="O79" i="5"/>
  <c r="M79" i="5"/>
  <c r="L79" i="5"/>
  <c r="P78" i="5"/>
  <c r="O78" i="5"/>
  <c r="M78" i="5"/>
  <c r="L78" i="5"/>
  <c r="P77" i="5"/>
  <c r="O77" i="5"/>
  <c r="M77" i="5"/>
  <c r="L77" i="5"/>
  <c r="P76" i="5"/>
  <c r="O76" i="5"/>
  <c r="M76" i="5"/>
  <c r="L76" i="5"/>
  <c r="P75" i="5"/>
  <c r="O75" i="5"/>
  <c r="M75" i="5"/>
  <c r="L75" i="5"/>
  <c r="P74" i="5"/>
  <c r="O74" i="5"/>
  <c r="M74" i="5"/>
  <c r="L74" i="5"/>
  <c r="P73" i="5"/>
  <c r="O73" i="5"/>
  <c r="M73" i="5"/>
  <c r="L73" i="5"/>
  <c r="P72" i="5"/>
  <c r="O72" i="5"/>
  <c r="M72" i="5"/>
  <c r="L72" i="5"/>
  <c r="P71" i="5"/>
  <c r="O71" i="5"/>
  <c r="M71" i="5"/>
  <c r="L71" i="5"/>
  <c r="P70" i="5"/>
  <c r="O70" i="5"/>
  <c r="M70" i="5"/>
  <c r="L70" i="5"/>
  <c r="P69" i="5"/>
  <c r="O69" i="5"/>
  <c r="M69" i="5"/>
  <c r="L69" i="5"/>
  <c r="P68" i="5"/>
  <c r="O68" i="5"/>
  <c r="M68" i="5"/>
  <c r="L68" i="5"/>
  <c r="P67" i="5"/>
  <c r="O67" i="5"/>
  <c r="M67" i="5"/>
  <c r="L67" i="5"/>
  <c r="P66" i="5"/>
  <c r="O66" i="5"/>
  <c r="M66" i="5"/>
  <c r="L66" i="5"/>
  <c r="P65" i="5"/>
  <c r="O65" i="5"/>
  <c r="M65" i="5"/>
  <c r="L65" i="5"/>
  <c r="P64" i="5"/>
  <c r="O64" i="5"/>
  <c r="M64" i="5"/>
  <c r="L64" i="5"/>
  <c r="P63" i="5"/>
  <c r="O63" i="5"/>
  <c r="M63" i="5"/>
  <c r="L63" i="5"/>
  <c r="P62" i="5"/>
  <c r="O62" i="5"/>
  <c r="M62" i="5"/>
  <c r="L62" i="5"/>
  <c r="P61" i="5"/>
  <c r="O61" i="5"/>
  <c r="M61" i="5"/>
  <c r="L61" i="5"/>
  <c r="P60" i="5"/>
  <c r="O60" i="5"/>
  <c r="M60" i="5"/>
  <c r="L60" i="5"/>
  <c r="P59" i="5"/>
  <c r="O59" i="5"/>
  <c r="M59" i="5"/>
  <c r="L59" i="5"/>
  <c r="P58" i="5"/>
  <c r="O58" i="5"/>
  <c r="M58" i="5"/>
  <c r="L58" i="5"/>
  <c r="P57" i="5"/>
  <c r="O57" i="5"/>
  <c r="M57" i="5"/>
  <c r="L57" i="5"/>
  <c r="P56" i="5"/>
  <c r="O56" i="5"/>
  <c r="M56" i="5"/>
  <c r="L56" i="5"/>
  <c r="P55" i="5"/>
  <c r="O55" i="5"/>
  <c r="M55" i="5"/>
  <c r="L55" i="5"/>
  <c r="P54" i="5"/>
  <c r="O54" i="5"/>
  <c r="M54" i="5"/>
  <c r="L54" i="5"/>
  <c r="P53" i="5"/>
  <c r="O53" i="5"/>
  <c r="M53" i="5"/>
  <c r="L53" i="5"/>
  <c r="P52" i="5"/>
  <c r="O52" i="5"/>
  <c r="M52" i="5"/>
  <c r="L52" i="5"/>
  <c r="P51" i="5"/>
  <c r="O51" i="5"/>
  <c r="M51" i="5"/>
  <c r="L51" i="5"/>
  <c r="P50" i="5"/>
  <c r="O50" i="5"/>
  <c r="M50" i="5"/>
  <c r="L50" i="5"/>
  <c r="P49" i="5"/>
  <c r="O49" i="5"/>
  <c r="M49" i="5"/>
  <c r="L49" i="5"/>
  <c r="P48" i="5"/>
  <c r="O48" i="5"/>
  <c r="M48" i="5"/>
  <c r="L48" i="5"/>
  <c r="P47" i="5"/>
  <c r="O47" i="5"/>
  <c r="M47" i="5"/>
  <c r="L47" i="5"/>
  <c r="P46" i="5"/>
  <c r="O46" i="5"/>
  <c r="M46" i="5"/>
  <c r="L46" i="5"/>
  <c r="P45" i="5"/>
  <c r="O45" i="5"/>
  <c r="M45" i="5"/>
  <c r="L45" i="5"/>
  <c r="P44" i="5"/>
  <c r="O44" i="5"/>
  <c r="M44" i="5"/>
  <c r="L44" i="5"/>
  <c r="P43" i="5"/>
  <c r="O43" i="5"/>
  <c r="M43" i="5"/>
  <c r="L43" i="5"/>
  <c r="P42" i="5"/>
  <c r="O42" i="5"/>
  <c r="M42" i="5"/>
  <c r="L42" i="5"/>
  <c r="P41" i="5"/>
  <c r="O41" i="5"/>
  <c r="M41" i="5"/>
  <c r="L41" i="5"/>
  <c r="P40" i="5"/>
  <c r="O40" i="5"/>
  <c r="M40" i="5"/>
  <c r="L40" i="5"/>
  <c r="P39" i="5"/>
  <c r="O39" i="5"/>
  <c r="M39" i="5"/>
  <c r="L39" i="5"/>
  <c r="P38" i="5"/>
  <c r="O38" i="5"/>
  <c r="M38" i="5"/>
  <c r="L38" i="5"/>
  <c r="P37" i="5"/>
  <c r="O37" i="5"/>
  <c r="M37" i="5"/>
  <c r="L37" i="5"/>
  <c r="P36" i="5"/>
  <c r="O36" i="5"/>
  <c r="M36" i="5"/>
  <c r="L36" i="5"/>
  <c r="P35" i="5"/>
  <c r="O35" i="5"/>
  <c r="M35" i="5"/>
  <c r="L35" i="5"/>
  <c r="P34" i="5"/>
  <c r="O34" i="5"/>
  <c r="M34" i="5"/>
  <c r="L34" i="5"/>
  <c r="P33" i="5"/>
  <c r="O33" i="5"/>
  <c r="M33" i="5"/>
  <c r="L33" i="5"/>
  <c r="P32" i="5"/>
  <c r="O32" i="5"/>
  <c r="M32" i="5"/>
  <c r="L32" i="5"/>
  <c r="P31" i="5"/>
  <c r="O31" i="5"/>
  <c r="M31" i="5"/>
  <c r="L31" i="5"/>
  <c r="P30" i="5"/>
  <c r="O30" i="5"/>
  <c r="M30" i="5"/>
  <c r="L30" i="5"/>
  <c r="P29" i="5"/>
  <c r="O29" i="5"/>
  <c r="M29" i="5"/>
  <c r="L29" i="5"/>
  <c r="P28" i="5"/>
  <c r="O28" i="5"/>
  <c r="M28" i="5"/>
  <c r="L28" i="5"/>
  <c r="P27" i="5"/>
  <c r="O27" i="5"/>
  <c r="M27" i="5"/>
  <c r="L27" i="5"/>
  <c r="P26" i="5"/>
  <c r="O26" i="5"/>
  <c r="M26" i="5"/>
  <c r="L26" i="5"/>
  <c r="P25" i="5"/>
  <c r="O25" i="5"/>
  <c r="M25" i="5"/>
  <c r="L25" i="5"/>
  <c r="P24" i="5"/>
  <c r="O24" i="5"/>
  <c r="M24" i="5"/>
  <c r="L24" i="5"/>
  <c r="P23" i="5"/>
  <c r="O23" i="5"/>
  <c r="M23" i="5"/>
  <c r="L23" i="5"/>
  <c r="P22" i="5"/>
  <c r="O22" i="5"/>
  <c r="M22" i="5"/>
  <c r="L22" i="5"/>
  <c r="P21" i="5"/>
  <c r="O21" i="5"/>
  <c r="M21" i="5"/>
  <c r="L21" i="5"/>
  <c r="P20" i="5"/>
  <c r="O20" i="5"/>
  <c r="M20" i="5"/>
  <c r="L20" i="5"/>
  <c r="P19" i="5"/>
  <c r="O19" i="5"/>
  <c r="M19" i="5"/>
  <c r="L19" i="5"/>
  <c r="P18" i="5"/>
  <c r="O18" i="5"/>
  <c r="M18" i="5"/>
  <c r="L18" i="5"/>
  <c r="P17" i="5"/>
  <c r="O17" i="5"/>
  <c r="M17" i="5"/>
  <c r="L17" i="5"/>
  <c r="P16" i="5"/>
  <c r="O16" i="5"/>
  <c r="M16" i="5"/>
  <c r="L16" i="5"/>
  <c r="P15" i="5"/>
  <c r="O15" i="5"/>
  <c r="M15" i="5"/>
  <c r="L15" i="5"/>
  <c r="P14" i="5"/>
  <c r="O14" i="5"/>
  <c r="M14" i="5"/>
  <c r="L14" i="5"/>
  <c r="P13" i="5"/>
  <c r="O13" i="5"/>
  <c r="M13" i="5"/>
  <c r="L13" i="5"/>
  <c r="M12" i="5"/>
  <c r="L12" i="5"/>
  <c r="M11" i="5"/>
  <c r="L11" i="5"/>
  <c r="M10" i="5"/>
  <c r="L10" i="5"/>
  <c r="M9" i="5"/>
  <c r="L9" i="5"/>
  <c r="J5" i="5"/>
  <c r="I5" i="5"/>
  <c r="L135" i="5" l="1"/>
  <c r="L175" i="5"/>
  <c r="L174" i="5"/>
  <c r="I171" i="5"/>
  <c r="I170" i="5"/>
  <c r="L176" i="5"/>
  <c r="I172" i="5"/>
  <c r="O170" i="5"/>
  <c r="O174" i="5"/>
  <c r="O175" i="5"/>
  <c r="O172" i="5"/>
  <c r="O173" i="5"/>
  <c r="O176" i="5"/>
  <c r="O171" i="5"/>
  <c r="L170" i="5"/>
  <c r="L171" i="5"/>
  <c r="L172" i="5"/>
  <c r="L173" i="5"/>
  <c r="I157" i="5"/>
  <c r="L160" i="5"/>
  <c r="I159" i="5"/>
  <c r="L145" i="5"/>
  <c r="I141" i="5"/>
  <c r="I138" i="5"/>
  <c r="I140" i="5"/>
  <c r="I139" i="5"/>
  <c r="O140" i="5"/>
  <c r="I142" i="5"/>
  <c r="I143" i="5"/>
  <c r="O141" i="5"/>
  <c r="I144" i="5"/>
  <c r="L150" i="5"/>
  <c r="I145" i="5"/>
  <c r="I146" i="5"/>
  <c r="L152" i="5"/>
  <c r="I148" i="5"/>
  <c r="I147" i="5"/>
  <c r="O168" i="5"/>
  <c r="O169" i="5"/>
  <c r="L136" i="5"/>
  <c r="I134" i="5"/>
  <c r="I136" i="5"/>
  <c r="I135" i="5"/>
  <c r="I133" i="5"/>
  <c r="L142" i="5"/>
  <c r="L157" i="5"/>
  <c r="I154" i="5"/>
  <c r="I153" i="5"/>
  <c r="I155" i="5"/>
  <c r="I156" i="5"/>
  <c r="L162" i="5"/>
  <c r="I158" i="5"/>
  <c r="I165" i="5"/>
  <c r="I166" i="5"/>
  <c r="I167" i="5"/>
  <c r="I168" i="5"/>
  <c r="I169" i="5"/>
  <c r="O137" i="5"/>
  <c r="L143" i="5"/>
  <c r="L156" i="5"/>
  <c r="I151" i="5"/>
  <c r="I152" i="5"/>
  <c r="O138" i="5"/>
  <c r="L154" i="5"/>
  <c r="I150" i="5"/>
  <c r="I149" i="5"/>
  <c r="L151" i="5"/>
  <c r="O159" i="5"/>
  <c r="I161" i="5"/>
  <c r="I160" i="5"/>
  <c r="I162" i="5"/>
  <c r="O161" i="5"/>
  <c r="I164" i="5"/>
  <c r="I163" i="5"/>
  <c r="O146" i="5"/>
  <c r="O147" i="5"/>
  <c r="O157" i="5"/>
  <c r="L161" i="5"/>
  <c r="O164" i="5"/>
  <c r="L134" i="5"/>
  <c r="O136" i="5"/>
  <c r="L139" i="5"/>
  <c r="L140" i="5"/>
  <c r="L141" i="5"/>
  <c r="O144" i="5"/>
  <c r="O145" i="5"/>
  <c r="L148" i="5"/>
  <c r="L149" i="5"/>
  <c r="O152" i="5"/>
  <c r="O153" i="5"/>
  <c r="O154" i="5"/>
  <c r="O155" i="5"/>
  <c r="O156" i="5"/>
  <c r="L158" i="5"/>
  <c r="L159" i="5"/>
  <c r="O162" i="5"/>
  <c r="L167" i="5"/>
  <c r="L168" i="5"/>
  <c r="L169" i="5"/>
  <c r="O163" i="5"/>
  <c r="O165" i="5"/>
  <c r="O166" i="5"/>
  <c r="L133" i="5"/>
  <c r="O135" i="5"/>
  <c r="L137" i="5"/>
  <c r="L138" i="5"/>
  <c r="O142" i="5"/>
  <c r="O143" i="5"/>
  <c r="L146" i="5"/>
  <c r="L147" i="5"/>
  <c r="O150" i="5"/>
  <c r="O151" i="5"/>
  <c r="O160" i="5"/>
  <c r="L163" i="5"/>
  <c r="L164" i="5"/>
  <c r="L165" i="5"/>
  <c r="L166" i="5"/>
  <c r="O134" i="5"/>
  <c r="O139" i="5"/>
  <c r="L144" i="5"/>
  <c r="O148" i="5"/>
  <c r="O149" i="5"/>
  <c r="L153" i="5"/>
  <c r="L155" i="5"/>
  <c r="O158" i="5"/>
  <c r="O167" i="5"/>
  <c r="P177" i="4" l="1"/>
  <c r="M177" i="4"/>
  <c r="J177" i="4"/>
  <c r="C177" i="4"/>
  <c r="P176" i="4"/>
  <c r="M176" i="4"/>
  <c r="J176" i="4"/>
  <c r="C176" i="4"/>
  <c r="P175" i="4"/>
  <c r="M175" i="4"/>
  <c r="J175" i="4"/>
  <c r="C175" i="4"/>
  <c r="P174" i="4"/>
  <c r="M174" i="4"/>
  <c r="J174" i="4"/>
  <c r="C174" i="4"/>
  <c r="P173" i="4"/>
  <c r="M173" i="4"/>
  <c r="J173" i="4"/>
  <c r="P172" i="4"/>
  <c r="M172" i="4"/>
  <c r="J172" i="4"/>
  <c r="C172" i="4"/>
  <c r="P171" i="4"/>
  <c r="M171" i="4"/>
  <c r="J171" i="4"/>
  <c r="C171" i="4"/>
  <c r="P170" i="4"/>
  <c r="M170" i="4"/>
  <c r="J170" i="4"/>
  <c r="P169" i="4"/>
  <c r="M169" i="4"/>
  <c r="J169" i="4"/>
  <c r="C169" i="4"/>
  <c r="P168" i="4"/>
  <c r="M168" i="4"/>
  <c r="J168" i="4"/>
  <c r="C168" i="4"/>
  <c r="P167" i="4"/>
  <c r="M167" i="4"/>
  <c r="J167" i="4"/>
  <c r="C167" i="4"/>
  <c r="P166" i="4"/>
  <c r="M166" i="4"/>
  <c r="J166" i="4"/>
  <c r="C166" i="4"/>
  <c r="P165" i="4"/>
  <c r="M165" i="4"/>
  <c r="J165" i="4"/>
  <c r="P164" i="4"/>
  <c r="M164" i="4"/>
  <c r="J164" i="4"/>
  <c r="C164" i="4"/>
  <c r="P163" i="4"/>
  <c r="M163" i="4"/>
  <c r="J163" i="4"/>
  <c r="C163" i="4"/>
  <c r="P162" i="4"/>
  <c r="M162" i="4"/>
  <c r="J162" i="4"/>
  <c r="C162" i="4"/>
  <c r="P161" i="4"/>
  <c r="M161" i="4"/>
  <c r="J161" i="4"/>
  <c r="C161" i="4"/>
  <c r="P160" i="4"/>
  <c r="M160" i="4"/>
  <c r="J160" i="4"/>
  <c r="C160" i="4"/>
  <c r="P159" i="4"/>
  <c r="M159" i="4"/>
  <c r="J159" i="4"/>
  <c r="C159" i="4"/>
  <c r="P158" i="4"/>
  <c r="M158" i="4"/>
  <c r="J158" i="4"/>
  <c r="C158" i="4"/>
  <c r="P157" i="4"/>
  <c r="M157" i="4"/>
  <c r="J157" i="4"/>
  <c r="C157" i="4"/>
  <c r="P156" i="4"/>
  <c r="M156" i="4"/>
  <c r="J156" i="4"/>
  <c r="P155" i="4"/>
  <c r="M155" i="4"/>
  <c r="J155" i="4"/>
  <c r="C155" i="4"/>
  <c r="P154" i="4"/>
  <c r="M154" i="4"/>
  <c r="J154" i="4"/>
  <c r="P153" i="4"/>
  <c r="M153" i="4"/>
  <c r="J153" i="4"/>
  <c r="P152" i="4"/>
  <c r="M152" i="4"/>
  <c r="J152" i="4"/>
  <c r="C152" i="4"/>
  <c r="P151" i="4"/>
  <c r="M151" i="4"/>
  <c r="J151" i="4"/>
  <c r="C151" i="4"/>
  <c r="P150" i="4"/>
  <c r="M150" i="4"/>
  <c r="J150" i="4"/>
  <c r="I150" i="4"/>
  <c r="P149" i="4"/>
  <c r="M149" i="4"/>
  <c r="J149" i="4"/>
  <c r="P148" i="4"/>
  <c r="M148" i="4"/>
  <c r="J148" i="4"/>
  <c r="P147" i="4"/>
  <c r="M147" i="4"/>
  <c r="J147" i="4"/>
  <c r="P146" i="4"/>
  <c r="M146" i="4"/>
  <c r="J146" i="4"/>
  <c r="C146" i="4"/>
  <c r="P145" i="4"/>
  <c r="M145" i="4"/>
  <c r="J145" i="4"/>
  <c r="C145" i="4"/>
  <c r="P144" i="4"/>
  <c r="M144" i="4"/>
  <c r="J144" i="4"/>
  <c r="P143" i="4"/>
  <c r="M143" i="4"/>
  <c r="J143" i="4"/>
  <c r="P142" i="4"/>
  <c r="M142" i="4"/>
  <c r="J142" i="4"/>
  <c r="P141" i="4"/>
  <c r="M141" i="4"/>
  <c r="J141" i="4"/>
  <c r="C141" i="4"/>
  <c r="P140" i="4"/>
  <c r="M140" i="4"/>
  <c r="J140" i="4"/>
  <c r="P139" i="4"/>
  <c r="M139" i="4"/>
  <c r="J139" i="4"/>
  <c r="P138" i="4"/>
  <c r="M138" i="4"/>
  <c r="J138" i="4"/>
  <c r="P137" i="4"/>
  <c r="M137" i="4"/>
  <c r="J137" i="4"/>
  <c r="P136" i="4"/>
  <c r="M136" i="4"/>
  <c r="J136" i="4"/>
  <c r="C136" i="4"/>
  <c r="P135" i="4"/>
  <c r="O135" i="4"/>
  <c r="M135" i="4"/>
  <c r="L135" i="4"/>
  <c r="J135" i="4"/>
  <c r="I135" i="4"/>
  <c r="P134" i="4"/>
  <c r="O134" i="4"/>
  <c r="M134" i="4"/>
  <c r="L134" i="4"/>
  <c r="J134" i="4"/>
  <c r="I134" i="4"/>
  <c r="P133" i="4"/>
  <c r="O133" i="4"/>
  <c r="M133" i="4"/>
  <c r="L133" i="4"/>
  <c r="J133" i="4"/>
  <c r="I133" i="4"/>
  <c r="P132" i="4"/>
  <c r="O132" i="4"/>
  <c r="M132" i="4"/>
  <c r="L132" i="4"/>
  <c r="J132" i="4"/>
  <c r="I132" i="4"/>
  <c r="P131" i="4"/>
  <c r="O131" i="4"/>
  <c r="M131" i="4"/>
  <c r="L131" i="4"/>
  <c r="J131" i="4"/>
  <c r="I131" i="4"/>
  <c r="P130" i="4"/>
  <c r="O130" i="4"/>
  <c r="M130" i="4"/>
  <c r="L130" i="4"/>
  <c r="J130" i="4"/>
  <c r="I130" i="4"/>
  <c r="P129" i="4"/>
  <c r="O129" i="4"/>
  <c r="M129" i="4"/>
  <c r="L129" i="4"/>
  <c r="J129" i="4"/>
  <c r="I129" i="4"/>
  <c r="P128" i="4"/>
  <c r="O128" i="4"/>
  <c r="M128" i="4"/>
  <c r="L128" i="4"/>
  <c r="J128" i="4"/>
  <c r="I128" i="4"/>
  <c r="P127" i="4"/>
  <c r="O127" i="4"/>
  <c r="M127" i="4"/>
  <c r="L127" i="4"/>
  <c r="J127" i="4"/>
  <c r="I127" i="4"/>
  <c r="P126" i="4"/>
  <c r="O126" i="4"/>
  <c r="M126" i="4"/>
  <c r="L126" i="4"/>
  <c r="J126" i="4"/>
  <c r="I126" i="4"/>
  <c r="P125" i="4"/>
  <c r="O125" i="4"/>
  <c r="M125" i="4"/>
  <c r="L125" i="4"/>
  <c r="J125" i="4"/>
  <c r="I125" i="4"/>
  <c r="P124" i="4"/>
  <c r="O124" i="4"/>
  <c r="M124" i="4"/>
  <c r="L124" i="4"/>
  <c r="J124" i="4"/>
  <c r="I124" i="4"/>
  <c r="P123" i="4"/>
  <c r="O123" i="4"/>
  <c r="M123" i="4"/>
  <c r="L123" i="4"/>
  <c r="J123" i="4"/>
  <c r="I123" i="4"/>
  <c r="P122" i="4"/>
  <c r="O122" i="4"/>
  <c r="M122" i="4"/>
  <c r="L122" i="4"/>
  <c r="J122" i="4"/>
  <c r="I122" i="4"/>
  <c r="P121" i="4"/>
  <c r="O121" i="4"/>
  <c r="M121" i="4"/>
  <c r="L121" i="4"/>
  <c r="J121" i="4"/>
  <c r="I121" i="4"/>
  <c r="P120" i="4"/>
  <c r="O120" i="4"/>
  <c r="M120" i="4"/>
  <c r="L120" i="4"/>
  <c r="J120" i="4"/>
  <c r="I120" i="4"/>
  <c r="P119" i="4"/>
  <c r="O119" i="4"/>
  <c r="M119" i="4"/>
  <c r="L119" i="4"/>
  <c r="J119" i="4"/>
  <c r="I119" i="4"/>
  <c r="P118" i="4"/>
  <c r="O118" i="4"/>
  <c r="M118" i="4"/>
  <c r="L118" i="4"/>
  <c r="J118" i="4"/>
  <c r="I118" i="4"/>
  <c r="P117" i="4"/>
  <c r="O117" i="4"/>
  <c r="M117" i="4"/>
  <c r="L117" i="4"/>
  <c r="J117" i="4"/>
  <c r="I117" i="4"/>
  <c r="P116" i="4"/>
  <c r="O116" i="4"/>
  <c r="M116" i="4"/>
  <c r="L116" i="4"/>
  <c r="J116" i="4"/>
  <c r="I116" i="4"/>
  <c r="P115" i="4"/>
  <c r="O115" i="4"/>
  <c r="M115" i="4"/>
  <c r="L115" i="4"/>
  <c r="J115" i="4"/>
  <c r="I115" i="4"/>
  <c r="P114" i="4"/>
  <c r="O114" i="4"/>
  <c r="M114" i="4"/>
  <c r="L114" i="4"/>
  <c r="J114" i="4"/>
  <c r="I114" i="4"/>
  <c r="P113" i="4"/>
  <c r="O113" i="4"/>
  <c r="M113" i="4"/>
  <c r="L113" i="4"/>
  <c r="J113" i="4"/>
  <c r="I113" i="4"/>
  <c r="P112" i="4"/>
  <c r="O112" i="4"/>
  <c r="M112" i="4"/>
  <c r="L112" i="4"/>
  <c r="J112" i="4"/>
  <c r="I112" i="4"/>
  <c r="P111" i="4"/>
  <c r="O111" i="4"/>
  <c r="M111" i="4"/>
  <c r="L111" i="4"/>
  <c r="J111" i="4"/>
  <c r="I111" i="4"/>
  <c r="P110" i="4"/>
  <c r="O110" i="4"/>
  <c r="M110" i="4"/>
  <c r="L110" i="4"/>
  <c r="J110" i="4"/>
  <c r="I110" i="4"/>
  <c r="P109" i="4"/>
  <c r="O109" i="4"/>
  <c r="M109" i="4"/>
  <c r="L109" i="4"/>
  <c r="J109" i="4"/>
  <c r="I109" i="4"/>
  <c r="P108" i="4"/>
  <c r="O108" i="4"/>
  <c r="M108" i="4"/>
  <c r="L108" i="4"/>
  <c r="J108" i="4"/>
  <c r="I108" i="4"/>
  <c r="P107" i="4"/>
  <c r="O107" i="4"/>
  <c r="M107" i="4"/>
  <c r="L107" i="4"/>
  <c r="J107" i="4"/>
  <c r="I107" i="4"/>
  <c r="P106" i="4"/>
  <c r="O106" i="4"/>
  <c r="M106" i="4"/>
  <c r="L106" i="4"/>
  <c r="J106" i="4"/>
  <c r="I106" i="4"/>
  <c r="P105" i="4"/>
  <c r="O105" i="4"/>
  <c r="M105" i="4"/>
  <c r="L105" i="4"/>
  <c r="J105" i="4"/>
  <c r="I105" i="4"/>
  <c r="P104" i="4"/>
  <c r="O104" i="4"/>
  <c r="M104" i="4"/>
  <c r="L104" i="4"/>
  <c r="J104" i="4"/>
  <c r="I104" i="4"/>
  <c r="P103" i="4"/>
  <c r="O103" i="4"/>
  <c r="M103" i="4"/>
  <c r="L103" i="4"/>
  <c r="J103" i="4"/>
  <c r="I103" i="4"/>
  <c r="P102" i="4"/>
  <c r="O102" i="4"/>
  <c r="M102" i="4"/>
  <c r="L102" i="4"/>
  <c r="J102" i="4"/>
  <c r="I102" i="4"/>
  <c r="P101" i="4"/>
  <c r="O101" i="4"/>
  <c r="M101" i="4"/>
  <c r="L101" i="4"/>
  <c r="J101" i="4"/>
  <c r="I101" i="4"/>
  <c r="P100" i="4"/>
  <c r="O100" i="4"/>
  <c r="M100" i="4"/>
  <c r="L100" i="4"/>
  <c r="J100" i="4"/>
  <c r="I100" i="4"/>
  <c r="P99" i="4"/>
  <c r="O99" i="4"/>
  <c r="M99" i="4"/>
  <c r="L99" i="4"/>
  <c r="J99" i="4"/>
  <c r="I99" i="4"/>
  <c r="P98" i="4"/>
  <c r="O98" i="4"/>
  <c r="M98" i="4"/>
  <c r="L98" i="4"/>
  <c r="J98" i="4"/>
  <c r="I98" i="4"/>
  <c r="P97" i="4"/>
  <c r="O97" i="4"/>
  <c r="M97" i="4"/>
  <c r="L97" i="4"/>
  <c r="J97" i="4"/>
  <c r="I97" i="4"/>
  <c r="P96" i="4"/>
  <c r="O96" i="4"/>
  <c r="M96" i="4"/>
  <c r="L96" i="4"/>
  <c r="J96" i="4"/>
  <c r="I96" i="4"/>
  <c r="P95" i="4"/>
  <c r="O95" i="4"/>
  <c r="M95" i="4"/>
  <c r="L95" i="4"/>
  <c r="J95" i="4"/>
  <c r="I95" i="4"/>
  <c r="P94" i="4"/>
  <c r="O94" i="4"/>
  <c r="M94" i="4"/>
  <c r="L94" i="4"/>
  <c r="J94" i="4"/>
  <c r="I94" i="4"/>
  <c r="P93" i="4"/>
  <c r="O93" i="4"/>
  <c r="M93" i="4"/>
  <c r="L93" i="4"/>
  <c r="J93" i="4"/>
  <c r="I93" i="4"/>
  <c r="P92" i="4"/>
  <c r="O92" i="4"/>
  <c r="M92" i="4"/>
  <c r="L92" i="4"/>
  <c r="J92" i="4"/>
  <c r="I92" i="4"/>
  <c r="P91" i="4"/>
  <c r="O91" i="4"/>
  <c r="M91" i="4"/>
  <c r="L91" i="4"/>
  <c r="J91" i="4"/>
  <c r="I91" i="4"/>
  <c r="P90" i="4"/>
  <c r="O90" i="4"/>
  <c r="M90" i="4"/>
  <c r="L90" i="4"/>
  <c r="J90" i="4"/>
  <c r="I90" i="4"/>
  <c r="P89" i="4"/>
  <c r="O89" i="4"/>
  <c r="M89" i="4"/>
  <c r="L89" i="4"/>
  <c r="J89" i="4"/>
  <c r="I89" i="4"/>
  <c r="P88" i="4"/>
  <c r="O88" i="4"/>
  <c r="M88" i="4"/>
  <c r="L88" i="4"/>
  <c r="J88" i="4"/>
  <c r="I88" i="4"/>
  <c r="P87" i="4"/>
  <c r="O87" i="4"/>
  <c r="M87" i="4"/>
  <c r="L87" i="4"/>
  <c r="J87" i="4"/>
  <c r="I87" i="4"/>
  <c r="P86" i="4"/>
  <c r="O86" i="4"/>
  <c r="M86" i="4"/>
  <c r="L86" i="4"/>
  <c r="J86" i="4"/>
  <c r="I86" i="4"/>
  <c r="P85" i="4"/>
  <c r="O85" i="4"/>
  <c r="M85" i="4"/>
  <c r="L85" i="4"/>
  <c r="J85" i="4"/>
  <c r="I85" i="4"/>
  <c r="P84" i="4"/>
  <c r="O84" i="4"/>
  <c r="M84" i="4"/>
  <c r="L84" i="4"/>
  <c r="J84" i="4"/>
  <c r="I84" i="4"/>
  <c r="P83" i="4"/>
  <c r="O83" i="4"/>
  <c r="M83" i="4"/>
  <c r="L83" i="4"/>
  <c r="J83" i="4"/>
  <c r="I83" i="4"/>
  <c r="P82" i="4"/>
  <c r="O82" i="4"/>
  <c r="M82" i="4"/>
  <c r="L82" i="4"/>
  <c r="J82" i="4"/>
  <c r="I82" i="4"/>
  <c r="P81" i="4"/>
  <c r="O81" i="4"/>
  <c r="M81" i="4"/>
  <c r="L81" i="4"/>
  <c r="J81" i="4"/>
  <c r="I81" i="4"/>
  <c r="P80" i="4"/>
  <c r="O80" i="4"/>
  <c r="M80" i="4"/>
  <c r="L80" i="4"/>
  <c r="J80" i="4"/>
  <c r="I80" i="4"/>
  <c r="P79" i="4"/>
  <c r="O79" i="4"/>
  <c r="M79" i="4"/>
  <c r="L79" i="4"/>
  <c r="J79" i="4"/>
  <c r="I79" i="4"/>
  <c r="O78" i="4"/>
  <c r="L78" i="4"/>
  <c r="J78" i="4"/>
  <c r="I78" i="4"/>
  <c r="O77" i="4"/>
  <c r="L77" i="4"/>
  <c r="J77" i="4"/>
  <c r="I77" i="4"/>
  <c r="O76" i="4"/>
  <c r="L76" i="4"/>
  <c r="J76" i="4"/>
  <c r="I76" i="4"/>
  <c r="O75" i="4"/>
  <c r="L75" i="4"/>
  <c r="J75" i="4"/>
  <c r="I75" i="4"/>
  <c r="O74" i="4"/>
  <c r="L74" i="4"/>
  <c r="I74" i="4"/>
  <c r="O73" i="4"/>
  <c r="L73" i="4"/>
  <c r="I73" i="4"/>
  <c r="O72" i="4"/>
  <c r="L72" i="4"/>
  <c r="I72" i="4"/>
  <c r="O71" i="4"/>
  <c r="L71" i="4"/>
  <c r="I71" i="4"/>
  <c r="D71" i="4"/>
  <c r="O70" i="4"/>
  <c r="L70" i="4"/>
  <c r="I70" i="4"/>
  <c r="O69" i="4"/>
  <c r="L69" i="4"/>
  <c r="I69" i="4"/>
  <c r="O68" i="4"/>
  <c r="L68" i="4"/>
  <c r="I68" i="4"/>
  <c r="D68" i="4"/>
  <c r="O67" i="4"/>
  <c r="L67" i="4"/>
  <c r="I67" i="4"/>
  <c r="D67" i="4"/>
  <c r="P66" i="4"/>
  <c r="O66" i="4"/>
  <c r="M66" i="4"/>
  <c r="L66" i="4"/>
  <c r="J66" i="4"/>
  <c r="I66" i="4"/>
  <c r="P65" i="4"/>
  <c r="O65" i="4"/>
  <c r="M65" i="4"/>
  <c r="L65" i="4"/>
  <c r="J65" i="4"/>
  <c r="I65" i="4"/>
  <c r="P64" i="4"/>
  <c r="O64" i="4"/>
  <c r="M64" i="4"/>
  <c r="L64" i="4"/>
  <c r="J64" i="4"/>
  <c r="I64" i="4"/>
  <c r="P63" i="4"/>
  <c r="O63" i="4"/>
  <c r="M63" i="4"/>
  <c r="L63" i="4"/>
  <c r="J63" i="4"/>
  <c r="I63" i="4"/>
  <c r="P62" i="4"/>
  <c r="O62" i="4"/>
  <c r="M62" i="4"/>
  <c r="L62" i="4"/>
  <c r="J62" i="4"/>
  <c r="I62" i="4"/>
  <c r="P61" i="4"/>
  <c r="O61" i="4"/>
  <c r="M61" i="4"/>
  <c r="L61" i="4"/>
  <c r="J61" i="4"/>
  <c r="I61" i="4"/>
  <c r="P60" i="4"/>
  <c r="O60" i="4"/>
  <c r="M60" i="4"/>
  <c r="L60" i="4"/>
  <c r="J60" i="4"/>
  <c r="I60" i="4"/>
  <c r="P59" i="4"/>
  <c r="O59" i="4"/>
  <c r="M59" i="4"/>
  <c r="L59" i="4"/>
  <c r="J59" i="4"/>
  <c r="I59" i="4"/>
  <c r="P58" i="4"/>
  <c r="O58" i="4"/>
  <c r="M58" i="4"/>
  <c r="L58" i="4"/>
  <c r="J58" i="4"/>
  <c r="I58" i="4"/>
  <c r="P57" i="4"/>
  <c r="O57" i="4"/>
  <c r="M57" i="4"/>
  <c r="L57" i="4"/>
  <c r="J57" i="4"/>
  <c r="I57" i="4"/>
  <c r="P56" i="4"/>
  <c r="O56" i="4"/>
  <c r="M56" i="4"/>
  <c r="L56" i="4"/>
  <c r="J56" i="4"/>
  <c r="I56" i="4"/>
  <c r="P55" i="4"/>
  <c r="O55" i="4"/>
  <c r="M55" i="4"/>
  <c r="L55" i="4"/>
  <c r="J55" i="4"/>
  <c r="I55" i="4"/>
  <c r="P54" i="4"/>
  <c r="O54" i="4"/>
  <c r="M54" i="4"/>
  <c r="L54" i="4"/>
  <c r="J54" i="4"/>
  <c r="I54" i="4"/>
  <c r="P53" i="4"/>
  <c r="O53" i="4"/>
  <c r="M53" i="4"/>
  <c r="L53" i="4"/>
  <c r="J53" i="4"/>
  <c r="I53" i="4"/>
  <c r="P52" i="4"/>
  <c r="O52" i="4"/>
  <c r="M52" i="4"/>
  <c r="L52" i="4"/>
  <c r="J52" i="4"/>
  <c r="I52" i="4"/>
  <c r="P51" i="4"/>
  <c r="O51" i="4"/>
  <c r="M51" i="4"/>
  <c r="L51" i="4"/>
  <c r="J51" i="4"/>
  <c r="I51" i="4"/>
  <c r="P50" i="4"/>
  <c r="O50" i="4"/>
  <c r="M50" i="4"/>
  <c r="L50" i="4"/>
  <c r="J50" i="4"/>
  <c r="I50" i="4"/>
  <c r="P49" i="4"/>
  <c r="O49" i="4"/>
  <c r="M49" i="4"/>
  <c r="L49" i="4"/>
  <c r="J49" i="4"/>
  <c r="I49" i="4"/>
  <c r="P48" i="4"/>
  <c r="O48" i="4"/>
  <c r="M48" i="4"/>
  <c r="L48" i="4"/>
  <c r="J48" i="4"/>
  <c r="I48" i="4"/>
  <c r="P47" i="4"/>
  <c r="O47" i="4"/>
  <c r="M47" i="4"/>
  <c r="L47" i="4"/>
  <c r="J47" i="4"/>
  <c r="I47" i="4"/>
  <c r="P46" i="4"/>
  <c r="O46" i="4"/>
  <c r="M46" i="4"/>
  <c r="L46" i="4"/>
  <c r="J46" i="4"/>
  <c r="I46" i="4"/>
  <c r="P45" i="4"/>
  <c r="O45" i="4"/>
  <c r="M45" i="4"/>
  <c r="L45" i="4"/>
  <c r="J45" i="4"/>
  <c r="I45" i="4"/>
  <c r="P44" i="4"/>
  <c r="O44" i="4"/>
  <c r="M44" i="4"/>
  <c r="L44" i="4"/>
  <c r="J44" i="4"/>
  <c r="I44" i="4"/>
  <c r="P43" i="4"/>
  <c r="O43" i="4"/>
  <c r="M43" i="4"/>
  <c r="L43" i="4"/>
  <c r="J43" i="4"/>
  <c r="I43" i="4"/>
  <c r="P42" i="4"/>
  <c r="O42" i="4"/>
  <c r="M42" i="4"/>
  <c r="L42" i="4"/>
  <c r="J42" i="4"/>
  <c r="I42" i="4"/>
  <c r="P41" i="4"/>
  <c r="O41" i="4"/>
  <c r="M41" i="4"/>
  <c r="L41" i="4"/>
  <c r="J41" i="4"/>
  <c r="I41" i="4"/>
  <c r="P40" i="4"/>
  <c r="O40" i="4"/>
  <c r="M40" i="4"/>
  <c r="L40" i="4"/>
  <c r="J40" i="4"/>
  <c r="I40" i="4"/>
  <c r="P39" i="4"/>
  <c r="O39" i="4"/>
  <c r="M39" i="4"/>
  <c r="L39" i="4"/>
  <c r="J39" i="4"/>
  <c r="I39" i="4"/>
  <c r="P38" i="4"/>
  <c r="O38" i="4"/>
  <c r="M38" i="4"/>
  <c r="L38" i="4"/>
  <c r="J38" i="4"/>
  <c r="I38" i="4"/>
  <c r="P37" i="4"/>
  <c r="O37" i="4"/>
  <c r="M37" i="4"/>
  <c r="L37" i="4"/>
  <c r="J37" i="4"/>
  <c r="I37" i="4"/>
  <c r="P36" i="4"/>
  <c r="O36" i="4"/>
  <c r="M36" i="4"/>
  <c r="L36" i="4"/>
  <c r="J36" i="4"/>
  <c r="I36" i="4"/>
  <c r="P35" i="4"/>
  <c r="O35" i="4"/>
  <c r="M35" i="4"/>
  <c r="L35" i="4"/>
  <c r="J35" i="4"/>
  <c r="I35" i="4"/>
  <c r="P34" i="4"/>
  <c r="O34" i="4"/>
  <c r="M34" i="4"/>
  <c r="L34" i="4"/>
  <c r="J34" i="4"/>
  <c r="I34" i="4"/>
  <c r="P33" i="4"/>
  <c r="O33" i="4"/>
  <c r="M33" i="4"/>
  <c r="L33" i="4"/>
  <c r="J33" i="4"/>
  <c r="I33" i="4"/>
  <c r="P32" i="4"/>
  <c r="O32" i="4"/>
  <c r="M32" i="4"/>
  <c r="L32" i="4"/>
  <c r="J32" i="4"/>
  <c r="I32" i="4"/>
  <c r="P31" i="4"/>
  <c r="O31" i="4"/>
  <c r="M31" i="4"/>
  <c r="L31" i="4"/>
  <c r="J31" i="4"/>
  <c r="I31" i="4"/>
  <c r="P30" i="4"/>
  <c r="O30" i="4"/>
  <c r="M30" i="4"/>
  <c r="L30" i="4"/>
  <c r="J30" i="4"/>
  <c r="I30" i="4"/>
  <c r="P29" i="4"/>
  <c r="O29" i="4"/>
  <c r="M29" i="4"/>
  <c r="L29" i="4"/>
  <c r="J29" i="4"/>
  <c r="I29" i="4"/>
  <c r="P28" i="4"/>
  <c r="O28" i="4"/>
  <c r="M28" i="4"/>
  <c r="L28" i="4"/>
  <c r="J28" i="4"/>
  <c r="I28" i="4"/>
  <c r="P27" i="4"/>
  <c r="O27" i="4"/>
  <c r="M27" i="4"/>
  <c r="L27" i="4"/>
  <c r="J27" i="4"/>
  <c r="I27" i="4"/>
  <c r="P26" i="4"/>
  <c r="O26" i="4"/>
  <c r="M26" i="4"/>
  <c r="L26" i="4"/>
  <c r="J26" i="4"/>
  <c r="I26" i="4"/>
  <c r="P25" i="4"/>
  <c r="O25" i="4"/>
  <c r="M25" i="4"/>
  <c r="L25" i="4"/>
  <c r="J25" i="4"/>
  <c r="I25" i="4"/>
  <c r="P24" i="4"/>
  <c r="O24" i="4"/>
  <c r="M24" i="4"/>
  <c r="L24" i="4"/>
  <c r="J24" i="4"/>
  <c r="I24" i="4"/>
  <c r="P23" i="4"/>
  <c r="O23" i="4"/>
  <c r="M23" i="4"/>
  <c r="L23" i="4"/>
  <c r="J23" i="4"/>
  <c r="I23" i="4"/>
  <c r="P22" i="4"/>
  <c r="O22" i="4"/>
  <c r="M22" i="4"/>
  <c r="L22" i="4"/>
  <c r="J22" i="4"/>
  <c r="I22" i="4"/>
  <c r="P21" i="4"/>
  <c r="O21" i="4"/>
  <c r="M21" i="4"/>
  <c r="L21" i="4"/>
  <c r="J21" i="4"/>
  <c r="I21" i="4"/>
  <c r="O20" i="4"/>
  <c r="L20" i="4"/>
  <c r="J20" i="4"/>
  <c r="I20" i="4"/>
  <c r="O19" i="4"/>
  <c r="L19" i="4"/>
  <c r="J19" i="4"/>
  <c r="I19" i="4"/>
  <c r="O18" i="4"/>
  <c r="L18" i="4"/>
  <c r="J18" i="4"/>
  <c r="I18" i="4"/>
  <c r="O17" i="4"/>
  <c r="L17" i="4"/>
  <c r="J17" i="4"/>
  <c r="I17" i="4"/>
  <c r="O16" i="4"/>
  <c r="L16" i="4"/>
  <c r="I16" i="4"/>
  <c r="O15" i="4"/>
  <c r="L15" i="4"/>
  <c r="I15" i="4"/>
  <c r="O14" i="4"/>
  <c r="L14" i="4"/>
  <c r="I14" i="4"/>
  <c r="O13" i="4"/>
  <c r="L13" i="4"/>
  <c r="I13" i="4"/>
  <c r="D13" i="4"/>
  <c r="L12" i="4"/>
  <c r="I12" i="4"/>
  <c r="L11" i="4"/>
  <c r="I11" i="4"/>
  <c r="D11" i="4"/>
  <c r="L10" i="4"/>
  <c r="I10" i="4"/>
  <c r="D10" i="4"/>
  <c r="L9" i="4"/>
  <c r="I9" i="4"/>
  <c r="D9" i="4"/>
  <c r="I8" i="4"/>
  <c r="D8" i="4"/>
  <c r="I7" i="4"/>
  <c r="D7" i="4"/>
  <c r="I6" i="4"/>
  <c r="D6" i="4"/>
  <c r="I5" i="4"/>
  <c r="D5" i="4"/>
  <c r="P69" i="4" l="1"/>
  <c r="I149" i="4"/>
  <c r="L162" i="4"/>
  <c r="J12" i="4"/>
  <c r="P78" i="4"/>
  <c r="L182" i="4"/>
  <c r="I178" i="4"/>
  <c r="L166" i="4"/>
  <c r="I177" i="4"/>
  <c r="L181" i="4"/>
  <c r="L180" i="4"/>
  <c r="L178" i="4"/>
  <c r="L183" i="4"/>
  <c r="I179" i="4"/>
  <c r="P19" i="4"/>
  <c r="L170" i="4"/>
  <c r="L175" i="4"/>
  <c r="L179" i="4"/>
  <c r="L184" i="4"/>
  <c r="O178" i="4"/>
  <c r="I180" i="4"/>
  <c r="O179" i="4"/>
  <c r="O183" i="4"/>
  <c r="O182" i="4"/>
  <c r="O180" i="4"/>
  <c r="O181" i="4"/>
  <c r="O184" i="4"/>
  <c r="O139" i="4"/>
  <c r="J11" i="4"/>
  <c r="L149" i="4"/>
  <c r="L148" i="4"/>
  <c r="L158" i="4"/>
  <c r="L163" i="4"/>
  <c r="L167" i="4"/>
  <c r="L176" i="4"/>
  <c r="M13" i="4"/>
  <c r="L164" i="4"/>
  <c r="L168" i="4"/>
  <c r="L173" i="4"/>
  <c r="I151" i="4"/>
  <c r="L159" i="4"/>
  <c r="M14" i="4"/>
  <c r="M72" i="4"/>
  <c r="O170" i="4"/>
  <c r="I146" i="4"/>
  <c r="O175" i="4"/>
  <c r="M10" i="4"/>
  <c r="M17" i="4"/>
  <c r="M18" i="4"/>
  <c r="L142" i="4"/>
  <c r="L165" i="4"/>
  <c r="L169" i="4"/>
  <c r="L174" i="4"/>
  <c r="I170" i="4"/>
  <c r="I172" i="4"/>
  <c r="O176" i="4"/>
  <c r="I145" i="4"/>
  <c r="O151" i="4"/>
  <c r="I152" i="4"/>
  <c r="O172" i="4"/>
  <c r="O177" i="4"/>
  <c r="M9" i="4"/>
  <c r="J10" i="4"/>
  <c r="M11" i="4"/>
  <c r="J14" i="4"/>
  <c r="P14" i="4"/>
  <c r="M16" i="4"/>
  <c r="P18" i="4"/>
  <c r="M20" i="4"/>
  <c r="J67" i="4"/>
  <c r="P67" i="4"/>
  <c r="J68" i="4"/>
  <c r="P68" i="4"/>
  <c r="M70" i="4"/>
  <c r="M71" i="4"/>
  <c r="J73" i="4"/>
  <c r="P73" i="4"/>
  <c r="M75" i="4"/>
  <c r="P77" i="4"/>
  <c r="I138" i="4"/>
  <c r="O138" i="4"/>
  <c r="L140" i="4"/>
  <c r="L141" i="4"/>
  <c r="I143" i="4"/>
  <c r="O143" i="4"/>
  <c r="L147" i="4"/>
  <c r="O149" i="4"/>
  <c r="L153" i="4"/>
  <c r="I165" i="4"/>
  <c r="O165" i="4"/>
  <c r="I166" i="4"/>
  <c r="O166" i="4"/>
  <c r="I167" i="4"/>
  <c r="O167" i="4"/>
  <c r="I168" i="4"/>
  <c r="O168" i="4"/>
  <c r="I169" i="4"/>
  <c r="O169" i="4"/>
  <c r="L177" i="4"/>
  <c r="M12" i="4"/>
  <c r="J13" i="4"/>
  <c r="P13" i="4"/>
  <c r="M15" i="4"/>
  <c r="P17" i="4"/>
  <c r="M19" i="4"/>
  <c r="M69" i="4"/>
  <c r="J72" i="4"/>
  <c r="P72" i="4"/>
  <c r="M74" i="4"/>
  <c r="P76" i="4"/>
  <c r="M78" i="4"/>
  <c r="I136" i="4"/>
  <c r="O136" i="4"/>
  <c r="I137" i="4"/>
  <c r="O137" i="4"/>
  <c r="L139" i="4"/>
  <c r="I142" i="4"/>
  <c r="O142" i="4"/>
  <c r="L144" i="4"/>
  <c r="L145" i="4"/>
  <c r="L146" i="4"/>
  <c r="I148" i="4"/>
  <c r="O148" i="4"/>
  <c r="L150" i="4"/>
  <c r="L151" i="4"/>
  <c r="L152" i="4"/>
  <c r="I154" i="4"/>
  <c r="O154" i="4"/>
  <c r="I155" i="4"/>
  <c r="O155" i="4"/>
  <c r="I156" i="4"/>
  <c r="O156" i="4"/>
  <c r="I157" i="4"/>
  <c r="O157" i="4"/>
  <c r="I158" i="4"/>
  <c r="O158" i="4"/>
  <c r="I159" i="4"/>
  <c r="O159" i="4"/>
  <c r="I160" i="4"/>
  <c r="O160" i="4"/>
  <c r="I161" i="4"/>
  <c r="O161" i="4"/>
  <c r="I162" i="4"/>
  <c r="O162" i="4"/>
  <c r="I163" i="4"/>
  <c r="O163" i="4"/>
  <c r="I164" i="4"/>
  <c r="O164" i="4"/>
  <c r="L171" i="4"/>
  <c r="L172" i="4"/>
  <c r="J5" i="4"/>
  <c r="J6" i="4"/>
  <c r="J7" i="4"/>
  <c r="J8" i="4"/>
  <c r="J9" i="4"/>
  <c r="J16" i="4"/>
  <c r="P16" i="4"/>
  <c r="P20" i="4"/>
  <c r="M67" i="4"/>
  <c r="M68" i="4"/>
  <c r="J70" i="4"/>
  <c r="P70" i="4"/>
  <c r="J71" i="4"/>
  <c r="P71" i="4"/>
  <c r="M73" i="4"/>
  <c r="P75" i="4"/>
  <c r="M77" i="4"/>
  <c r="L138" i="4"/>
  <c r="I140" i="4"/>
  <c r="O140" i="4"/>
  <c r="I141" i="4"/>
  <c r="O141" i="4"/>
  <c r="L143" i="4"/>
  <c r="I147" i="4"/>
  <c r="O147" i="4"/>
  <c r="I153" i="4"/>
  <c r="O153" i="4"/>
  <c r="I173" i="4"/>
  <c r="O173" i="4"/>
  <c r="I174" i="4"/>
  <c r="O174" i="4"/>
  <c r="I175" i="4"/>
  <c r="I176" i="4"/>
  <c r="J15" i="4"/>
  <c r="P15" i="4"/>
  <c r="J69" i="4"/>
  <c r="J74" i="4"/>
  <c r="P74" i="4"/>
  <c r="M76" i="4"/>
  <c r="L136" i="4"/>
  <c r="L137" i="4"/>
  <c r="I139" i="4"/>
  <c r="I144" i="4"/>
  <c r="O144" i="4"/>
  <c r="O145" i="4"/>
  <c r="O146" i="4"/>
  <c r="O150" i="4"/>
  <c r="O152" i="4"/>
  <c r="L154" i="4"/>
  <c r="L155" i="4"/>
  <c r="L156" i="4"/>
  <c r="L157" i="4"/>
  <c r="L160" i="4"/>
  <c r="L161" i="4"/>
  <c r="I171" i="4"/>
  <c r="O171" i="4"/>
  <c r="P177" i="1" l="1"/>
  <c r="M177" i="1"/>
  <c r="J177" i="1"/>
  <c r="C177" i="1"/>
  <c r="P176" i="1"/>
  <c r="M176" i="1"/>
  <c r="J176" i="1"/>
  <c r="P175" i="1"/>
  <c r="M175" i="1"/>
  <c r="J175" i="1"/>
  <c r="C175" i="1"/>
  <c r="P174" i="1"/>
  <c r="M174" i="1"/>
  <c r="J174" i="1"/>
  <c r="C174" i="1"/>
  <c r="P173" i="1"/>
  <c r="M173" i="1"/>
  <c r="J173" i="1"/>
  <c r="C173" i="1"/>
  <c r="P172" i="1"/>
  <c r="M172" i="1"/>
  <c r="J172" i="1"/>
  <c r="C172" i="1"/>
  <c r="P171" i="1"/>
  <c r="M171" i="1"/>
  <c r="J171" i="1"/>
  <c r="C171" i="1"/>
  <c r="P170" i="1"/>
  <c r="M170" i="1"/>
  <c r="J170" i="1"/>
  <c r="C170" i="1"/>
  <c r="P169" i="1"/>
  <c r="M169" i="1"/>
  <c r="J169" i="1"/>
  <c r="C169" i="1"/>
  <c r="P168" i="1"/>
  <c r="M168" i="1"/>
  <c r="J168" i="1"/>
  <c r="C168" i="1"/>
  <c r="P167" i="1"/>
  <c r="M167" i="1"/>
  <c r="J167" i="1"/>
  <c r="C167" i="1"/>
  <c r="P166" i="1"/>
  <c r="M166" i="1"/>
  <c r="J166" i="1"/>
  <c r="P165" i="1"/>
  <c r="M165" i="1"/>
  <c r="J165" i="1"/>
  <c r="P164" i="1"/>
  <c r="M164" i="1"/>
  <c r="J164" i="1"/>
  <c r="C164" i="1"/>
  <c r="P163" i="1"/>
  <c r="M163" i="1"/>
  <c r="J163" i="1"/>
  <c r="P162" i="1"/>
  <c r="M162" i="1"/>
  <c r="J162" i="1"/>
  <c r="C162" i="1"/>
  <c r="P161" i="1"/>
  <c r="M161" i="1"/>
  <c r="J161" i="1"/>
  <c r="C161" i="1"/>
  <c r="P160" i="1"/>
  <c r="M160" i="1"/>
  <c r="J160" i="1"/>
  <c r="P159" i="1"/>
  <c r="M159" i="1"/>
  <c r="J159" i="1"/>
  <c r="C159" i="1"/>
  <c r="P158" i="1"/>
  <c r="M158" i="1"/>
  <c r="J158" i="1"/>
  <c r="P157" i="1"/>
  <c r="M157" i="1"/>
  <c r="J157" i="1"/>
  <c r="P156" i="1"/>
  <c r="M156" i="1"/>
  <c r="J156" i="1"/>
  <c r="P155" i="1"/>
  <c r="M155" i="1"/>
  <c r="J155" i="1"/>
  <c r="C155" i="1"/>
  <c r="P154" i="1"/>
  <c r="M154" i="1"/>
  <c r="J154" i="1"/>
  <c r="C154" i="1"/>
  <c r="P153" i="1"/>
  <c r="M153" i="1"/>
  <c r="J153" i="1"/>
  <c r="I153" i="1"/>
  <c r="P152" i="1"/>
  <c r="M152" i="1"/>
  <c r="J152" i="1"/>
  <c r="I152" i="1"/>
  <c r="P151" i="1"/>
  <c r="M151" i="1"/>
  <c r="J151" i="1"/>
  <c r="I151" i="1"/>
  <c r="P150" i="1"/>
  <c r="M150" i="1"/>
  <c r="J150" i="1"/>
  <c r="P149" i="1"/>
  <c r="M149" i="1"/>
  <c r="J149" i="1"/>
  <c r="P148" i="1"/>
  <c r="M148" i="1"/>
  <c r="J148" i="1"/>
  <c r="P147" i="1"/>
  <c r="M147" i="1"/>
  <c r="J147" i="1"/>
  <c r="C147" i="1"/>
  <c r="P146" i="1"/>
  <c r="M146" i="1"/>
  <c r="J146" i="1"/>
  <c r="P145" i="1"/>
  <c r="M145" i="1"/>
  <c r="J145" i="1"/>
  <c r="P144" i="1"/>
  <c r="M144" i="1"/>
  <c r="J144" i="1"/>
  <c r="P143" i="1"/>
  <c r="M143" i="1"/>
  <c r="J143" i="1"/>
  <c r="C143" i="1"/>
  <c r="P142" i="1"/>
  <c r="M142" i="1"/>
  <c r="J142" i="1"/>
  <c r="C142" i="1"/>
  <c r="P141" i="1"/>
  <c r="M141" i="1"/>
  <c r="J141" i="1"/>
  <c r="P140" i="1"/>
  <c r="M140" i="1"/>
  <c r="J140" i="1"/>
  <c r="C140" i="1"/>
  <c r="P139" i="1"/>
  <c r="O139" i="1"/>
  <c r="M139" i="1"/>
  <c r="L139" i="1"/>
  <c r="J139" i="1"/>
  <c r="I139" i="1"/>
  <c r="P138" i="1"/>
  <c r="O138" i="1"/>
  <c r="M138" i="1"/>
  <c r="L138" i="1"/>
  <c r="J138" i="1"/>
  <c r="I138" i="1"/>
  <c r="P137" i="1"/>
  <c r="O137" i="1"/>
  <c r="M137" i="1"/>
  <c r="L137" i="1"/>
  <c r="J137" i="1"/>
  <c r="I137" i="1"/>
  <c r="P136" i="1"/>
  <c r="O136" i="1"/>
  <c r="M136" i="1"/>
  <c r="L136" i="1"/>
  <c r="J136" i="1"/>
  <c r="I136" i="1"/>
  <c r="P135" i="1"/>
  <c r="O135" i="1"/>
  <c r="M135" i="1"/>
  <c r="L135" i="1"/>
  <c r="J135" i="1"/>
  <c r="I135" i="1"/>
  <c r="P134" i="1"/>
  <c r="O134" i="1"/>
  <c r="M134" i="1"/>
  <c r="L134" i="1"/>
  <c r="J134" i="1"/>
  <c r="I134" i="1"/>
  <c r="P133" i="1"/>
  <c r="O133" i="1"/>
  <c r="M133" i="1"/>
  <c r="L133" i="1"/>
  <c r="J133" i="1"/>
  <c r="I133" i="1"/>
  <c r="P132" i="1"/>
  <c r="O132" i="1"/>
  <c r="M132" i="1"/>
  <c r="L132" i="1"/>
  <c r="J132" i="1"/>
  <c r="I132" i="1"/>
  <c r="P131" i="1"/>
  <c r="O131" i="1"/>
  <c r="M131" i="1"/>
  <c r="L131" i="1"/>
  <c r="J131" i="1"/>
  <c r="I131" i="1"/>
  <c r="P130" i="1"/>
  <c r="O130" i="1"/>
  <c r="M130" i="1"/>
  <c r="L130" i="1"/>
  <c r="J130" i="1"/>
  <c r="I130" i="1"/>
  <c r="P129" i="1"/>
  <c r="O129" i="1"/>
  <c r="M129" i="1"/>
  <c r="L129" i="1"/>
  <c r="J129" i="1"/>
  <c r="I129" i="1"/>
  <c r="P128" i="1"/>
  <c r="O128" i="1"/>
  <c r="M128" i="1"/>
  <c r="L128" i="1"/>
  <c r="J128" i="1"/>
  <c r="I128" i="1"/>
  <c r="P127" i="1"/>
  <c r="O127" i="1"/>
  <c r="M127" i="1"/>
  <c r="L127" i="1"/>
  <c r="J127" i="1"/>
  <c r="I127" i="1"/>
  <c r="P126" i="1"/>
  <c r="O126" i="1"/>
  <c r="M126" i="1"/>
  <c r="L126" i="1"/>
  <c r="J126" i="1"/>
  <c r="I126" i="1"/>
  <c r="P125" i="1"/>
  <c r="O125" i="1"/>
  <c r="M125" i="1"/>
  <c r="L125" i="1"/>
  <c r="J125" i="1"/>
  <c r="I125" i="1"/>
  <c r="P124" i="1"/>
  <c r="O124" i="1"/>
  <c r="M124" i="1"/>
  <c r="L124" i="1"/>
  <c r="J124" i="1"/>
  <c r="I124" i="1"/>
  <c r="P123" i="1"/>
  <c r="O123" i="1"/>
  <c r="M123" i="1"/>
  <c r="L123" i="1"/>
  <c r="J123" i="1"/>
  <c r="I123" i="1"/>
  <c r="P122" i="1"/>
  <c r="O122" i="1"/>
  <c r="M122" i="1"/>
  <c r="L122" i="1"/>
  <c r="J122" i="1"/>
  <c r="I122" i="1"/>
  <c r="P121" i="1"/>
  <c r="O121" i="1"/>
  <c r="M121" i="1"/>
  <c r="L121" i="1"/>
  <c r="J121" i="1"/>
  <c r="I121" i="1"/>
  <c r="P120" i="1"/>
  <c r="O120" i="1"/>
  <c r="M120" i="1"/>
  <c r="L120" i="1"/>
  <c r="J120" i="1"/>
  <c r="I120" i="1"/>
  <c r="P119" i="1"/>
  <c r="O119" i="1"/>
  <c r="M119" i="1"/>
  <c r="L119" i="1"/>
  <c r="J119" i="1"/>
  <c r="I119" i="1"/>
  <c r="P118" i="1"/>
  <c r="O118" i="1"/>
  <c r="M118" i="1"/>
  <c r="L118" i="1"/>
  <c r="J118" i="1"/>
  <c r="I118" i="1"/>
  <c r="P117" i="1"/>
  <c r="O117" i="1"/>
  <c r="M117" i="1"/>
  <c r="L117" i="1"/>
  <c r="J117" i="1"/>
  <c r="I117" i="1"/>
  <c r="P116" i="1"/>
  <c r="O116" i="1"/>
  <c r="M116" i="1"/>
  <c r="L116" i="1"/>
  <c r="J116" i="1"/>
  <c r="I116" i="1"/>
  <c r="P115" i="1"/>
  <c r="O115" i="1"/>
  <c r="M115" i="1"/>
  <c r="L115" i="1"/>
  <c r="J115" i="1"/>
  <c r="I115" i="1"/>
  <c r="P114" i="1"/>
  <c r="O114" i="1"/>
  <c r="M114" i="1"/>
  <c r="L114" i="1"/>
  <c r="J114" i="1"/>
  <c r="I114" i="1"/>
  <c r="P113" i="1"/>
  <c r="O113" i="1"/>
  <c r="M113" i="1"/>
  <c r="L113" i="1"/>
  <c r="J113" i="1"/>
  <c r="I113" i="1"/>
  <c r="P112" i="1"/>
  <c r="O112" i="1"/>
  <c r="M112" i="1"/>
  <c r="L112" i="1"/>
  <c r="J112" i="1"/>
  <c r="I112" i="1"/>
  <c r="P111" i="1"/>
  <c r="O111" i="1"/>
  <c r="M111" i="1"/>
  <c r="L111" i="1"/>
  <c r="J111" i="1"/>
  <c r="I111" i="1"/>
  <c r="P110" i="1"/>
  <c r="O110" i="1"/>
  <c r="M110" i="1"/>
  <c r="L110" i="1"/>
  <c r="J110" i="1"/>
  <c r="I110" i="1"/>
  <c r="P109" i="1"/>
  <c r="O109" i="1"/>
  <c r="M109" i="1"/>
  <c r="L109" i="1"/>
  <c r="J109" i="1"/>
  <c r="I109" i="1"/>
  <c r="P108" i="1"/>
  <c r="O108" i="1"/>
  <c r="M108" i="1"/>
  <c r="L108" i="1"/>
  <c r="J108" i="1"/>
  <c r="I108" i="1"/>
  <c r="P107" i="1"/>
  <c r="O107" i="1"/>
  <c r="M107" i="1"/>
  <c r="L107" i="1"/>
  <c r="J107" i="1"/>
  <c r="I107" i="1"/>
  <c r="P106" i="1"/>
  <c r="O106" i="1"/>
  <c r="M106" i="1"/>
  <c r="L106" i="1"/>
  <c r="J106" i="1"/>
  <c r="I106" i="1"/>
  <c r="P105" i="1"/>
  <c r="O105" i="1"/>
  <c r="M105" i="1"/>
  <c r="L105" i="1"/>
  <c r="J105" i="1"/>
  <c r="I105" i="1"/>
  <c r="P104" i="1"/>
  <c r="O104" i="1"/>
  <c r="M104" i="1"/>
  <c r="L104" i="1"/>
  <c r="J104" i="1"/>
  <c r="I104" i="1"/>
  <c r="P103" i="1"/>
  <c r="O103" i="1"/>
  <c r="M103" i="1"/>
  <c r="L103" i="1"/>
  <c r="J103" i="1"/>
  <c r="I103" i="1"/>
  <c r="P102" i="1"/>
  <c r="O102" i="1"/>
  <c r="M102" i="1"/>
  <c r="L102" i="1"/>
  <c r="J102" i="1"/>
  <c r="I102" i="1"/>
  <c r="P101" i="1"/>
  <c r="O101" i="1"/>
  <c r="M101" i="1"/>
  <c r="L101" i="1"/>
  <c r="J101" i="1"/>
  <c r="I101" i="1"/>
  <c r="P100" i="1"/>
  <c r="O100" i="1"/>
  <c r="M100" i="1"/>
  <c r="L100" i="1"/>
  <c r="J100" i="1"/>
  <c r="I100" i="1"/>
  <c r="P99" i="1"/>
  <c r="O99" i="1"/>
  <c r="M99" i="1"/>
  <c r="L99" i="1"/>
  <c r="J99" i="1"/>
  <c r="I99" i="1"/>
  <c r="P98" i="1"/>
  <c r="O98" i="1"/>
  <c r="M98" i="1"/>
  <c r="L98" i="1"/>
  <c r="J98" i="1"/>
  <c r="I98" i="1"/>
  <c r="P97" i="1"/>
  <c r="O97" i="1"/>
  <c r="M97" i="1"/>
  <c r="L97" i="1"/>
  <c r="J97" i="1"/>
  <c r="I97" i="1"/>
  <c r="P96" i="1"/>
  <c r="O96" i="1"/>
  <c r="M96" i="1"/>
  <c r="L96" i="1"/>
  <c r="J96" i="1"/>
  <c r="I96" i="1"/>
  <c r="P95" i="1"/>
  <c r="O95" i="1"/>
  <c r="M95" i="1"/>
  <c r="L95" i="1"/>
  <c r="J95" i="1"/>
  <c r="I95" i="1"/>
  <c r="P94" i="1"/>
  <c r="O94" i="1"/>
  <c r="M94" i="1"/>
  <c r="L94" i="1"/>
  <c r="J94" i="1"/>
  <c r="I94" i="1"/>
  <c r="P93" i="1"/>
  <c r="O93" i="1"/>
  <c r="M93" i="1"/>
  <c r="L93" i="1"/>
  <c r="J93" i="1"/>
  <c r="I93" i="1"/>
  <c r="P92" i="1"/>
  <c r="O92" i="1"/>
  <c r="M92" i="1"/>
  <c r="L92" i="1"/>
  <c r="J92" i="1"/>
  <c r="I92" i="1"/>
  <c r="P91" i="1"/>
  <c r="O91" i="1"/>
  <c r="M91" i="1"/>
  <c r="L91" i="1"/>
  <c r="J91" i="1"/>
  <c r="I91" i="1"/>
  <c r="P90" i="1"/>
  <c r="O90" i="1"/>
  <c r="M90" i="1"/>
  <c r="L90" i="1"/>
  <c r="J90" i="1"/>
  <c r="I90" i="1"/>
  <c r="P89" i="1"/>
  <c r="O89" i="1"/>
  <c r="M89" i="1"/>
  <c r="L89" i="1"/>
  <c r="J89" i="1"/>
  <c r="I89" i="1"/>
  <c r="P88" i="1"/>
  <c r="O88" i="1"/>
  <c r="M88" i="1"/>
  <c r="L88" i="1"/>
  <c r="J88" i="1"/>
  <c r="I88" i="1"/>
  <c r="P87" i="1"/>
  <c r="O87" i="1"/>
  <c r="M87" i="1"/>
  <c r="L87" i="1"/>
  <c r="J87" i="1"/>
  <c r="I87" i="1"/>
  <c r="P86" i="1"/>
  <c r="O86" i="1"/>
  <c r="M86" i="1"/>
  <c r="L86" i="1"/>
  <c r="J86" i="1"/>
  <c r="I86" i="1"/>
  <c r="P85" i="1"/>
  <c r="O85" i="1"/>
  <c r="M85" i="1"/>
  <c r="L85" i="1"/>
  <c r="J85" i="1"/>
  <c r="I85" i="1"/>
  <c r="P84" i="1"/>
  <c r="O84" i="1"/>
  <c r="M84" i="1"/>
  <c r="L84" i="1"/>
  <c r="J84" i="1"/>
  <c r="I84" i="1"/>
  <c r="P83" i="1"/>
  <c r="O83" i="1"/>
  <c r="M83" i="1"/>
  <c r="L83" i="1"/>
  <c r="J83" i="1"/>
  <c r="I83" i="1"/>
  <c r="P82" i="1"/>
  <c r="O82" i="1"/>
  <c r="M82" i="1"/>
  <c r="L82" i="1"/>
  <c r="J82" i="1"/>
  <c r="I82" i="1"/>
  <c r="P81" i="1"/>
  <c r="O81" i="1"/>
  <c r="M81" i="1"/>
  <c r="L81" i="1"/>
  <c r="J81" i="1"/>
  <c r="I81" i="1"/>
  <c r="P80" i="1"/>
  <c r="O80" i="1"/>
  <c r="M80" i="1"/>
  <c r="L80" i="1"/>
  <c r="J80" i="1"/>
  <c r="I80" i="1"/>
  <c r="P79" i="1"/>
  <c r="O79" i="1"/>
  <c r="M79" i="1"/>
  <c r="L79" i="1"/>
  <c r="J79" i="1"/>
  <c r="I79" i="1"/>
  <c r="P78" i="1"/>
  <c r="O78" i="1"/>
  <c r="M78" i="1"/>
  <c r="L78" i="1"/>
  <c r="J78" i="1"/>
  <c r="I78" i="1"/>
  <c r="P77" i="1"/>
  <c r="O77" i="1"/>
  <c r="M77" i="1"/>
  <c r="L77" i="1"/>
  <c r="J77" i="1"/>
  <c r="I77" i="1"/>
  <c r="P76" i="1"/>
  <c r="O76" i="1"/>
  <c r="M76" i="1"/>
  <c r="L76" i="1"/>
  <c r="J76" i="1"/>
  <c r="I76" i="1"/>
  <c r="P75" i="1"/>
  <c r="O75" i="1"/>
  <c r="M75" i="1"/>
  <c r="L75" i="1"/>
  <c r="J75" i="1"/>
  <c r="I75" i="1"/>
  <c r="P74" i="1"/>
  <c r="O74" i="1"/>
  <c r="M74" i="1"/>
  <c r="L74" i="1"/>
  <c r="J74" i="1"/>
  <c r="I74" i="1"/>
  <c r="P73" i="1"/>
  <c r="O73" i="1"/>
  <c r="M73" i="1"/>
  <c r="L73" i="1"/>
  <c r="J73" i="1"/>
  <c r="I73" i="1"/>
  <c r="P72" i="1"/>
  <c r="O72" i="1"/>
  <c r="M72" i="1"/>
  <c r="L72" i="1"/>
  <c r="J72" i="1"/>
  <c r="I72" i="1"/>
  <c r="P71" i="1"/>
  <c r="O71" i="1"/>
  <c r="M71" i="1"/>
  <c r="L71" i="1"/>
  <c r="J71" i="1"/>
  <c r="I71" i="1"/>
  <c r="P70" i="1"/>
  <c r="O70" i="1"/>
  <c r="M70" i="1"/>
  <c r="L70" i="1"/>
  <c r="J70" i="1"/>
  <c r="I70" i="1"/>
  <c r="P69" i="1"/>
  <c r="O69" i="1"/>
  <c r="M69" i="1"/>
  <c r="L69" i="1"/>
  <c r="J69" i="1"/>
  <c r="I69" i="1"/>
  <c r="P68" i="1"/>
  <c r="O68" i="1"/>
  <c r="M68" i="1"/>
  <c r="L68" i="1"/>
  <c r="J68" i="1"/>
  <c r="I68" i="1"/>
  <c r="P67" i="1"/>
  <c r="O67" i="1"/>
  <c r="M67" i="1"/>
  <c r="L67" i="1"/>
  <c r="J67" i="1"/>
  <c r="I67" i="1"/>
  <c r="P66" i="1"/>
  <c r="O66" i="1"/>
  <c r="M66" i="1"/>
  <c r="L66" i="1"/>
  <c r="J66" i="1"/>
  <c r="I66" i="1"/>
  <c r="P65" i="1"/>
  <c r="O65" i="1"/>
  <c r="M65" i="1"/>
  <c r="L65" i="1"/>
  <c r="J65" i="1"/>
  <c r="I65" i="1"/>
  <c r="P64" i="1"/>
  <c r="O64" i="1"/>
  <c r="M64" i="1"/>
  <c r="L64" i="1"/>
  <c r="J64" i="1"/>
  <c r="I64" i="1"/>
  <c r="P63" i="1"/>
  <c r="O63" i="1"/>
  <c r="M63" i="1"/>
  <c r="L63" i="1"/>
  <c r="J63" i="1"/>
  <c r="I63" i="1"/>
  <c r="P62" i="1"/>
  <c r="O62" i="1"/>
  <c r="M62" i="1"/>
  <c r="L62" i="1"/>
  <c r="J62" i="1"/>
  <c r="I62" i="1"/>
  <c r="P61" i="1"/>
  <c r="O61" i="1"/>
  <c r="M61" i="1"/>
  <c r="L61" i="1"/>
  <c r="J61" i="1"/>
  <c r="I61" i="1"/>
  <c r="P60" i="1"/>
  <c r="O60" i="1"/>
  <c r="M60" i="1"/>
  <c r="L60" i="1"/>
  <c r="J60" i="1"/>
  <c r="I60" i="1"/>
  <c r="P59" i="1"/>
  <c r="O59" i="1"/>
  <c r="M59" i="1"/>
  <c r="L59" i="1"/>
  <c r="J59" i="1"/>
  <c r="I59" i="1"/>
  <c r="P58" i="1"/>
  <c r="O58" i="1"/>
  <c r="M58" i="1"/>
  <c r="L58" i="1"/>
  <c r="J58" i="1"/>
  <c r="I58" i="1"/>
  <c r="P57" i="1"/>
  <c r="O57" i="1"/>
  <c r="M57" i="1"/>
  <c r="L57" i="1"/>
  <c r="J57" i="1"/>
  <c r="I57" i="1"/>
  <c r="P56" i="1"/>
  <c r="O56" i="1"/>
  <c r="M56" i="1"/>
  <c r="L56" i="1"/>
  <c r="J56" i="1"/>
  <c r="I56" i="1"/>
  <c r="P55" i="1"/>
  <c r="O55" i="1"/>
  <c r="M55" i="1"/>
  <c r="L55" i="1"/>
  <c r="J55" i="1"/>
  <c r="I55" i="1"/>
  <c r="P54" i="1"/>
  <c r="O54" i="1"/>
  <c r="M54" i="1"/>
  <c r="L54" i="1"/>
  <c r="J54" i="1"/>
  <c r="I54" i="1"/>
  <c r="P53" i="1"/>
  <c r="O53" i="1"/>
  <c r="M53" i="1"/>
  <c r="L53" i="1"/>
  <c r="J53" i="1"/>
  <c r="I53" i="1"/>
  <c r="P52" i="1"/>
  <c r="O52" i="1"/>
  <c r="M52" i="1"/>
  <c r="L52" i="1"/>
  <c r="J52" i="1"/>
  <c r="I52" i="1"/>
  <c r="P51" i="1"/>
  <c r="O51" i="1"/>
  <c r="M51" i="1"/>
  <c r="L51" i="1"/>
  <c r="J51" i="1"/>
  <c r="I51" i="1"/>
  <c r="P50" i="1"/>
  <c r="O50" i="1"/>
  <c r="M50" i="1"/>
  <c r="L50" i="1"/>
  <c r="J50" i="1"/>
  <c r="I50" i="1"/>
  <c r="P49" i="1"/>
  <c r="O49" i="1"/>
  <c r="M49" i="1"/>
  <c r="L49" i="1"/>
  <c r="J49" i="1"/>
  <c r="I49" i="1"/>
  <c r="P48" i="1"/>
  <c r="O48" i="1"/>
  <c r="M48" i="1"/>
  <c r="L48" i="1"/>
  <c r="J48" i="1"/>
  <c r="I48" i="1"/>
  <c r="P47" i="1"/>
  <c r="O47" i="1"/>
  <c r="M47" i="1"/>
  <c r="L47" i="1"/>
  <c r="J47" i="1"/>
  <c r="I47" i="1"/>
  <c r="P46" i="1"/>
  <c r="O46" i="1"/>
  <c r="M46" i="1"/>
  <c r="L46" i="1"/>
  <c r="J46" i="1"/>
  <c r="I46" i="1"/>
  <c r="P45" i="1"/>
  <c r="O45" i="1"/>
  <c r="M45" i="1"/>
  <c r="L45" i="1"/>
  <c r="J45" i="1"/>
  <c r="I45" i="1"/>
  <c r="P44" i="1"/>
  <c r="O44" i="1"/>
  <c r="M44" i="1"/>
  <c r="L44" i="1"/>
  <c r="J44" i="1"/>
  <c r="I44" i="1"/>
  <c r="P43" i="1"/>
  <c r="O43" i="1"/>
  <c r="M43" i="1"/>
  <c r="L43" i="1"/>
  <c r="J43" i="1"/>
  <c r="I43" i="1"/>
  <c r="P42" i="1"/>
  <c r="O42" i="1"/>
  <c r="M42" i="1"/>
  <c r="L42" i="1"/>
  <c r="J42" i="1"/>
  <c r="I42" i="1"/>
  <c r="P41" i="1"/>
  <c r="O41" i="1"/>
  <c r="M41" i="1"/>
  <c r="L41" i="1"/>
  <c r="J41" i="1"/>
  <c r="I41" i="1"/>
  <c r="P40" i="1"/>
  <c r="O40" i="1"/>
  <c r="M40" i="1"/>
  <c r="L40" i="1"/>
  <c r="J40" i="1"/>
  <c r="I40" i="1"/>
  <c r="P39" i="1"/>
  <c r="O39" i="1"/>
  <c r="M39" i="1"/>
  <c r="L39" i="1"/>
  <c r="J39" i="1"/>
  <c r="I39" i="1"/>
  <c r="P38" i="1"/>
  <c r="O38" i="1"/>
  <c r="M38" i="1"/>
  <c r="L38" i="1"/>
  <c r="J38" i="1"/>
  <c r="I38" i="1"/>
  <c r="P37" i="1"/>
  <c r="O37" i="1"/>
  <c r="M37" i="1"/>
  <c r="L37" i="1"/>
  <c r="J37" i="1"/>
  <c r="I37" i="1"/>
  <c r="P36" i="1"/>
  <c r="O36" i="1"/>
  <c r="M36" i="1"/>
  <c r="L36" i="1"/>
  <c r="J36" i="1"/>
  <c r="I36" i="1"/>
  <c r="P35" i="1"/>
  <c r="O35" i="1"/>
  <c r="M35" i="1"/>
  <c r="L35" i="1"/>
  <c r="J35" i="1"/>
  <c r="I35" i="1"/>
  <c r="P34" i="1"/>
  <c r="O34" i="1"/>
  <c r="M34" i="1"/>
  <c r="L34" i="1"/>
  <c r="J34" i="1"/>
  <c r="I34" i="1"/>
  <c r="P33" i="1"/>
  <c r="O33" i="1"/>
  <c r="M33" i="1"/>
  <c r="L33" i="1"/>
  <c r="J33" i="1"/>
  <c r="I33" i="1"/>
  <c r="P32" i="1"/>
  <c r="O32" i="1"/>
  <c r="M32" i="1"/>
  <c r="L32" i="1"/>
  <c r="J32" i="1"/>
  <c r="I32" i="1"/>
  <c r="P31" i="1"/>
  <c r="O31" i="1"/>
  <c r="M31" i="1"/>
  <c r="L31" i="1"/>
  <c r="J31" i="1"/>
  <c r="I31" i="1"/>
  <c r="P30" i="1"/>
  <c r="O30" i="1"/>
  <c r="M30" i="1"/>
  <c r="L30" i="1"/>
  <c r="J30" i="1"/>
  <c r="I30" i="1"/>
  <c r="P29" i="1"/>
  <c r="O29" i="1"/>
  <c r="M29" i="1"/>
  <c r="L29" i="1"/>
  <c r="J29" i="1"/>
  <c r="I29" i="1"/>
  <c r="P28" i="1"/>
  <c r="O28" i="1"/>
  <c r="M28" i="1"/>
  <c r="L28" i="1"/>
  <c r="J28" i="1"/>
  <c r="I28" i="1"/>
  <c r="P27" i="1"/>
  <c r="O27" i="1"/>
  <c r="M27" i="1"/>
  <c r="L27" i="1"/>
  <c r="J27" i="1"/>
  <c r="I27" i="1"/>
  <c r="P26" i="1"/>
  <c r="O26" i="1"/>
  <c r="M26" i="1"/>
  <c r="L26" i="1"/>
  <c r="J26" i="1"/>
  <c r="I26" i="1"/>
  <c r="P25" i="1"/>
  <c r="O25" i="1"/>
  <c r="M25" i="1"/>
  <c r="L25" i="1"/>
  <c r="J25" i="1"/>
  <c r="I25" i="1"/>
  <c r="P24" i="1"/>
  <c r="O24" i="1"/>
  <c r="M24" i="1"/>
  <c r="L24" i="1"/>
  <c r="J24" i="1"/>
  <c r="I24" i="1"/>
  <c r="P23" i="1"/>
  <c r="O23" i="1"/>
  <c r="M23" i="1"/>
  <c r="L23" i="1"/>
  <c r="J23" i="1"/>
  <c r="I23" i="1"/>
  <c r="P22" i="1"/>
  <c r="O22" i="1"/>
  <c r="M22" i="1"/>
  <c r="L22" i="1"/>
  <c r="J22" i="1"/>
  <c r="I22" i="1"/>
  <c r="P21" i="1"/>
  <c r="O21" i="1"/>
  <c r="M21" i="1"/>
  <c r="L21" i="1"/>
  <c r="J21" i="1"/>
  <c r="I21" i="1"/>
  <c r="P20" i="1"/>
  <c r="O20" i="1"/>
  <c r="M20" i="1"/>
  <c r="L20" i="1"/>
  <c r="J20" i="1"/>
  <c r="I20" i="1"/>
  <c r="P19" i="1"/>
  <c r="O19" i="1"/>
  <c r="M19" i="1"/>
  <c r="L19" i="1"/>
  <c r="J19" i="1"/>
  <c r="I19" i="1"/>
  <c r="P18" i="1"/>
  <c r="O18" i="1"/>
  <c r="M18" i="1"/>
  <c r="L18" i="1"/>
  <c r="J18" i="1"/>
  <c r="I18" i="1"/>
  <c r="P17" i="1"/>
  <c r="O17" i="1"/>
  <c r="M17" i="1"/>
  <c r="L17" i="1"/>
  <c r="J17" i="1"/>
  <c r="I17" i="1"/>
  <c r="P16" i="1"/>
  <c r="O16" i="1"/>
  <c r="M16" i="1"/>
  <c r="L16" i="1"/>
  <c r="J16" i="1"/>
  <c r="I16" i="1"/>
  <c r="P15" i="1"/>
  <c r="O15" i="1"/>
  <c r="M15" i="1"/>
  <c r="L15" i="1"/>
  <c r="J15" i="1"/>
  <c r="I15" i="1"/>
  <c r="P14" i="1"/>
  <c r="O14" i="1"/>
  <c r="M14" i="1"/>
  <c r="L14" i="1"/>
  <c r="J14" i="1"/>
  <c r="I14" i="1"/>
  <c r="P13" i="1"/>
  <c r="O13" i="1"/>
  <c r="M13" i="1"/>
  <c r="L13" i="1"/>
  <c r="J13" i="1"/>
  <c r="I13" i="1"/>
  <c r="M12" i="1"/>
  <c r="L12" i="1"/>
  <c r="J12" i="1"/>
  <c r="I12" i="1"/>
  <c r="M11" i="1"/>
  <c r="L11" i="1"/>
  <c r="J11" i="1"/>
  <c r="I11" i="1"/>
  <c r="M10" i="1"/>
  <c r="L10" i="1"/>
  <c r="J10" i="1"/>
  <c r="I10" i="1"/>
  <c r="M9" i="1"/>
  <c r="L9" i="1"/>
  <c r="J9" i="1"/>
  <c r="I9" i="1"/>
  <c r="J8" i="1"/>
  <c r="I8" i="1"/>
  <c r="J7" i="1"/>
  <c r="I7" i="1"/>
  <c r="J6" i="1"/>
  <c r="I6" i="1"/>
  <c r="J5" i="1"/>
  <c r="I5" i="1"/>
  <c r="O140" i="1" l="1"/>
  <c r="I146" i="1"/>
  <c r="I170" i="1"/>
  <c r="L177" i="1"/>
  <c r="L164" i="1"/>
  <c r="O162" i="1"/>
  <c r="O176" i="1"/>
  <c r="L182" i="1"/>
  <c r="I178" i="1"/>
  <c r="L145" i="1"/>
  <c r="L150" i="1"/>
  <c r="O152" i="1"/>
  <c r="O151" i="1"/>
  <c r="O171" i="1"/>
  <c r="I168" i="1"/>
  <c r="O174" i="1"/>
  <c r="L178" i="1"/>
  <c r="I172" i="1"/>
  <c r="O175" i="1"/>
  <c r="L180" i="1"/>
  <c r="O143" i="1"/>
  <c r="L144" i="1"/>
  <c r="O147" i="1"/>
  <c r="L149" i="1"/>
  <c r="L156" i="1"/>
  <c r="I159" i="1"/>
  <c r="L174" i="1"/>
  <c r="O177" i="1"/>
  <c r="L184" i="1"/>
  <c r="L183" i="1"/>
  <c r="I179" i="1"/>
  <c r="I180" i="1"/>
  <c r="O178" i="1"/>
  <c r="O179" i="1"/>
  <c r="O182" i="1"/>
  <c r="O181" i="1"/>
  <c r="O180" i="1"/>
  <c r="O184" i="1"/>
  <c r="O183" i="1"/>
  <c r="I140" i="1"/>
  <c r="O146" i="1"/>
  <c r="I147" i="1"/>
  <c r="L153" i="1"/>
  <c r="O159" i="1"/>
  <c r="I160" i="1"/>
  <c r="L165" i="1"/>
  <c r="O172" i="1"/>
  <c r="I169" i="1"/>
  <c r="O173" i="1"/>
  <c r="I171" i="1"/>
  <c r="I175" i="1"/>
  <c r="L179" i="1"/>
  <c r="I173" i="1"/>
  <c r="I177" i="1"/>
  <c r="L181" i="1"/>
  <c r="L176" i="1"/>
  <c r="L155" i="1"/>
  <c r="I165" i="1"/>
  <c r="L141" i="1"/>
  <c r="L142" i="1"/>
  <c r="L143" i="1"/>
  <c r="I145" i="1"/>
  <c r="O145" i="1"/>
  <c r="L148" i="1"/>
  <c r="I150" i="1"/>
  <c r="O150" i="1"/>
  <c r="L152" i="1"/>
  <c r="I156" i="1"/>
  <c r="O156" i="1"/>
  <c r="L158" i="1"/>
  <c r="L159" i="1"/>
  <c r="I163" i="1"/>
  <c r="O163" i="1"/>
  <c r="I164" i="1"/>
  <c r="O164" i="1"/>
  <c r="L166" i="1"/>
  <c r="L167" i="1"/>
  <c r="L168" i="1"/>
  <c r="L169" i="1"/>
  <c r="L170" i="1"/>
  <c r="L171" i="1"/>
  <c r="L172" i="1"/>
  <c r="L173" i="1"/>
  <c r="L175" i="1"/>
  <c r="L154" i="1"/>
  <c r="I157" i="1"/>
  <c r="L160" i="1"/>
  <c r="O165" i="1"/>
  <c r="L140" i="1"/>
  <c r="I144" i="1"/>
  <c r="O144" i="1"/>
  <c r="L146" i="1"/>
  <c r="L147" i="1"/>
  <c r="I149" i="1"/>
  <c r="O149" i="1"/>
  <c r="L151" i="1"/>
  <c r="O153" i="1"/>
  <c r="I154" i="1"/>
  <c r="O154" i="1"/>
  <c r="I155" i="1"/>
  <c r="O155" i="1"/>
  <c r="L157" i="1"/>
  <c r="O160" i="1"/>
  <c r="I161" i="1"/>
  <c r="O161" i="1"/>
  <c r="I162" i="1"/>
  <c r="I176" i="1"/>
  <c r="O157" i="1"/>
  <c r="L161" i="1"/>
  <c r="L162" i="1"/>
  <c r="I141" i="1"/>
  <c r="O141" i="1"/>
  <c r="I142" i="1"/>
  <c r="O142" i="1"/>
  <c r="I143" i="1"/>
  <c r="I148" i="1"/>
  <c r="O148" i="1"/>
  <c r="I158" i="1"/>
  <c r="O158" i="1"/>
  <c r="L163" i="1"/>
  <c r="I166" i="1"/>
  <c r="O166" i="1"/>
  <c r="I167" i="1"/>
  <c r="O167" i="1"/>
  <c r="O168" i="1"/>
  <c r="O169" i="1"/>
  <c r="O170" i="1"/>
  <c r="I174" i="1"/>
</calcChain>
</file>

<file path=xl/sharedStrings.xml><?xml version="1.0" encoding="utf-8"?>
<sst xmlns="http://schemas.openxmlformats.org/spreadsheetml/2006/main" count="558" uniqueCount="295">
  <si>
    <t>Week</t>
  </si>
  <si>
    <t>Date</t>
  </si>
  <si>
    <t>Hours (bike)</t>
  </si>
  <si>
    <t>TSS</t>
  </si>
  <si>
    <t>Gym</t>
  </si>
  <si>
    <t>kJ</t>
  </si>
  <si>
    <t>8 Wk Weighted H</t>
  </si>
  <si>
    <t>8 Wk Weighted TSS</t>
  </si>
  <si>
    <t>8 Wk Log H</t>
  </si>
  <si>
    <t>8 Wk Log TSS</t>
  </si>
  <si>
    <t>Start post worlds</t>
  </si>
  <si>
    <t>First NZ lockdown</t>
  </si>
  <si>
    <t>Olympics Postponed</t>
  </si>
  <si>
    <t>Southland 2020</t>
  </si>
  <si>
    <t>Omnium + mado nats</t>
  </si>
  <si>
    <t>Nelson camp</t>
  </si>
  <si>
    <t>NZCC 2021</t>
  </si>
  <si>
    <t>Elite roads</t>
  </si>
  <si>
    <t>Track nationals 21</t>
  </si>
  <si>
    <t>Turangi camp</t>
  </si>
  <si>
    <t>Hastings camp</t>
  </si>
  <si>
    <t>Nelson Camp</t>
  </si>
  <si>
    <t>Final prep</t>
  </si>
  <si>
    <t>Arrived Tokyo</t>
  </si>
  <si>
    <t>Europe</t>
  </si>
  <si>
    <t>Norway</t>
  </si>
  <si>
    <t>Hauts de France</t>
  </si>
  <si>
    <t>MIQ</t>
  </si>
  <si>
    <t>Southland 21</t>
  </si>
  <si>
    <t>NZCC 2022</t>
  </si>
  <si>
    <t>Oman</t>
  </si>
  <si>
    <t>UAE</t>
  </si>
  <si>
    <t>Paris Nice</t>
  </si>
  <si>
    <t>Turkey</t>
  </si>
  <si>
    <t>Glasgow NC</t>
  </si>
  <si>
    <t>Estonia</t>
  </si>
  <si>
    <t>Arrive Grenchen</t>
  </si>
  <si>
    <t>Commies</t>
  </si>
  <si>
    <t>Track Worlds</t>
  </si>
  <si>
    <t>Start Training again</t>
  </si>
  <si>
    <t>C1/C2</t>
  </si>
  <si>
    <t>TDU</t>
  </si>
  <si>
    <t>Cadel Evans GORR</t>
  </si>
  <si>
    <t>Nationals RR</t>
  </si>
  <si>
    <t>Jakarta NC</t>
  </si>
  <si>
    <t>Covid</t>
  </si>
  <si>
    <t>Roubaix</t>
  </si>
  <si>
    <t>Sicily</t>
  </si>
  <si>
    <t>Giro</t>
  </si>
  <si>
    <t>Grenchen track camp</t>
  </si>
  <si>
    <t>Worlds camp</t>
  </si>
  <si>
    <t>World track</t>
  </si>
  <si>
    <t xml:space="preserve">Head cold </t>
  </si>
  <si>
    <t>Cold/sick at end of week</t>
  </si>
  <si>
    <t>CRO race</t>
  </si>
  <si>
    <t>Start off season</t>
  </si>
  <si>
    <t xml:space="preserve">Torquey + Cadels </t>
  </si>
  <si>
    <t>Adelaide NC</t>
  </si>
  <si>
    <t>Light cold/Oman</t>
  </si>
  <si>
    <t xml:space="preserve">Opening weekend </t>
  </si>
  <si>
    <t>Tirreno (sick)</t>
  </si>
  <si>
    <t>HK NC</t>
  </si>
  <si>
    <t>Travel to NZ</t>
  </si>
  <si>
    <t xml:space="preserve">Travel to Europe </t>
  </si>
  <si>
    <t>Hungary crash</t>
  </si>
  <si>
    <t>Andorra camp start</t>
  </si>
  <si>
    <t>Grenchen camp start</t>
  </si>
  <si>
    <t>Olympics</t>
  </si>
  <si>
    <t>Renewi tour</t>
  </si>
  <si>
    <t xml:space="preserve">Slight sickness </t>
  </si>
  <si>
    <t>plus running</t>
  </si>
  <si>
    <t>Plus running</t>
  </si>
  <si>
    <t xml:space="preserve">Surf coast + Cadels </t>
  </si>
  <si>
    <t xml:space="preserve">Trak Oceas </t>
  </si>
  <si>
    <t>Het Neuisblad</t>
  </si>
  <si>
    <t>Turkey NC</t>
  </si>
  <si>
    <t>Denain + Korkside</t>
  </si>
  <si>
    <t>Coppi e Bartali</t>
  </si>
  <si>
    <t>Hellas</t>
  </si>
  <si>
    <t>Schelderpreijs</t>
  </si>
  <si>
    <t>Romandie (Knee pain)</t>
  </si>
  <si>
    <t>Knee rehab</t>
  </si>
  <si>
    <t>Wallonie</t>
  </si>
  <si>
    <t>Sick</t>
  </si>
  <si>
    <t xml:space="preserve">Covid positive </t>
  </si>
  <si>
    <t>4 Wk Hours</t>
  </si>
  <si>
    <t>4 Wk TSS</t>
  </si>
  <si>
    <t>Start structured training</t>
  </si>
  <si>
    <t>Southland 2021</t>
  </si>
  <si>
    <t>Track nationals 22</t>
  </si>
  <si>
    <t>Oceania Track</t>
  </si>
  <si>
    <t>C2</t>
  </si>
  <si>
    <t>Milton</t>
  </si>
  <si>
    <t>USA</t>
  </si>
  <si>
    <t>Dairylands</t>
  </si>
  <si>
    <t>Fly to USA</t>
  </si>
  <si>
    <t>Back to NZ, covid</t>
  </si>
  <si>
    <t>Southland 23</t>
  </si>
  <si>
    <t>Got a cold</t>
  </si>
  <si>
    <t>Cadel Evan GORR</t>
  </si>
  <si>
    <t xml:space="preserve">Road nationals </t>
  </si>
  <si>
    <t>Cairo</t>
  </si>
  <si>
    <t>Oceas</t>
  </si>
  <si>
    <t>Oceas track + road</t>
  </si>
  <si>
    <t>Travel to Europe</t>
  </si>
  <si>
    <t>Loir et Cher</t>
  </si>
  <si>
    <t>Rutland</t>
  </si>
  <si>
    <t>Bahen Tournee</t>
  </si>
  <si>
    <t>Grenchen Training camp</t>
  </si>
  <si>
    <t>Worlds Camp</t>
  </si>
  <si>
    <t>Taihu lake (Win!)</t>
  </si>
  <si>
    <t>Langkawi start</t>
  </si>
  <si>
    <t xml:space="preserve">Langkawi </t>
  </si>
  <si>
    <t>Hainan</t>
  </si>
  <si>
    <t>"Camp" start</t>
  </si>
  <si>
    <t>Cycle Classic</t>
  </si>
  <si>
    <t xml:space="preserve">Injured from crash </t>
  </si>
  <si>
    <t>Track Nationals</t>
  </si>
  <si>
    <t>Hong Kong NC</t>
  </si>
  <si>
    <t>Route Adelie</t>
  </si>
  <si>
    <t>Pays de la Loire + travel to Aus</t>
  </si>
  <si>
    <t>Oceania road</t>
  </si>
  <si>
    <t>Tour of Turkey</t>
  </si>
  <si>
    <t xml:space="preserve">Tour of Hellas </t>
  </si>
  <si>
    <t>Last Andorra week</t>
  </si>
  <si>
    <t>Olympics (reserve)</t>
  </si>
  <si>
    <t>Trans Himalaya</t>
  </si>
  <si>
    <t>Taihu</t>
  </si>
  <si>
    <t>Sharjah tour</t>
  </si>
  <si>
    <t>Almeria</t>
  </si>
  <si>
    <t>Jaen</t>
  </si>
  <si>
    <t>Cholet paid de Loire</t>
  </si>
  <si>
    <t>Tourange</t>
  </si>
  <si>
    <t>L'aulnes + Tro-Bro</t>
  </si>
  <si>
    <t xml:space="preserve">Altitude tent </t>
  </si>
  <si>
    <t>Copenhagen sprint</t>
  </si>
  <si>
    <t>Travel to + start Qinghai</t>
  </si>
  <si>
    <t xml:space="preserve">Qinghai Lake </t>
  </si>
  <si>
    <t>Fiorenzuola</t>
  </si>
  <si>
    <t>Sore Knee</t>
  </si>
  <si>
    <t>Oceania</t>
  </si>
  <si>
    <t>Sick (Chest infection)</t>
  </si>
  <si>
    <t>Southland 2022</t>
  </si>
  <si>
    <t>Mado &amp; Omnium nats</t>
  </si>
  <si>
    <t>Raro</t>
  </si>
  <si>
    <t>Positive Covid</t>
  </si>
  <si>
    <t>NZCC 2023</t>
  </si>
  <si>
    <t>Taiwan</t>
  </si>
  <si>
    <t xml:space="preserve">Track worlds </t>
  </si>
  <si>
    <t>Travel home</t>
  </si>
  <si>
    <t>Easy week</t>
  </si>
  <si>
    <t>Poyang lake</t>
  </si>
  <si>
    <t>Poynag-Binzou</t>
  </si>
  <si>
    <t>Southland</t>
  </si>
  <si>
    <t>Cycle classic</t>
  </si>
  <si>
    <t>Gastro</t>
  </si>
  <si>
    <t>SLD handicap and track</t>
  </si>
  <si>
    <t>Track nationals</t>
  </si>
  <si>
    <t>SI flare up</t>
  </si>
  <si>
    <t>Travel to Thailand</t>
  </si>
  <si>
    <t xml:space="preserve">Tour of Thailand </t>
  </si>
  <si>
    <t>Huangshan</t>
  </si>
  <si>
    <t xml:space="preserve">Taihu Lake </t>
  </si>
  <si>
    <t>Chinese national 2 day tour</t>
  </si>
  <si>
    <t>Southland start</t>
  </si>
  <si>
    <t>Rest</t>
  </si>
  <si>
    <t>Cortisone Injection</t>
  </si>
  <si>
    <t>CHCH carnival</t>
  </si>
  <si>
    <t xml:space="preserve">Southland track + Crit nats </t>
  </si>
  <si>
    <t>Track Oceas</t>
  </si>
  <si>
    <t>Made up kJ</t>
  </si>
  <si>
    <t>Travel</t>
  </si>
  <si>
    <t>HTV Cup</t>
  </si>
  <si>
    <t>Home</t>
  </si>
  <si>
    <t>Gyeongnam</t>
  </si>
  <si>
    <t xml:space="preserve">Yellow River </t>
  </si>
  <si>
    <t>Easy weeks + sick</t>
  </si>
  <si>
    <t>Start</t>
  </si>
  <si>
    <t>Cambridge C1</t>
  </si>
  <si>
    <t>Cadels</t>
  </si>
  <si>
    <t xml:space="preserve">Road nats </t>
  </si>
  <si>
    <t>Cairo NC</t>
  </si>
  <si>
    <t>Recovery week</t>
  </si>
  <si>
    <t>Bahnen Tournee</t>
  </si>
  <si>
    <t>Grenchen camp</t>
  </si>
  <si>
    <t>Poitou</t>
  </si>
  <si>
    <t xml:space="preserve">Cycle classic </t>
  </si>
  <si>
    <t>Mini rest</t>
  </si>
  <si>
    <t xml:space="preserve">Travel to Thailand </t>
  </si>
  <si>
    <t>Tour of Thailand</t>
  </si>
  <si>
    <t xml:space="preserve">Andorra camp start </t>
  </si>
  <si>
    <t>Last week Andorra</t>
  </si>
  <si>
    <t>Tour of Zhanghe</t>
  </si>
  <si>
    <t xml:space="preserve">Southland </t>
  </si>
  <si>
    <t>NZ Camp</t>
  </si>
  <si>
    <t xml:space="preserve">CHCH Carnival </t>
  </si>
  <si>
    <t>Southland carnival</t>
  </si>
  <si>
    <t xml:space="preserve">Track Oceas </t>
  </si>
  <si>
    <t>Travel Thailand</t>
  </si>
  <si>
    <t>Tour of Hainan</t>
  </si>
  <si>
    <t>Got the Flu</t>
  </si>
  <si>
    <t xml:space="preserve">Kumano </t>
  </si>
  <si>
    <t>Japan cup</t>
  </si>
  <si>
    <t>Yellow River (missing data)</t>
  </si>
  <si>
    <t>Travel + easy week</t>
  </si>
  <si>
    <t>Sick end of week</t>
  </si>
  <si>
    <t>Structured training</t>
  </si>
  <si>
    <t>Coromandel camp</t>
  </si>
  <si>
    <t>Won Copa Catalunya</t>
  </si>
  <si>
    <t>Blackspoke Stagiaire</t>
  </si>
  <si>
    <t>Short rest</t>
  </si>
  <si>
    <t>First races with Blackspoke</t>
  </si>
  <si>
    <t>Oceas track</t>
  </si>
  <si>
    <t>HC NC</t>
  </si>
  <si>
    <t>Andorra last week</t>
  </si>
  <si>
    <t xml:space="preserve">Olympics </t>
  </si>
  <si>
    <t>Aigle 3 day</t>
  </si>
  <si>
    <t>Grenchen C2</t>
  </si>
  <si>
    <t>London 3 day</t>
  </si>
  <si>
    <t>Champ league wk1</t>
  </si>
  <si>
    <t>Champ league wk2</t>
  </si>
  <si>
    <t>Champ league wk3</t>
  </si>
  <si>
    <t xml:space="preserve">Rest </t>
  </si>
  <si>
    <t>South carnival + Crit nats</t>
  </si>
  <si>
    <t>Travel Turkey</t>
  </si>
  <si>
    <t>Travel EUR-USA + Battenkill</t>
  </si>
  <si>
    <t>Gran Premio NY UCI 1.2</t>
  </si>
  <si>
    <t>Plainfield + Easton Twilight</t>
  </si>
  <si>
    <t>Sommerville + Armed forces</t>
  </si>
  <si>
    <t>Gravel Kermesse</t>
  </si>
  <si>
    <t>Beauce</t>
  </si>
  <si>
    <t>TOAD</t>
  </si>
  <si>
    <t>TOAD week 2</t>
  </si>
  <si>
    <t xml:space="preserve">Easy week </t>
  </si>
  <si>
    <t>Indy Momentum</t>
  </si>
  <si>
    <t>Chicago Grit start</t>
  </si>
  <si>
    <t>Fiorenzuola (Start rest week)</t>
  </si>
  <si>
    <t>Start training post worlds</t>
  </si>
  <si>
    <t>Q-town camp</t>
  </si>
  <si>
    <t>Arrive Tokyo</t>
  </si>
  <si>
    <t>Track worlds</t>
  </si>
  <si>
    <t>Champions League 1</t>
  </si>
  <si>
    <t>Champions league 2</t>
  </si>
  <si>
    <t>Champions league 3</t>
  </si>
  <si>
    <t>Got covid</t>
  </si>
  <si>
    <t>Comm games track</t>
  </si>
  <si>
    <t xml:space="preserve">Cadels </t>
  </si>
  <si>
    <t>Road Nationals</t>
  </si>
  <si>
    <t>Dunkirk</t>
  </si>
  <si>
    <t>Broke colarbone</t>
  </si>
  <si>
    <t xml:space="preserve">"Camp" start </t>
  </si>
  <si>
    <t>Taiwan + HK NC</t>
  </si>
  <si>
    <t xml:space="preserve">Travle to Europe </t>
  </si>
  <si>
    <t>Basque country</t>
  </si>
  <si>
    <t>Boucles de Mayenne</t>
  </si>
  <si>
    <t>Andorra Camp start</t>
  </si>
  <si>
    <t>Off season</t>
  </si>
  <si>
    <t>Start riding again</t>
  </si>
  <si>
    <t>Gent 6</t>
  </si>
  <si>
    <t>Copenhagen Mado</t>
  </si>
  <si>
    <t xml:space="preserve">Fly to Aus </t>
  </si>
  <si>
    <t>Surf coast + Cadels</t>
  </si>
  <si>
    <t>Travel to UAE</t>
  </si>
  <si>
    <t xml:space="preserve">UAE Tour </t>
  </si>
  <si>
    <t>3 one day races</t>
  </si>
  <si>
    <t>E3 + GW</t>
  </si>
  <si>
    <t>Plumelec + Tro-Bro</t>
  </si>
  <si>
    <t>4(5) days of Dunkerque</t>
  </si>
  <si>
    <t>Boucles de la Mayenne</t>
  </si>
  <si>
    <t>Hageland-Efestendonde</t>
  </si>
  <si>
    <t>Altitude camp (Austria)</t>
  </si>
  <si>
    <t xml:space="preserve">Travel to + start Qinghai </t>
  </si>
  <si>
    <t xml:space="preserve">Qinghai lake </t>
  </si>
  <si>
    <t>Arctic race</t>
  </si>
  <si>
    <t>Renewi Tour</t>
  </si>
  <si>
    <t xml:space="preserve">Muur Classic </t>
  </si>
  <si>
    <t>Southland(missing 1 days data, estimated)</t>
  </si>
  <si>
    <t>APL GP C2 (missing track data during week, estimated this)</t>
  </si>
  <si>
    <t>Tassie carnivals</t>
  </si>
  <si>
    <t>NY Carnivals + crit nats</t>
  </si>
  <si>
    <t>Road nats</t>
  </si>
  <si>
    <t>Oceania track</t>
  </si>
  <si>
    <t>Konya nations cup</t>
  </si>
  <si>
    <t>Fly-USA, Battenkill</t>
  </si>
  <si>
    <t>Plainfield + Eastons crits</t>
  </si>
  <si>
    <t>Gravel kermesse</t>
  </si>
  <si>
    <t>Tour de Beauce</t>
  </si>
  <si>
    <t>Chicago grit</t>
  </si>
  <si>
    <t>Fly home</t>
  </si>
  <si>
    <t>4 Wk kJ</t>
  </si>
  <si>
    <t>GP Formies</t>
  </si>
  <si>
    <t>Koolskamp/Super 8/Gooik</t>
  </si>
  <si>
    <t>UK to NZ</t>
  </si>
  <si>
    <t>Arrival to NZ</t>
  </si>
  <si>
    <t>Quebec + Montreal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</si>
</sst>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14" fontId="0" fillId="0" borderId="0" xfId="0" applyNumberFormat="1"/>
    <xf numFmtId="2" fontId="1" fillId="2" borderId="0" xfId="0" applyNumberFormat="1" applyFont="1" applyFill="1"/>
    <xf numFmtId="1" fontId="1" fillId="2" borderId="0" xfId="0" applyNumberFormat="1" applyFont="1" applyFill="1"/>
    <xf numFmtId="1" fontId="1" fillId="0" borderId="0" xfId="0" applyNumberFormat="1" applyFont="1"/>
    <xf numFmtId="164" fontId="0" fillId="0" borderId="0" xfId="0" applyNumberFormat="1"/>
    <xf numFmtId="0" fontId="1" fillId="2" borderId="0" xfId="0" applyFont="1" applyFill="1"/>
    <xf numFmtId="14" fontId="0" fillId="2" borderId="0" xfId="0" applyNumberForma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0" xfId="0" applyNumberFormat="1" applyFill="1"/>
    <xf numFmtId="0" fontId="0" fillId="2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0"/>
  <sheetViews>
    <sheetView zoomScale="85" zoomScaleNormal="85" workbookViewId="0">
      <pane ySplit="1" topLeftCell="A271" activePane="bottomLeft" state="frozen"/>
      <selection activeCell="D1" sqref="D1"/>
      <selection pane="bottomLeft" activeCell="G286" sqref="G286"/>
    </sheetView>
  </sheetViews>
  <sheetFormatPr defaultColWidth="10.796875" defaultRowHeight="14.25" x14ac:dyDescent="0.45"/>
  <cols>
    <col min="1" max="1" width="22" bestFit="1" customWidth="1"/>
    <col min="2" max="2" width="10.73046875" bestFit="1" customWidth="1"/>
    <col min="3" max="3" width="11.06640625" bestFit="1" customWidth="1"/>
    <col min="4" max="4" width="7.73046875" bestFit="1" customWidth="1"/>
    <col min="5" max="5" width="4.6640625" bestFit="1" customWidth="1"/>
    <col min="6" max="6" width="8.796875" bestFit="1" customWidth="1"/>
    <col min="7" max="7" width="16.265625" bestFit="1" customWidth="1"/>
    <col min="9" max="9" width="10.9296875" bestFit="1" customWidth="1"/>
    <col min="10" max="10" width="14.19921875" bestFit="1" customWidth="1"/>
    <col min="12" max="12" width="15.46484375" bestFit="1" customWidth="1"/>
    <col min="13" max="13" width="17.06640625" bestFit="1" customWidth="1"/>
    <col min="15" max="15" width="10.9296875" bestFit="1" customWidth="1"/>
    <col min="16" max="16" width="14.19921875" bestFit="1" customWidth="1"/>
  </cols>
  <sheetData>
    <row r="1" spans="1:16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</row>
    <row r="2" spans="1:16" x14ac:dyDescent="0.45">
      <c r="A2" s="12" t="s">
        <v>10</v>
      </c>
      <c r="B2" s="4">
        <v>43899</v>
      </c>
      <c r="C2" s="1">
        <v>10</v>
      </c>
      <c r="D2">
        <v>379</v>
      </c>
      <c r="E2">
        <v>1</v>
      </c>
      <c r="F2">
        <v>7004</v>
      </c>
      <c r="L2" s="2"/>
      <c r="M2" s="2"/>
      <c r="N2" s="2"/>
    </row>
    <row r="3" spans="1:16" x14ac:dyDescent="0.45">
      <c r="A3" s="12"/>
      <c r="B3" s="4">
        <v>43906</v>
      </c>
      <c r="C3" s="1">
        <v>14.75</v>
      </c>
      <c r="D3">
        <v>613</v>
      </c>
      <c r="E3">
        <v>2</v>
      </c>
      <c r="F3">
        <v>10815</v>
      </c>
      <c r="L3" s="2"/>
      <c r="M3" s="2"/>
      <c r="N3" s="2"/>
    </row>
    <row r="4" spans="1:16" x14ac:dyDescent="0.45">
      <c r="A4" s="12" t="s">
        <v>11</v>
      </c>
      <c r="B4" s="4">
        <v>43913</v>
      </c>
      <c r="C4" s="1">
        <v>10.5</v>
      </c>
      <c r="D4">
        <v>900</v>
      </c>
      <c r="E4">
        <v>2</v>
      </c>
      <c r="F4">
        <v>14039</v>
      </c>
      <c r="L4" s="2"/>
      <c r="M4" s="2"/>
      <c r="N4" s="2"/>
    </row>
    <row r="5" spans="1:16" x14ac:dyDescent="0.45">
      <c r="A5" s="12"/>
      <c r="B5" s="4">
        <v>43920</v>
      </c>
      <c r="C5" s="1">
        <v>16</v>
      </c>
      <c r="D5">
        <v>695</v>
      </c>
      <c r="E5">
        <v>2</v>
      </c>
      <c r="F5">
        <v>11725</v>
      </c>
      <c r="G5" s="2">
        <f>AVERAGE(F2:F5)</f>
        <v>10895.75</v>
      </c>
      <c r="H5" s="2"/>
      <c r="I5" s="1">
        <f t="shared" ref="I5:I68" si="0">AVERAGE(C2:C5)</f>
        <v>12.8125</v>
      </c>
      <c r="J5" s="2">
        <f t="shared" ref="J5:J68" si="1">AVERAGE(D2:D5)</f>
        <v>646.75</v>
      </c>
      <c r="K5" s="2"/>
      <c r="L5" s="1"/>
      <c r="M5" s="2"/>
      <c r="N5" s="2"/>
    </row>
    <row r="6" spans="1:16" x14ac:dyDescent="0.45">
      <c r="A6" s="12"/>
      <c r="B6" s="4">
        <v>43927</v>
      </c>
      <c r="C6" s="1">
        <v>18</v>
      </c>
      <c r="D6">
        <v>785</v>
      </c>
      <c r="E6">
        <v>2</v>
      </c>
      <c r="F6">
        <v>13609</v>
      </c>
      <c r="G6" s="2">
        <f t="shared" ref="G6:G69" si="2">AVERAGE(F3:F6)</f>
        <v>12547</v>
      </c>
      <c r="H6" s="2"/>
      <c r="I6" s="1">
        <f t="shared" si="0"/>
        <v>14.8125</v>
      </c>
      <c r="J6" s="2">
        <f t="shared" si="1"/>
        <v>748.25</v>
      </c>
      <c r="K6" s="2"/>
      <c r="L6" s="1"/>
      <c r="M6" s="2"/>
      <c r="N6" s="2"/>
    </row>
    <row r="7" spans="1:16" x14ac:dyDescent="0.45">
      <c r="A7" s="12"/>
      <c r="B7" s="4">
        <v>43934</v>
      </c>
      <c r="C7" s="1">
        <v>17.5</v>
      </c>
      <c r="D7">
        <v>811</v>
      </c>
      <c r="E7">
        <v>2</v>
      </c>
      <c r="F7">
        <v>13342</v>
      </c>
      <c r="G7" s="2">
        <f t="shared" si="2"/>
        <v>13178.75</v>
      </c>
      <c r="H7" s="2"/>
      <c r="I7" s="1">
        <f t="shared" si="0"/>
        <v>15.5</v>
      </c>
      <c r="J7" s="2">
        <f t="shared" si="1"/>
        <v>797.75</v>
      </c>
      <c r="K7" s="2"/>
      <c r="L7" s="1"/>
      <c r="M7" s="2"/>
      <c r="N7" s="2"/>
    </row>
    <row r="8" spans="1:16" x14ac:dyDescent="0.45">
      <c r="A8" s="12" t="s">
        <v>12</v>
      </c>
      <c r="B8" s="4">
        <v>43941</v>
      </c>
      <c r="C8" s="1">
        <v>19.329999999999998</v>
      </c>
      <c r="D8">
        <v>927</v>
      </c>
      <c r="E8">
        <v>2</v>
      </c>
      <c r="F8">
        <v>14759</v>
      </c>
      <c r="G8" s="2">
        <f t="shared" si="2"/>
        <v>13358.75</v>
      </c>
      <c r="H8" s="2"/>
      <c r="I8" s="1">
        <f t="shared" si="0"/>
        <v>17.7075</v>
      </c>
      <c r="J8" s="2">
        <f t="shared" si="1"/>
        <v>804.5</v>
      </c>
      <c r="K8" s="2"/>
      <c r="L8" s="1"/>
      <c r="M8" s="1"/>
      <c r="N8" s="1"/>
    </row>
    <row r="9" spans="1:16" x14ac:dyDescent="0.45">
      <c r="A9" s="12"/>
      <c r="B9" s="4">
        <v>43948</v>
      </c>
      <c r="C9" s="1">
        <v>15</v>
      </c>
      <c r="D9">
        <v>652</v>
      </c>
      <c r="E9">
        <v>2</v>
      </c>
      <c r="F9">
        <v>10581</v>
      </c>
      <c r="G9" s="2">
        <f t="shared" si="2"/>
        <v>13072.75</v>
      </c>
      <c r="H9" s="2"/>
      <c r="I9" s="1">
        <f t="shared" si="0"/>
        <v>17.4575</v>
      </c>
      <c r="J9" s="2">
        <f t="shared" si="1"/>
        <v>793.75</v>
      </c>
      <c r="K9" s="2"/>
      <c r="L9" s="1">
        <f t="shared" ref="L9:L72" si="3">((C2)+(2*C3)+(3*C4)+(4*C5)+(4*C6)+(3*C7)+(2*C8)+(C9))/20</f>
        <v>15.657999999999998</v>
      </c>
      <c r="M9" s="2">
        <f t="shared" ref="M9:M72" si="4">((D2)+(2*D3)+(3*D4)+(4*D5)+(4*D6)+(3*D7)+(2*D8)+(D9))/20</f>
        <v>758.2</v>
      </c>
      <c r="N9" s="2"/>
    </row>
    <row r="10" spans="1:16" x14ac:dyDescent="0.45">
      <c r="A10" s="12"/>
      <c r="B10" s="4">
        <v>43955</v>
      </c>
      <c r="C10" s="1">
        <v>17</v>
      </c>
      <c r="D10">
        <v>807</v>
      </c>
      <c r="E10">
        <v>2</v>
      </c>
      <c r="F10">
        <v>13099</v>
      </c>
      <c r="G10" s="2">
        <f t="shared" si="2"/>
        <v>12945.25</v>
      </c>
      <c r="H10" s="2"/>
      <c r="I10" s="1">
        <f t="shared" si="0"/>
        <v>17.2075</v>
      </c>
      <c r="J10" s="2">
        <f t="shared" si="1"/>
        <v>799.25</v>
      </c>
      <c r="K10" s="2"/>
      <c r="L10" s="1">
        <f t="shared" si="3"/>
        <v>16.536999999999999</v>
      </c>
      <c r="M10" s="2">
        <f t="shared" si="4"/>
        <v>788.7</v>
      </c>
      <c r="N10" s="2"/>
    </row>
    <row r="11" spans="1:16" x14ac:dyDescent="0.45">
      <c r="A11" s="12"/>
      <c r="B11" s="4">
        <v>43962</v>
      </c>
      <c r="C11" s="1">
        <v>20</v>
      </c>
      <c r="D11">
        <v>927</v>
      </c>
      <c r="E11">
        <v>2</v>
      </c>
      <c r="F11">
        <v>13094</v>
      </c>
      <c r="G11" s="2">
        <f t="shared" si="2"/>
        <v>12883.25</v>
      </c>
      <c r="H11" s="2"/>
      <c r="I11" s="1">
        <f t="shared" si="0"/>
        <v>17.8325</v>
      </c>
      <c r="J11" s="2">
        <f t="shared" si="1"/>
        <v>828.25</v>
      </c>
      <c r="K11" s="2"/>
      <c r="L11" s="1">
        <f t="shared" si="3"/>
        <v>17.140999999999998</v>
      </c>
      <c r="M11" s="2">
        <f t="shared" si="4"/>
        <v>804.7</v>
      </c>
      <c r="N11" s="2"/>
    </row>
    <row r="12" spans="1:16" x14ac:dyDescent="0.45">
      <c r="A12" s="12"/>
      <c r="B12" s="4">
        <v>43969</v>
      </c>
      <c r="C12" s="1">
        <v>22</v>
      </c>
      <c r="D12">
        <v>986</v>
      </c>
      <c r="E12">
        <v>2</v>
      </c>
      <c r="F12">
        <v>13147</v>
      </c>
      <c r="G12" s="2">
        <f t="shared" si="2"/>
        <v>12480.25</v>
      </c>
      <c r="H12" s="2"/>
      <c r="I12" s="1">
        <f t="shared" si="0"/>
        <v>18.5</v>
      </c>
      <c r="J12" s="2">
        <f t="shared" si="1"/>
        <v>843</v>
      </c>
      <c r="K12" s="2"/>
      <c r="L12" s="1">
        <f t="shared" si="3"/>
        <v>17.741</v>
      </c>
      <c r="M12" s="2">
        <f t="shared" si="4"/>
        <v>813.75</v>
      </c>
      <c r="N12" s="2"/>
    </row>
    <row r="13" spans="1:16" x14ac:dyDescent="0.45">
      <c r="A13" s="12"/>
      <c r="B13" s="4">
        <v>43976</v>
      </c>
      <c r="C13" s="1">
        <v>22.25</v>
      </c>
      <c r="D13">
        <v>1071</v>
      </c>
      <c r="E13">
        <v>2</v>
      </c>
      <c r="F13">
        <v>15646</v>
      </c>
      <c r="G13" s="2">
        <f t="shared" si="2"/>
        <v>13746.5</v>
      </c>
      <c r="H13" s="2"/>
      <c r="I13" s="1">
        <f t="shared" si="0"/>
        <v>20.3125</v>
      </c>
      <c r="J13" s="2">
        <f t="shared" si="1"/>
        <v>947.75</v>
      </c>
      <c r="K13" s="2"/>
      <c r="L13" s="1">
        <f t="shared" si="3"/>
        <v>18.262</v>
      </c>
      <c r="M13" s="2">
        <f t="shared" si="4"/>
        <v>842.4</v>
      </c>
      <c r="N13" s="2"/>
      <c r="O13" s="1">
        <f t="shared" ref="O13:O76" si="5">((C13)+(C12*2)+(C11*3)+(C10*4)+(C9*5)+(C8*6)+(C7*7)+(C6*8))/36</f>
        <v>18.10361111111111</v>
      </c>
      <c r="P13" s="2">
        <f t="shared" ref="P13:P76" si="6">((D13)+(D12*2)+(D11*3)+(D10*4)+(D9*5)+(D8*6)+(D7*7)+(D6*8))/36</f>
        <v>828.63888888888891</v>
      </c>
    </row>
    <row r="14" spans="1:16" x14ac:dyDescent="0.45">
      <c r="A14" s="12"/>
      <c r="B14" s="4">
        <v>43983</v>
      </c>
      <c r="C14" s="1">
        <v>10.33</v>
      </c>
      <c r="D14">
        <v>441</v>
      </c>
      <c r="E14">
        <v>2</v>
      </c>
      <c r="F14">
        <v>7192</v>
      </c>
      <c r="G14" s="2">
        <f t="shared" si="2"/>
        <v>12269.75</v>
      </c>
      <c r="H14" s="2"/>
      <c r="I14" s="1">
        <f t="shared" si="0"/>
        <v>18.645</v>
      </c>
      <c r="J14" s="2">
        <f t="shared" si="1"/>
        <v>856.25</v>
      </c>
      <c r="K14" s="2"/>
      <c r="L14" s="1">
        <f t="shared" si="3"/>
        <v>18.499499999999998</v>
      </c>
      <c r="M14" s="2">
        <f t="shared" si="4"/>
        <v>854.9</v>
      </c>
      <c r="N14" s="2"/>
      <c r="O14" s="1">
        <f t="shared" si="5"/>
        <v>18.087222222222223</v>
      </c>
      <c r="P14" s="2">
        <f t="shared" si="6"/>
        <v>838.13888888888891</v>
      </c>
    </row>
    <row r="15" spans="1:16" x14ac:dyDescent="0.45">
      <c r="A15" s="12"/>
      <c r="B15" s="4">
        <v>43990</v>
      </c>
      <c r="C15" s="1">
        <v>17</v>
      </c>
      <c r="D15">
        <v>760</v>
      </c>
      <c r="E15">
        <v>2</v>
      </c>
      <c r="F15">
        <v>12089</v>
      </c>
      <c r="G15" s="2">
        <f t="shared" si="2"/>
        <v>12018.5</v>
      </c>
      <c r="H15" s="2"/>
      <c r="I15" s="1">
        <f t="shared" si="0"/>
        <v>17.895</v>
      </c>
      <c r="J15" s="2">
        <f t="shared" si="1"/>
        <v>814.5</v>
      </c>
      <c r="K15" s="2"/>
      <c r="L15" s="1">
        <f t="shared" si="3"/>
        <v>18.637</v>
      </c>
      <c r="M15" s="2">
        <f t="shared" si="4"/>
        <v>857.95</v>
      </c>
      <c r="N15" s="2"/>
      <c r="O15" s="1">
        <f t="shared" si="5"/>
        <v>18.168055555555554</v>
      </c>
      <c r="P15" s="2">
        <f t="shared" si="6"/>
        <v>840.44444444444446</v>
      </c>
    </row>
    <row r="16" spans="1:16" x14ac:dyDescent="0.45">
      <c r="A16" s="12"/>
      <c r="B16" s="4">
        <v>43997</v>
      </c>
      <c r="C16" s="1">
        <v>19.5</v>
      </c>
      <c r="D16">
        <v>846</v>
      </c>
      <c r="E16">
        <v>2</v>
      </c>
      <c r="F16">
        <v>12361</v>
      </c>
      <c r="G16" s="2">
        <f t="shared" si="2"/>
        <v>11822</v>
      </c>
      <c r="H16" s="2"/>
      <c r="I16" s="1">
        <f t="shared" si="0"/>
        <v>17.27</v>
      </c>
      <c r="J16" s="2">
        <f t="shared" si="1"/>
        <v>779.5</v>
      </c>
      <c r="K16" s="2"/>
      <c r="L16" s="1">
        <f t="shared" si="3"/>
        <v>18.5245</v>
      </c>
      <c r="M16" s="2">
        <f t="shared" si="4"/>
        <v>848.2</v>
      </c>
      <c r="N16" s="2"/>
      <c r="O16" s="1">
        <f t="shared" si="5"/>
        <v>17.846944444444446</v>
      </c>
      <c r="P16" s="2">
        <f t="shared" si="6"/>
        <v>814.72222222222217</v>
      </c>
    </row>
    <row r="17" spans="1:16" x14ac:dyDescent="0.45">
      <c r="A17" s="12"/>
      <c r="B17" s="4">
        <v>44004</v>
      </c>
      <c r="C17" s="1">
        <v>13.66</v>
      </c>
      <c r="D17">
        <v>498</v>
      </c>
      <c r="E17">
        <v>3</v>
      </c>
      <c r="F17">
        <v>5234</v>
      </c>
      <c r="G17" s="2">
        <f t="shared" si="2"/>
        <v>9219</v>
      </c>
      <c r="H17" s="2"/>
      <c r="I17" s="1">
        <f t="shared" si="0"/>
        <v>15.122499999999999</v>
      </c>
      <c r="J17" s="2">
        <f t="shared" si="1"/>
        <v>636.25</v>
      </c>
      <c r="K17" s="2"/>
      <c r="L17" s="1">
        <f t="shared" si="3"/>
        <v>17.849</v>
      </c>
      <c r="M17" s="2">
        <f t="shared" si="4"/>
        <v>806.85</v>
      </c>
      <c r="N17" s="2"/>
      <c r="O17" s="1">
        <f t="shared" si="5"/>
        <v>18.450833333333335</v>
      </c>
      <c r="P17" s="2">
        <f t="shared" si="6"/>
        <v>845.83333333333337</v>
      </c>
    </row>
    <row r="18" spans="1:16" x14ac:dyDescent="0.45">
      <c r="A18" s="12"/>
      <c r="B18" s="4">
        <v>44011</v>
      </c>
      <c r="C18" s="1">
        <v>18</v>
      </c>
      <c r="D18">
        <v>907</v>
      </c>
      <c r="E18">
        <v>2</v>
      </c>
      <c r="F18">
        <v>11096</v>
      </c>
      <c r="G18" s="2">
        <f t="shared" si="2"/>
        <v>10195</v>
      </c>
      <c r="H18" s="2"/>
      <c r="I18" s="1">
        <f t="shared" si="0"/>
        <v>17.04</v>
      </c>
      <c r="J18" s="2">
        <f t="shared" si="1"/>
        <v>752.75</v>
      </c>
      <c r="K18" s="2"/>
      <c r="L18" s="1">
        <f t="shared" si="3"/>
        <v>17.194499999999998</v>
      </c>
      <c r="M18" s="2">
        <f t="shared" si="4"/>
        <v>767.85</v>
      </c>
      <c r="N18" s="2"/>
      <c r="O18" s="1">
        <f t="shared" si="5"/>
        <v>18.638055555555557</v>
      </c>
      <c r="P18" s="2">
        <f t="shared" si="6"/>
        <v>845.27777777777783</v>
      </c>
    </row>
    <row r="19" spans="1:16" x14ac:dyDescent="0.45">
      <c r="A19" s="12"/>
      <c r="B19" s="4">
        <v>44018</v>
      </c>
      <c r="C19" s="1">
        <v>6.5</v>
      </c>
      <c r="D19">
        <v>574</v>
      </c>
      <c r="E19">
        <v>2</v>
      </c>
      <c r="F19">
        <v>4631</v>
      </c>
      <c r="G19" s="2">
        <f t="shared" si="2"/>
        <v>8330.5</v>
      </c>
      <c r="H19" s="2"/>
      <c r="I19" s="1">
        <f t="shared" si="0"/>
        <v>14.414999999999999</v>
      </c>
      <c r="J19" s="2">
        <f t="shared" si="1"/>
        <v>706.25</v>
      </c>
      <c r="K19" s="2"/>
      <c r="L19" s="1">
        <f t="shared" si="3"/>
        <v>16.348500000000001</v>
      </c>
      <c r="M19" s="2">
        <f t="shared" si="4"/>
        <v>737.85</v>
      </c>
      <c r="N19" s="2"/>
      <c r="O19" s="1">
        <f t="shared" si="5"/>
        <v>17.783611111111114</v>
      </c>
      <c r="P19" s="2">
        <f t="shared" si="6"/>
        <v>808.25</v>
      </c>
    </row>
    <row r="20" spans="1:16" x14ac:dyDescent="0.45">
      <c r="A20" s="12"/>
      <c r="B20" s="4">
        <v>44025</v>
      </c>
      <c r="C20" s="1">
        <v>14.33</v>
      </c>
      <c r="D20">
        <v>861</v>
      </c>
      <c r="E20">
        <v>1</v>
      </c>
      <c r="F20">
        <v>11196</v>
      </c>
      <c r="G20" s="2">
        <f t="shared" si="2"/>
        <v>8039.25</v>
      </c>
      <c r="H20" s="2"/>
      <c r="I20" s="1">
        <f t="shared" si="0"/>
        <v>13.122499999999999</v>
      </c>
      <c r="J20" s="2">
        <f t="shared" si="1"/>
        <v>710</v>
      </c>
      <c r="K20" s="2"/>
      <c r="L20" s="1">
        <f t="shared" si="3"/>
        <v>15.394</v>
      </c>
      <c r="M20" s="2">
        <f t="shared" si="4"/>
        <v>716.95</v>
      </c>
      <c r="N20" s="2"/>
      <c r="O20" s="1">
        <f t="shared" si="5"/>
        <v>16.271666666666665</v>
      </c>
      <c r="P20" s="2">
        <f t="shared" si="6"/>
        <v>754.63888888888891</v>
      </c>
    </row>
    <row r="21" spans="1:16" x14ac:dyDescent="0.45">
      <c r="A21" s="12"/>
      <c r="B21" s="4">
        <v>44032</v>
      </c>
      <c r="C21" s="1">
        <v>14.66</v>
      </c>
      <c r="D21">
        <v>740</v>
      </c>
      <c r="E21">
        <v>2</v>
      </c>
      <c r="F21">
        <v>10152</v>
      </c>
      <c r="G21" s="2">
        <f t="shared" si="2"/>
        <v>9268.75</v>
      </c>
      <c r="H21" s="2"/>
      <c r="I21" s="1">
        <f t="shared" si="0"/>
        <v>13.372499999999999</v>
      </c>
      <c r="J21" s="2">
        <f t="shared" si="1"/>
        <v>770.5</v>
      </c>
      <c r="K21" s="2"/>
      <c r="L21" s="1">
        <f t="shared" si="3"/>
        <v>14.614500000000001</v>
      </c>
      <c r="M21" s="2">
        <f t="shared" si="4"/>
        <v>715.15</v>
      </c>
      <c r="N21" s="2"/>
      <c r="O21" s="1">
        <f t="shared" si="5"/>
        <v>14.493333333333332</v>
      </c>
      <c r="P21" s="2">
        <f t="shared" si="6"/>
        <v>672.94444444444446</v>
      </c>
    </row>
    <row r="22" spans="1:16" x14ac:dyDescent="0.45">
      <c r="A22" s="12"/>
      <c r="B22" s="4">
        <v>44039</v>
      </c>
      <c r="C22" s="1">
        <v>12.66</v>
      </c>
      <c r="D22">
        <v>719</v>
      </c>
      <c r="E22">
        <v>2</v>
      </c>
      <c r="F22">
        <v>5304</v>
      </c>
      <c r="G22" s="2">
        <f t="shared" si="2"/>
        <v>7820.75</v>
      </c>
      <c r="H22" s="2"/>
      <c r="I22" s="1">
        <f t="shared" si="0"/>
        <v>12.037499999999998</v>
      </c>
      <c r="J22" s="2">
        <f t="shared" si="1"/>
        <v>723.5</v>
      </c>
      <c r="K22" s="2"/>
      <c r="L22" s="1">
        <f t="shared" si="3"/>
        <v>13.997500000000002</v>
      </c>
      <c r="M22" s="2">
        <f t="shared" si="4"/>
        <v>732.6</v>
      </c>
      <c r="N22" s="2"/>
      <c r="O22" s="1">
        <f t="shared" si="5"/>
        <v>15.428611111111113</v>
      </c>
      <c r="P22" s="2">
        <f t="shared" si="6"/>
        <v>738.97222222222217</v>
      </c>
    </row>
    <row r="23" spans="1:16" x14ac:dyDescent="0.45">
      <c r="A23" s="12"/>
      <c r="B23" s="4">
        <v>44046</v>
      </c>
      <c r="C23" s="1">
        <v>15.33</v>
      </c>
      <c r="D23">
        <v>706</v>
      </c>
      <c r="E23">
        <v>2</v>
      </c>
      <c r="F23">
        <v>7373</v>
      </c>
      <c r="G23" s="2">
        <f t="shared" si="2"/>
        <v>8506.25</v>
      </c>
      <c r="H23" s="2"/>
      <c r="I23" s="1">
        <f t="shared" si="0"/>
        <v>14.245000000000001</v>
      </c>
      <c r="J23" s="2">
        <f t="shared" si="1"/>
        <v>756.5</v>
      </c>
      <c r="K23" s="2"/>
      <c r="L23" s="1">
        <f t="shared" si="3"/>
        <v>13.438499999999999</v>
      </c>
      <c r="M23" s="2">
        <f t="shared" si="4"/>
        <v>733.35</v>
      </c>
      <c r="N23" s="2"/>
      <c r="O23" s="1">
        <f t="shared" si="5"/>
        <v>14.835277777777776</v>
      </c>
      <c r="P23" s="2">
        <f t="shared" si="6"/>
        <v>732.61111111111109</v>
      </c>
    </row>
    <row r="24" spans="1:16" x14ac:dyDescent="0.45">
      <c r="A24" s="12"/>
      <c r="B24" s="4">
        <v>44053</v>
      </c>
      <c r="C24" s="1">
        <v>6.33</v>
      </c>
      <c r="D24">
        <v>358</v>
      </c>
      <c r="E24">
        <v>0</v>
      </c>
      <c r="F24">
        <v>3927</v>
      </c>
      <c r="G24" s="2">
        <f t="shared" si="2"/>
        <v>6689</v>
      </c>
      <c r="H24" s="2"/>
      <c r="I24" s="1">
        <f t="shared" si="0"/>
        <v>12.244999999999999</v>
      </c>
      <c r="J24" s="2">
        <f t="shared" si="1"/>
        <v>630.75</v>
      </c>
      <c r="K24" s="2"/>
      <c r="L24" s="1">
        <f t="shared" si="3"/>
        <v>13.004500000000002</v>
      </c>
      <c r="M24" s="2">
        <f t="shared" si="4"/>
        <v>718.25</v>
      </c>
      <c r="N24" s="2"/>
      <c r="O24" s="1">
        <f t="shared" si="5"/>
        <v>13.320555555555554</v>
      </c>
      <c r="P24" s="2">
        <f t="shared" si="6"/>
        <v>693.58333333333337</v>
      </c>
    </row>
    <row r="25" spans="1:16" x14ac:dyDescent="0.45">
      <c r="A25" s="12"/>
      <c r="B25" s="4">
        <v>44060</v>
      </c>
      <c r="C25" s="1">
        <v>0</v>
      </c>
      <c r="D25">
        <v>0</v>
      </c>
      <c r="E25">
        <v>0</v>
      </c>
      <c r="F25">
        <v>0</v>
      </c>
      <c r="G25" s="2">
        <f t="shared" si="2"/>
        <v>4151</v>
      </c>
      <c r="H25" s="2"/>
      <c r="I25" s="1">
        <f t="shared" si="0"/>
        <v>8.58</v>
      </c>
      <c r="J25" s="2">
        <f t="shared" si="1"/>
        <v>445.75</v>
      </c>
      <c r="K25" s="2"/>
      <c r="L25" s="1">
        <f t="shared" si="3"/>
        <v>12.096</v>
      </c>
      <c r="M25" s="2">
        <f t="shared" si="4"/>
        <v>665.4</v>
      </c>
      <c r="N25" s="2"/>
      <c r="O25" s="1">
        <f t="shared" si="5"/>
        <v>12.724166666666667</v>
      </c>
      <c r="P25" s="2">
        <f t="shared" si="6"/>
        <v>718.05555555555554</v>
      </c>
    </row>
    <row r="26" spans="1:16" x14ac:dyDescent="0.45">
      <c r="A26" s="12"/>
      <c r="B26" s="4">
        <v>44067</v>
      </c>
      <c r="C26" s="1">
        <v>0</v>
      </c>
      <c r="D26">
        <v>0</v>
      </c>
      <c r="E26">
        <v>0</v>
      </c>
      <c r="G26" s="2">
        <f t="shared" si="2"/>
        <v>3766.6666666666665</v>
      </c>
      <c r="H26" s="2"/>
      <c r="I26" s="1">
        <f t="shared" si="0"/>
        <v>5.415</v>
      </c>
      <c r="J26" s="2">
        <f t="shared" si="1"/>
        <v>266</v>
      </c>
      <c r="K26" s="2"/>
      <c r="L26" s="1">
        <f t="shared" si="3"/>
        <v>10.5045</v>
      </c>
      <c r="M26" s="2">
        <f t="shared" si="4"/>
        <v>564.5</v>
      </c>
      <c r="N26" s="2"/>
      <c r="O26" s="1">
        <f t="shared" si="5"/>
        <v>10.663333333333334</v>
      </c>
      <c r="P26" s="2">
        <f t="shared" si="6"/>
        <v>626.44444444444446</v>
      </c>
    </row>
    <row r="27" spans="1:16" x14ac:dyDescent="0.45">
      <c r="A27" s="12"/>
      <c r="B27" s="4">
        <v>44074</v>
      </c>
      <c r="C27" s="1">
        <v>18.329999999999998</v>
      </c>
      <c r="D27">
        <v>824</v>
      </c>
      <c r="E27">
        <v>2</v>
      </c>
      <c r="F27">
        <v>8207</v>
      </c>
      <c r="G27" s="2">
        <f t="shared" si="2"/>
        <v>4044.6666666666665</v>
      </c>
      <c r="H27" s="2"/>
      <c r="I27" s="1">
        <f t="shared" si="0"/>
        <v>6.1649999999999991</v>
      </c>
      <c r="J27" s="2">
        <f t="shared" si="1"/>
        <v>295.5</v>
      </c>
      <c r="K27" s="2"/>
      <c r="L27" s="1">
        <f t="shared" si="3"/>
        <v>9.3299999999999983</v>
      </c>
      <c r="M27" s="2">
        <f t="shared" si="4"/>
        <v>478.9</v>
      </c>
      <c r="N27" s="2"/>
      <c r="O27" s="1">
        <f t="shared" si="5"/>
        <v>11.486666666666666</v>
      </c>
      <c r="P27" s="2">
        <f t="shared" si="6"/>
        <v>615.77777777777783</v>
      </c>
    </row>
    <row r="28" spans="1:16" x14ac:dyDescent="0.45">
      <c r="A28" s="12"/>
      <c r="B28" s="4">
        <v>44081</v>
      </c>
      <c r="C28" s="1">
        <v>24</v>
      </c>
      <c r="D28">
        <v>1097</v>
      </c>
      <c r="E28">
        <v>2</v>
      </c>
      <c r="F28">
        <v>9526</v>
      </c>
      <c r="G28" s="2">
        <f t="shared" si="2"/>
        <v>5911</v>
      </c>
      <c r="H28" s="2"/>
      <c r="I28" s="1">
        <f t="shared" si="0"/>
        <v>10.5825</v>
      </c>
      <c r="J28" s="2">
        <f t="shared" si="1"/>
        <v>480.25</v>
      </c>
      <c r="K28" s="2"/>
      <c r="L28" s="1">
        <f t="shared" si="3"/>
        <v>8.5975000000000001</v>
      </c>
      <c r="M28" s="2">
        <f t="shared" si="4"/>
        <v>423.65</v>
      </c>
      <c r="N28" s="2"/>
      <c r="O28" s="1">
        <f t="shared" si="5"/>
        <v>10.838611111111113</v>
      </c>
      <c r="P28" s="2">
        <f t="shared" si="6"/>
        <v>547.88888888888891</v>
      </c>
    </row>
    <row r="29" spans="1:16" x14ac:dyDescent="0.45">
      <c r="A29" s="12"/>
      <c r="B29" s="4">
        <v>44088</v>
      </c>
      <c r="C29" s="1">
        <v>20.25</v>
      </c>
      <c r="D29">
        <v>1030</v>
      </c>
      <c r="E29">
        <v>2</v>
      </c>
      <c r="F29">
        <v>15031</v>
      </c>
      <c r="G29" s="2">
        <f t="shared" si="2"/>
        <v>10921.333333333334</v>
      </c>
      <c r="H29" s="2"/>
      <c r="I29" s="1">
        <f t="shared" si="0"/>
        <v>15.645</v>
      </c>
      <c r="J29" s="2">
        <f t="shared" si="1"/>
        <v>737.75</v>
      </c>
      <c r="K29" s="2"/>
      <c r="L29" s="1">
        <f t="shared" si="3"/>
        <v>9.2774999999999999</v>
      </c>
      <c r="M29" s="2">
        <f t="shared" si="4"/>
        <v>445.05</v>
      </c>
      <c r="N29" s="2"/>
      <c r="O29" s="1">
        <f t="shared" si="5"/>
        <v>10.272499999999999</v>
      </c>
      <c r="P29" s="2">
        <f t="shared" si="6"/>
        <v>514.94444444444446</v>
      </c>
    </row>
    <row r="30" spans="1:16" x14ac:dyDescent="0.45">
      <c r="A30" s="12"/>
      <c r="B30" s="4">
        <v>44095</v>
      </c>
      <c r="C30" s="1">
        <v>24</v>
      </c>
      <c r="D30">
        <v>1119</v>
      </c>
      <c r="E30">
        <v>0</v>
      </c>
      <c r="F30">
        <v>15160</v>
      </c>
      <c r="G30" s="2">
        <f t="shared" si="2"/>
        <v>11981</v>
      </c>
      <c r="H30" s="2"/>
      <c r="I30" s="1">
        <f t="shared" si="0"/>
        <v>21.645</v>
      </c>
      <c r="J30" s="2">
        <f t="shared" si="1"/>
        <v>1017.5</v>
      </c>
      <c r="K30" s="2"/>
      <c r="L30" s="1">
        <f t="shared" si="3"/>
        <v>11.890499999999999</v>
      </c>
      <c r="M30" s="2">
        <f t="shared" si="4"/>
        <v>559.4</v>
      </c>
      <c r="N30" s="2"/>
      <c r="O30" s="1">
        <f t="shared" si="5"/>
        <v>10.465833333333332</v>
      </c>
      <c r="P30" s="2">
        <f t="shared" si="6"/>
        <v>497.77777777777777</v>
      </c>
    </row>
    <row r="31" spans="1:16" x14ac:dyDescent="0.45">
      <c r="A31" s="12"/>
      <c r="B31" s="4">
        <v>44102</v>
      </c>
      <c r="C31" s="1">
        <v>15.75</v>
      </c>
      <c r="D31">
        <v>760</v>
      </c>
      <c r="E31">
        <v>2</v>
      </c>
      <c r="F31">
        <v>12137</v>
      </c>
      <c r="G31" s="2">
        <f t="shared" si="2"/>
        <v>12963.5</v>
      </c>
      <c r="H31" s="2"/>
      <c r="I31" s="1">
        <f t="shared" si="0"/>
        <v>21</v>
      </c>
      <c r="J31" s="2">
        <f t="shared" si="1"/>
        <v>1001.5</v>
      </c>
      <c r="K31" s="2"/>
      <c r="L31" s="1">
        <f t="shared" si="3"/>
        <v>15.007499999999999</v>
      </c>
      <c r="M31" s="2">
        <f t="shared" si="4"/>
        <v>706.5</v>
      </c>
      <c r="N31" s="2"/>
      <c r="O31" s="1">
        <f t="shared" si="5"/>
        <v>10.077499999999999</v>
      </c>
      <c r="P31" s="2">
        <f t="shared" si="6"/>
        <v>485</v>
      </c>
    </row>
    <row r="32" spans="1:16" x14ac:dyDescent="0.45">
      <c r="A32" s="12"/>
      <c r="B32" s="4">
        <v>44109</v>
      </c>
      <c r="C32" s="1">
        <v>20</v>
      </c>
      <c r="D32">
        <v>1061</v>
      </c>
      <c r="E32">
        <v>2</v>
      </c>
      <c r="F32">
        <v>14471</v>
      </c>
      <c r="G32" s="2">
        <f t="shared" si="2"/>
        <v>14199.75</v>
      </c>
      <c r="H32" s="2"/>
      <c r="I32" s="1">
        <f t="shared" si="0"/>
        <v>20</v>
      </c>
      <c r="J32" s="2">
        <f t="shared" si="1"/>
        <v>992.5</v>
      </c>
      <c r="K32" s="2"/>
      <c r="L32" s="1">
        <f t="shared" si="3"/>
        <v>17.7745</v>
      </c>
      <c r="M32" s="2">
        <f t="shared" si="4"/>
        <v>845.9</v>
      </c>
      <c r="N32" s="2"/>
      <c r="O32" s="1">
        <f t="shared" si="5"/>
        <v>12.068888888888889</v>
      </c>
      <c r="P32" s="2">
        <f t="shared" si="6"/>
        <v>569.08333333333337</v>
      </c>
    </row>
    <row r="33" spans="1:16" x14ac:dyDescent="0.45">
      <c r="A33" s="12"/>
      <c r="B33" s="4">
        <v>44116</v>
      </c>
      <c r="C33" s="1">
        <v>23.5</v>
      </c>
      <c r="D33">
        <v>1174</v>
      </c>
      <c r="E33">
        <v>2</v>
      </c>
      <c r="F33">
        <v>17261</v>
      </c>
      <c r="G33" s="2">
        <f t="shared" si="2"/>
        <v>14757.25</v>
      </c>
      <c r="H33" s="2"/>
      <c r="I33" s="1">
        <f t="shared" si="0"/>
        <v>20.8125</v>
      </c>
      <c r="J33" s="2">
        <f t="shared" si="1"/>
        <v>1028.5</v>
      </c>
      <c r="K33" s="2"/>
      <c r="L33" s="1">
        <f t="shared" si="3"/>
        <v>19.820499999999999</v>
      </c>
      <c r="M33" s="2">
        <f t="shared" si="4"/>
        <v>955.55</v>
      </c>
      <c r="N33" s="2"/>
      <c r="O33" s="1">
        <f t="shared" si="5"/>
        <v>16.119722222222222</v>
      </c>
      <c r="P33" s="2">
        <f t="shared" si="6"/>
        <v>765.33333333333337</v>
      </c>
    </row>
    <row r="34" spans="1:16" x14ac:dyDescent="0.45">
      <c r="A34" s="12"/>
      <c r="B34" s="4">
        <v>44123</v>
      </c>
      <c r="C34" s="1">
        <v>17</v>
      </c>
      <c r="D34">
        <v>750</v>
      </c>
      <c r="E34">
        <v>2</v>
      </c>
      <c r="F34">
        <v>12122</v>
      </c>
      <c r="G34" s="2">
        <f t="shared" si="2"/>
        <v>13997.75</v>
      </c>
      <c r="H34" s="2"/>
      <c r="I34" s="1">
        <f t="shared" si="0"/>
        <v>19.0625</v>
      </c>
      <c r="J34" s="2">
        <f t="shared" si="1"/>
        <v>936.25</v>
      </c>
      <c r="K34" s="2"/>
      <c r="L34" s="1">
        <f t="shared" si="3"/>
        <v>20.503999999999998</v>
      </c>
      <c r="M34" s="2">
        <f t="shared" si="4"/>
        <v>995.25</v>
      </c>
      <c r="N34" s="2"/>
      <c r="O34" s="1">
        <f t="shared" si="5"/>
        <v>20.642777777777777</v>
      </c>
      <c r="P34" s="2">
        <f t="shared" si="6"/>
        <v>982.41666666666663</v>
      </c>
    </row>
    <row r="35" spans="1:16" x14ac:dyDescent="0.45">
      <c r="A35" s="12"/>
      <c r="B35" s="4">
        <v>44130</v>
      </c>
      <c r="C35" s="1">
        <v>11.5</v>
      </c>
      <c r="D35">
        <v>530</v>
      </c>
      <c r="E35">
        <v>2</v>
      </c>
      <c r="F35">
        <v>7897</v>
      </c>
      <c r="G35" s="2">
        <f t="shared" si="2"/>
        <v>12937.75</v>
      </c>
      <c r="H35" s="2"/>
      <c r="I35" s="1">
        <f t="shared" si="0"/>
        <v>18</v>
      </c>
      <c r="J35" s="2">
        <f t="shared" si="1"/>
        <v>878.75</v>
      </c>
      <c r="K35" s="2"/>
      <c r="L35" s="1">
        <f t="shared" si="3"/>
        <v>19.774999999999999</v>
      </c>
      <c r="M35" s="2">
        <f t="shared" si="4"/>
        <v>967.5</v>
      </c>
      <c r="N35" s="2"/>
      <c r="O35" s="1">
        <f t="shared" si="5"/>
        <v>20.902777777777779</v>
      </c>
      <c r="P35" s="2">
        <f t="shared" si="6"/>
        <v>1008.2222222222222</v>
      </c>
    </row>
    <row r="36" spans="1:16" x14ac:dyDescent="0.45">
      <c r="A36" s="12" t="s">
        <v>13</v>
      </c>
      <c r="B36" s="4">
        <v>44137</v>
      </c>
      <c r="C36" s="1">
        <v>22.25</v>
      </c>
      <c r="D36">
        <v>1496</v>
      </c>
      <c r="E36">
        <v>0</v>
      </c>
      <c r="F36">
        <v>19217</v>
      </c>
      <c r="G36" s="2">
        <f t="shared" si="2"/>
        <v>14124.25</v>
      </c>
      <c r="H36" s="2"/>
      <c r="I36" s="1">
        <f t="shared" si="0"/>
        <v>18.5625</v>
      </c>
      <c r="J36" s="2">
        <f t="shared" si="1"/>
        <v>987.5</v>
      </c>
      <c r="K36" s="2"/>
      <c r="L36" s="1">
        <f t="shared" si="3"/>
        <v>19.287500000000001</v>
      </c>
      <c r="M36" s="2">
        <f t="shared" si="4"/>
        <v>964.7</v>
      </c>
      <c r="N36" s="2"/>
      <c r="O36" s="1">
        <f t="shared" si="5"/>
        <v>19.854166666666668</v>
      </c>
      <c r="P36" s="2">
        <f t="shared" si="6"/>
        <v>984.44444444444446</v>
      </c>
    </row>
    <row r="37" spans="1:16" x14ac:dyDescent="0.45">
      <c r="A37" s="12"/>
      <c r="B37" s="4">
        <v>44144</v>
      </c>
      <c r="C37" s="1">
        <v>10.5</v>
      </c>
      <c r="D37">
        <v>366</v>
      </c>
      <c r="E37">
        <v>2</v>
      </c>
      <c r="F37">
        <v>6900</v>
      </c>
      <c r="G37" s="2">
        <f t="shared" si="2"/>
        <v>11534</v>
      </c>
      <c r="H37" s="2"/>
      <c r="I37" s="1">
        <f t="shared" si="0"/>
        <v>15.3125</v>
      </c>
      <c r="J37" s="2">
        <f t="shared" si="1"/>
        <v>785.5</v>
      </c>
      <c r="K37" s="2"/>
      <c r="L37" s="1">
        <f t="shared" si="3"/>
        <v>18.350000000000001</v>
      </c>
      <c r="M37" s="2">
        <f t="shared" si="4"/>
        <v>923.3</v>
      </c>
      <c r="N37" s="2"/>
      <c r="O37" s="1">
        <f t="shared" si="5"/>
        <v>19.368055555555557</v>
      </c>
      <c r="P37" s="2">
        <f t="shared" si="6"/>
        <v>957.11111111111109</v>
      </c>
    </row>
    <row r="38" spans="1:16" x14ac:dyDescent="0.45">
      <c r="A38" s="12"/>
      <c r="B38" s="4">
        <v>44151</v>
      </c>
      <c r="C38" s="1">
        <v>19.5</v>
      </c>
      <c r="D38">
        <v>1022</v>
      </c>
      <c r="E38">
        <v>1</v>
      </c>
      <c r="F38">
        <v>11527</v>
      </c>
      <c r="G38" s="2">
        <f t="shared" si="2"/>
        <v>11385.25</v>
      </c>
      <c r="H38" s="2"/>
      <c r="I38" s="1">
        <f t="shared" si="0"/>
        <v>15.9375</v>
      </c>
      <c r="J38" s="2">
        <f t="shared" si="1"/>
        <v>853.5</v>
      </c>
      <c r="K38" s="2"/>
      <c r="L38" s="1">
        <f t="shared" si="3"/>
        <v>17.375</v>
      </c>
      <c r="M38" s="2">
        <f t="shared" si="4"/>
        <v>888.3</v>
      </c>
      <c r="N38" s="2"/>
      <c r="O38" s="1">
        <f t="shared" si="5"/>
        <v>17.923611111111111</v>
      </c>
      <c r="P38" s="2">
        <f t="shared" si="6"/>
        <v>907.30555555555554</v>
      </c>
    </row>
    <row r="39" spans="1:16" x14ac:dyDescent="0.45">
      <c r="A39" s="12" t="s">
        <v>14</v>
      </c>
      <c r="B39" s="4">
        <v>44158</v>
      </c>
      <c r="C39" s="1">
        <v>12.5</v>
      </c>
      <c r="D39">
        <v>623</v>
      </c>
      <c r="E39">
        <v>0</v>
      </c>
      <c r="F39">
        <v>8014</v>
      </c>
      <c r="G39" s="2">
        <f t="shared" si="2"/>
        <v>11414.5</v>
      </c>
      <c r="H39" s="2"/>
      <c r="I39" s="1">
        <f t="shared" si="0"/>
        <v>16.1875</v>
      </c>
      <c r="J39" s="2">
        <f t="shared" si="1"/>
        <v>876.75</v>
      </c>
      <c r="K39" s="2"/>
      <c r="L39" s="1">
        <f t="shared" si="3"/>
        <v>16.8</v>
      </c>
      <c r="M39" s="2">
        <f t="shared" si="4"/>
        <v>876.4</v>
      </c>
      <c r="N39" s="2"/>
      <c r="O39" s="1">
        <f t="shared" si="5"/>
        <v>18.222222222222221</v>
      </c>
      <c r="P39" s="2">
        <f t="shared" si="6"/>
        <v>933.47222222222217</v>
      </c>
    </row>
    <row r="40" spans="1:16" x14ac:dyDescent="0.45">
      <c r="A40" s="12" t="s">
        <v>15</v>
      </c>
      <c r="B40" s="4">
        <v>44165</v>
      </c>
      <c r="C40" s="1">
        <v>24</v>
      </c>
      <c r="D40">
        <v>1123</v>
      </c>
      <c r="E40">
        <v>0</v>
      </c>
      <c r="F40">
        <v>9221</v>
      </c>
      <c r="G40" s="2">
        <f t="shared" si="2"/>
        <v>8915.5</v>
      </c>
      <c r="H40" s="2"/>
      <c r="I40" s="1">
        <f t="shared" si="0"/>
        <v>16.625</v>
      </c>
      <c r="J40" s="2">
        <f t="shared" si="1"/>
        <v>783.5</v>
      </c>
      <c r="K40" s="2"/>
      <c r="L40" s="1">
        <f t="shared" si="3"/>
        <v>16.524999999999999</v>
      </c>
      <c r="M40" s="2">
        <f t="shared" si="4"/>
        <v>857.35</v>
      </c>
      <c r="N40" s="2"/>
      <c r="O40" s="1">
        <f t="shared" si="5"/>
        <v>17.6875</v>
      </c>
      <c r="P40" s="2">
        <f t="shared" si="6"/>
        <v>894.47222222222217</v>
      </c>
    </row>
    <row r="41" spans="1:16" x14ac:dyDescent="0.45">
      <c r="A41" s="12"/>
      <c r="B41" s="4">
        <v>44172</v>
      </c>
      <c r="C41" s="1">
        <v>11.33</v>
      </c>
      <c r="D41">
        <v>601</v>
      </c>
      <c r="E41">
        <v>2</v>
      </c>
      <c r="F41">
        <v>4973</v>
      </c>
      <c r="G41" s="2">
        <f t="shared" si="2"/>
        <v>8433.75</v>
      </c>
      <c r="H41" s="2"/>
      <c r="I41" s="1">
        <f t="shared" si="0"/>
        <v>16.8325</v>
      </c>
      <c r="J41" s="2">
        <f t="shared" si="1"/>
        <v>842.25</v>
      </c>
      <c r="K41" s="2"/>
      <c r="L41" s="1">
        <f t="shared" si="3"/>
        <v>16.178999999999998</v>
      </c>
      <c r="M41" s="2">
        <f t="shared" si="4"/>
        <v>828.3</v>
      </c>
      <c r="N41" s="2"/>
      <c r="O41" s="1">
        <f t="shared" si="5"/>
        <v>16.036944444444444</v>
      </c>
      <c r="P41" s="2">
        <f t="shared" si="6"/>
        <v>814.44444444444446</v>
      </c>
    </row>
    <row r="42" spans="1:16" x14ac:dyDescent="0.45">
      <c r="A42" s="12"/>
      <c r="B42" s="4">
        <v>44179</v>
      </c>
      <c r="C42" s="1">
        <v>19.25</v>
      </c>
      <c r="D42">
        <v>860</v>
      </c>
      <c r="E42">
        <v>2</v>
      </c>
      <c r="F42">
        <v>13151</v>
      </c>
      <c r="G42" s="2">
        <f t="shared" si="2"/>
        <v>8839.75</v>
      </c>
      <c r="H42" s="2"/>
      <c r="I42" s="1">
        <f t="shared" si="0"/>
        <v>16.77</v>
      </c>
      <c r="J42" s="2">
        <f t="shared" si="1"/>
        <v>801.75</v>
      </c>
      <c r="K42" s="2"/>
      <c r="L42" s="1">
        <f t="shared" si="3"/>
        <v>16.470500000000001</v>
      </c>
      <c r="M42" s="2">
        <f t="shared" si="4"/>
        <v>831.55</v>
      </c>
      <c r="N42" s="2"/>
      <c r="O42" s="1">
        <f t="shared" si="5"/>
        <v>15.893333333333333</v>
      </c>
      <c r="P42" s="2">
        <f t="shared" si="6"/>
        <v>831.69444444444446</v>
      </c>
    </row>
    <row r="43" spans="1:16" x14ac:dyDescent="0.45">
      <c r="A43" s="12"/>
      <c r="B43" s="4">
        <v>44186</v>
      </c>
      <c r="C43" s="1">
        <v>10.5</v>
      </c>
      <c r="D43">
        <v>516</v>
      </c>
      <c r="E43">
        <v>2</v>
      </c>
      <c r="F43">
        <v>8018</v>
      </c>
      <c r="G43" s="2">
        <f t="shared" si="2"/>
        <v>8840.75</v>
      </c>
      <c r="H43" s="2"/>
      <c r="I43" s="1">
        <f t="shared" si="0"/>
        <v>16.27</v>
      </c>
      <c r="J43" s="2">
        <f t="shared" si="1"/>
        <v>775</v>
      </c>
      <c r="K43" s="2"/>
      <c r="L43" s="1">
        <f t="shared" si="3"/>
        <v>16.536999999999999</v>
      </c>
      <c r="M43" s="2">
        <f t="shared" si="4"/>
        <v>815.85</v>
      </c>
      <c r="N43" s="2"/>
      <c r="O43" s="1">
        <f t="shared" si="5"/>
        <v>16.944166666666668</v>
      </c>
      <c r="P43" s="2">
        <f t="shared" si="6"/>
        <v>897.44444444444446</v>
      </c>
    </row>
    <row r="44" spans="1:16" x14ac:dyDescent="0.45">
      <c r="A44" s="12"/>
      <c r="B44" s="4">
        <v>44193</v>
      </c>
      <c r="C44" s="1">
        <v>19</v>
      </c>
      <c r="D44">
        <v>772</v>
      </c>
      <c r="E44">
        <v>1</v>
      </c>
      <c r="F44">
        <v>10617</v>
      </c>
      <c r="G44" s="2">
        <f t="shared" si="2"/>
        <v>9189.75</v>
      </c>
      <c r="H44" s="2"/>
      <c r="I44" s="1">
        <f t="shared" si="0"/>
        <v>15.02</v>
      </c>
      <c r="J44" s="2">
        <f t="shared" si="1"/>
        <v>687.25</v>
      </c>
      <c r="K44" s="2"/>
      <c r="L44" s="1">
        <f t="shared" si="3"/>
        <v>16.3035</v>
      </c>
      <c r="M44" s="2">
        <f t="shared" si="4"/>
        <v>777.95</v>
      </c>
      <c r="N44" s="2"/>
      <c r="O44" s="1">
        <f t="shared" si="5"/>
        <v>15.515833333333331</v>
      </c>
      <c r="P44" s="2">
        <f t="shared" si="6"/>
        <v>728.41666666666663</v>
      </c>
    </row>
    <row r="45" spans="1:16" x14ac:dyDescent="0.45">
      <c r="A45" s="12"/>
      <c r="B45" s="4">
        <v>44200</v>
      </c>
      <c r="C45" s="1">
        <v>18.25</v>
      </c>
      <c r="D45">
        <v>1211</v>
      </c>
      <c r="E45">
        <v>2</v>
      </c>
      <c r="F45">
        <v>10816</v>
      </c>
      <c r="G45" s="2">
        <f t="shared" si="2"/>
        <v>10650.5</v>
      </c>
      <c r="H45" s="2"/>
      <c r="I45" s="1">
        <f t="shared" si="0"/>
        <v>16.75</v>
      </c>
      <c r="J45" s="2">
        <f t="shared" si="1"/>
        <v>839.75</v>
      </c>
      <c r="K45" s="2"/>
      <c r="L45" s="1">
        <f t="shared" si="3"/>
        <v>16.328499999999998</v>
      </c>
      <c r="M45" s="2">
        <f t="shared" si="4"/>
        <v>789.2</v>
      </c>
      <c r="N45" s="2"/>
      <c r="O45" s="1">
        <f t="shared" si="5"/>
        <v>16.913888888888888</v>
      </c>
      <c r="P45" s="2">
        <f t="shared" si="6"/>
        <v>833.97222222222217</v>
      </c>
    </row>
    <row r="46" spans="1:16" x14ac:dyDescent="0.45">
      <c r="A46" s="12" t="s">
        <v>16</v>
      </c>
      <c r="B46" s="4">
        <v>44207</v>
      </c>
      <c r="C46" s="1">
        <v>19.5</v>
      </c>
      <c r="D46">
        <v>1168</v>
      </c>
      <c r="E46">
        <v>0</v>
      </c>
      <c r="F46">
        <v>15690</v>
      </c>
      <c r="G46" s="2">
        <f t="shared" si="2"/>
        <v>11285.25</v>
      </c>
      <c r="H46" s="2"/>
      <c r="I46" s="1">
        <f t="shared" si="0"/>
        <v>16.8125</v>
      </c>
      <c r="J46" s="2">
        <f t="shared" si="1"/>
        <v>916.75</v>
      </c>
      <c r="K46" s="2"/>
      <c r="L46" s="1">
        <f t="shared" si="3"/>
        <v>16.3245</v>
      </c>
      <c r="M46" s="2">
        <f t="shared" si="4"/>
        <v>804.1</v>
      </c>
      <c r="N46" s="2"/>
      <c r="O46" s="1">
        <f t="shared" si="5"/>
        <v>16.311944444444446</v>
      </c>
      <c r="P46" s="2">
        <f t="shared" si="6"/>
        <v>797.80555555555554</v>
      </c>
    </row>
    <row r="47" spans="1:16" x14ac:dyDescent="0.45">
      <c r="A47" s="12"/>
      <c r="B47" s="4">
        <v>44214</v>
      </c>
      <c r="C47" s="1">
        <v>14</v>
      </c>
      <c r="D47">
        <v>777</v>
      </c>
      <c r="E47">
        <v>1</v>
      </c>
      <c r="F47">
        <v>11568</v>
      </c>
      <c r="G47" s="2">
        <f t="shared" si="2"/>
        <v>12172.75</v>
      </c>
      <c r="H47" s="2"/>
      <c r="I47" s="1">
        <f t="shared" si="0"/>
        <v>17.6875</v>
      </c>
      <c r="J47" s="2">
        <f t="shared" si="1"/>
        <v>982</v>
      </c>
      <c r="K47" s="2"/>
      <c r="L47" s="1">
        <f t="shared" si="3"/>
        <v>16.507999999999999</v>
      </c>
      <c r="M47" s="2">
        <f t="shared" si="4"/>
        <v>840.15</v>
      </c>
      <c r="N47" s="2"/>
      <c r="O47" s="1">
        <f t="shared" si="5"/>
        <v>17.307222222222222</v>
      </c>
      <c r="P47" s="2">
        <f t="shared" si="6"/>
        <v>854.58333333333337</v>
      </c>
    </row>
    <row r="48" spans="1:16" x14ac:dyDescent="0.45">
      <c r="A48" s="12"/>
      <c r="B48" s="4">
        <v>44221</v>
      </c>
      <c r="C48" s="1">
        <v>15</v>
      </c>
      <c r="D48">
        <v>704</v>
      </c>
      <c r="E48">
        <v>1</v>
      </c>
      <c r="F48">
        <v>9774</v>
      </c>
      <c r="G48" s="2">
        <f t="shared" si="2"/>
        <v>11962</v>
      </c>
      <c r="H48" s="2"/>
      <c r="I48" s="1">
        <f t="shared" si="0"/>
        <v>16.6875</v>
      </c>
      <c r="J48" s="2">
        <f t="shared" si="1"/>
        <v>965</v>
      </c>
      <c r="K48" s="2"/>
      <c r="L48" s="1">
        <f t="shared" si="3"/>
        <v>16.5915</v>
      </c>
      <c r="M48" s="2">
        <f t="shared" si="4"/>
        <v>878.15</v>
      </c>
      <c r="N48" s="2"/>
      <c r="O48" s="1">
        <f t="shared" si="5"/>
        <v>15.496944444444445</v>
      </c>
      <c r="P48" s="2">
        <f t="shared" si="6"/>
        <v>788.61111111111109</v>
      </c>
    </row>
    <row r="49" spans="1:16" x14ac:dyDescent="0.45">
      <c r="A49" s="12"/>
      <c r="B49" s="4">
        <v>44228</v>
      </c>
      <c r="C49" s="1">
        <v>16</v>
      </c>
      <c r="D49">
        <v>779</v>
      </c>
      <c r="E49">
        <v>2</v>
      </c>
      <c r="F49">
        <v>10616</v>
      </c>
      <c r="G49" s="2">
        <f t="shared" si="2"/>
        <v>11912</v>
      </c>
      <c r="H49" s="2"/>
      <c r="I49" s="1">
        <f t="shared" si="0"/>
        <v>16.125</v>
      </c>
      <c r="J49" s="2">
        <f t="shared" si="1"/>
        <v>857</v>
      </c>
      <c r="K49" s="2"/>
      <c r="L49" s="1">
        <f t="shared" si="3"/>
        <v>16.8125</v>
      </c>
      <c r="M49" s="2">
        <f t="shared" si="4"/>
        <v>912.1</v>
      </c>
      <c r="N49" s="2"/>
      <c r="O49" s="1">
        <f t="shared" si="5"/>
        <v>16.631944444444443</v>
      </c>
      <c r="P49" s="2">
        <f t="shared" si="6"/>
        <v>843.58333333333337</v>
      </c>
    </row>
    <row r="50" spans="1:16" x14ac:dyDescent="0.45">
      <c r="A50" s="12" t="s">
        <v>17</v>
      </c>
      <c r="B50" s="4">
        <v>44235</v>
      </c>
      <c r="C50" s="1">
        <v>17</v>
      </c>
      <c r="D50">
        <v>814</v>
      </c>
      <c r="E50">
        <v>1</v>
      </c>
      <c r="F50">
        <v>11833</v>
      </c>
      <c r="G50" s="2">
        <f t="shared" si="2"/>
        <v>10947.75</v>
      </c>
      <c r="H50" s="2"/>
      <c r="I50" s="1">
        <f t="shared" si="0"/>
        <v>15.5</v>
      </c>
      <c r="J50" s="2">
        <f t="shared" si="1"/>
        <v>768.5</v>
      </c>
      <c r="K50" s="2"/>
      <c r="L50" s="1">
        <f t="shared" si="3"/>
        <v>16.5625</v>
      </c>
      <c r="M50" s="2">
        <f t="shared" si="4"/>
        <v>897.85</v>
      </c>
      <c r="N50" s="2"/>
      <c r="O50" s="1">
        <f t="shared" si="5"/>
        <v>15.944444444444445</v>
      </c>
      <c r="P50" s="2">
        <f t="shared" si="6"/>
        <v>839.72222222222217</v>
      </c>
    </row>
    <row r="51" spans="1:16" x14ac:dyDescent="0.45">
      <c r="A51" s="12"/>
      <c r="B51" s="4">
        <v>44242</v>
      </c>
      <c r="C51" s="1">
        <v>11</v>
      </c>
      <c r="D51">
        <v>475</v>
      </c>
      <c r="E51">
        <v>1</v>
      </c>
      <c r="F51">
        <v>4694</v>
      </c>
      <c r="G51" s="2">
        <f t="shared" si="2"/>
        <v>9229.25</v>
      </c>
      <c r="H51" s="2"/>
      <c r="I51" s="1">
        <f t="shared" si="0"/>
        <v>14.75</v>
      </c>
      <c r="J51" s="2">
        <f t="shared" si="1"/>
        <v>693</v>
      </c>
      <c r="K51" s="2"/>
      <c r="L51" s="1">
        <f t="shared" si="3"/>
        <v>16.149999999999999</v>
      </c>
      <c r="M51" s="2">
        <f t="shared" si="4"/>
        <v>853.1</v>
      </c>
      <c r="N51" s="2"/>
      <c r="O51" s="1">
        <f t="shared" si="5"/>
        <v>17.215277777777779</v>
      </c>
      <c r="P51" s="2">
        <f t="shared" si="6"/>
        <v>911.16666666666663</v>
      </c>
    </row>
    <row r="52" spans="1:16" x14ac:dyDescent="0.45">
      <c r="A52" s="12" t="s">
        <v>18</v>
      </c>
      <c r="B52" s="4">
        <v>44249</v>
      </c>
      <c r="C52" s="1">
        <v>7.33</v>
      </c>
      <c r="D52">
        <v>361</v>
      </c>
      <c r="E52">
        <v>0</v>
      </c>
      <c r="F52">
        <v>4353</v>
      </c>
      <c r="G52" s="2">
        <f t="shared" si="2"/>
        <v>7874</v>
      </c>
      <c r="H52" s="2"/>
      <c r="I52" s="1">
        <f t="shared" si="0"/>
        <v>12.8325</v>
      </c>
      <c r="J52" s="2">
        <f t="shared" si="1"/>
        <v>607.25</v>
      </c>
      <c r="K52" s="2"/>
      <c r="L52" s="1">
        <f t="shared" si="3"/>
        <v>15.178999999999998</v>
      </c>
      <c r="M52" s="2">
        <f t="shared" si="4"/>
        <v>778.15</v>
      </c>
      <c r="N52" s="2"/>
      <c r="O52" s="1">
        <f t="shared" si="5"/>
        <v>16.273055555555555</v>
      </c>
      <c r="P52" s="2">
        <f t="shared" si="6"/>
        <v>914.30555555555554</v>
      </c>
    </row>
    <row r="53" spans="1:16" x14ac:dyDescent="0.45">
      <c r="A53" s="12"/>
      <c r="B53" s="4">
        <v>44256</v>
      </c>
      <c r="C53" s="1">
        <v>0</v>
      </c>
      <c r="D53">
        <v>0</v>
      </c>
      <c r="E53">
        <v>0</v>
      </c>
      <c r="F53">
        <v>0</v>
      </c>
      <c r="G53" s="2">
        <f t="shared" si="2"/>
        <v>5220</v>
      </c>
      <c r="H53" s="2"/>
      <c r="I53" s="1">
        <f t="shared" si="0"/>
        <v>8.8324999999999996</v>
      </c>
      <c r="J53" s="2">
        <f t="shared" si="1"/>
        <v>412.5</v>
      </c>
      <c r="K53" s="2"/>
      <c r="L53" s="1">
        <f t="shared" si="3"/>
        <v>13.608000000000001</v>
      </c>
      <c r="M53" s="2">
        <f t="shared" si="4"/>
        <v>667.65</v>
      </c>
      <c r="N53" s="2"/>
      <c r="O53" s="1">
        <f t="shared" si="5"/>
        <v>14.990555555555554</v>
      </c>
      <c r="P53" s="2">
        <f t="shared" si="6"/>
        <v>786.25</v>
      </c>
    </row>
    <row r="54" spans="1:16" x14ac:dyDescent="0.45">
      <c r="A54" s="12"/>
      <c r="B54" s="4">
        <v>44263</v>
      </c>
      <c r="C54" s="1">
        <v>6.66</v>
      </c>
      <c r="D54">
        <v>276</v>
      </c>
      <c r="E54">
        <v>1</v>
      </c>
      <c r="F54">
        <v>622</v>
      </c>
      <c r="G54" s="2">
        <f t="shared" si="2"/>
        <v>2417.25</v>
      </c>
      <c r="H54" s="2"/>
      <c r="I54" s="1">
        <f t="shared" si="0"/>
        <v>6.2474999999999996</v>
      </c>
      <c r="J54" s="2">
        <f t="shared" si="1"/>
        <v>278</v>
      </c>
      <c r="K54" s="2"/>
      <c r="L54" s="1">
        <f t="shared" si="3"/>
        <v>11.6325</v>
      </c>
      <c r="M54" s="2">
        <f t="shared" si="4"/>
        <v>551.85</v>
      </c>
      <c r="N54" s="2"/>
      <c r="O54" s="1">
        <f t="shared" si="5"/>
        <v>13.073611111111111</v>
      </c>
      <c r="P54" s="2">
        <f t="shared" si="6"/>
        <v>642.97222222222217</v>
      </c>
    </row>
    <row r="55" spans="1:16" x14ac:dyDescent="0.45">
      <c r="A55" s="12"/>
      <c r="B55" s="4">
        <v>44270</v>
      </c>
      <c r="C55" s="1">
        <v>20</v>
      </c>
      <c r="D55">
        <v>800</v>
      </c>
      <c r="E55">
        <v>2</v>
      </c>
      <c r="F55">
        <v>11149</v>
      </c>
      <c r="G55" s="2">
        <f t="shared" si="2"/>
        <v>4031</v>
      </c>
      <c r="H55" s="2"/>
      <c r="I55" s="1">
        <f t="shared" si="0"/>
        <v>8.4975000000000005</v>
      </c>
      <c r="J55" s="2">
        <f t="shared" si="1"/>
        <v>359.25</v>
      </c>
      <c r="K55" s="2"/>
      <c r="L55" s="1">
        <f t="shared" si="3"/>
        <v>10.231999999999999</v>
      </c>
      <c r="M55" s="2">
        <f t="shared" si="4"/>
        <v>470</v>
      </c>
      <c r="N55" s="2"/>
      <c r="O55" s="1">
        <f t="shared" si="5"/>
        <v>12.545555555555556</v>
      </c>
      <c r="P55" s="2">
        <f t="shared" si="6"/>
        <v>587.22222222222217</v>
      </c>
    </row>
    <row r="56" spans="1:16" x14ac:dyDescent="0.45">
      <c r="A56" s="12"/>
      <c r="B56" s="4">
        <v>44277</v>
      </c>
      <c r="C56" s="1">
        <v>18.75</v>
      </c>
      <c r="D56">
        <v>841</v>
      </c>
      <c r="E56">
        <v>2</v>
      </c>
      <c r="F56">
        <v>12808</v>
      </c>
      <c r="G56" s="2">
        <f t="shared" si="2"/>
        <v>6144.75</v>
      </c>
      <c r="H56" s="2"/>
      <c r="I56" s="1">
        <f t="shared" si="0"/>
        <v>11.352499999999999</v>
      </c>
      <c r="J56" s="2">
        <f t="shared" si="1"/>
        <v>479.25</v>
      </c>
      <c r="K56" s="2"/>
      <c r="L56" s="1">
        <f t="shared" si="3"/>
        <v>9.5524999999999984</v>
      </c>
      <c r="M56" s="2">
        <f t="shared" si="4"/>
        <v>427.25</v>
      </c>
      <c r="N56" s="2"/>
      <c r="O56" s="1">
        <f t="shared" si="5"/>
        <v>11.899444444444445</v>
      </c>
      <c r="P56" s="2">
        <f t="shared" si="6"/>
        <v>551.5</v>
      </c>
    </row>
    <row r="57" spans="1:16" x14ac:dyDescent="0.45">
      <c r="A57" s="12" t="s">
        <v>19</v>
      </c>
      <c r="B57" s="4">
        <v>44284</v>
      </c>
      <c r="C57" s="1">
        <v>18.75</v>
      </c>
      <c r="D57">
        <v>845</v>
      </c>
      <c r="E57">
        <v>1</v>
      </c>
      <c r="F57">
        <v>12798</v>
      </c>
      <c r="G57" s="2">
        <f t="shared" si="2"/>
        <v>9344.25</v>
      </c>
      <c r="H57" s="2"/>
      <c r="I57" s="1">
        <f t="shared" si="0"/>
        <v>16.04</v>
      </c>
      <c r="J57" s="2">
        <f t="shared" si="1"/>
        <v>690.5</v>
      </c>
      <c r="K57" s="2"/>
      <c r="L57" s="1">
        <f t="shared" si="3"/>
        <v>10.193999999999999</v>
      </c>
      <c r="M57" s="2">
        <f t="shared" si="4"/>
        <v>443.9</v>
      </c>
      <c r="N57" s="2"/>
      <c r="O57" s="1">
        <f t="shared" si="5"/>
        <v>11.1075</v>
      </c>
      <c r="P57" s="2">
        <f t="shared" si="6"/>
        <v>500.94444444444446</v>
      </c>
    </row>
    <row r="58" spans="1:16" x14ac:dyDescent="0.45">
      <c r="A58" s="12"/>
      <c r="B58" s="4">
        <v>44291</v>
      </c>
      <c r="C58" s="1">
        <v>17.329999999999998</v>
      </c>
      <c r="D58">
        <v>775</v>
      </c>
      <c r="E58">
        <v>2</v>
      </c>
      <c r="F58">
        <v>12969</v>
      </c>
      <c r="G58" s="2">
        <f t="shared" si="2"/>
        <v>12431</v>
      </c>
      <c r="H58" s="2"/>
      <c r="I58" s="1">
        <f t="shared" si="0"/>
        <v>18.7075</v>
      </c>
      <c r="J58" s="2">
        <f t="shared" si="1"/>
        <v>815.25</v>
      </c>
      <c r="K58" s="2"/>
      <c r="L58" s="1">
        <f t="shared" si="3"/>
        <v>12.169</v>
      </c>
      <c r="M58" s="2">
        <f t="shared" si="4"/>
        <v>524.45000000000005</v>
      </c>
      <c r="N58" s="2"/>
      <c r="O58" s="1">
        <f t="shared" si="5"/>
        <v>10.102499999999999</v>
      </c>
      <c r="P58" s="2">
        <f t="shared" si="6"/>
        <v>441.52777777777777</v>
      </c>
    </row>
    <row r="59" spans="1:16" x14ac:dyDescent="0.45">
      <c r="A59" s="12"/>
      <c r="B59" s="4">
        <v>44298</v>
      </c>
      <c r="C59" s="1">
        <v>21.33</v>
      </c>
      <c r="D59">
        <v>1025</v>
      </c>
      <c r="E59">
        <v>2</v>
      </c>
      <c r="F59">
        <v>15993</v>
      </c>
      <c r="G59" s="2">
        <f t="shared" si="2"/>
        <v>13642</v>
      </c>
      <c r="H59" s="2"/>
      <c r="I59" s="1">
        <f t="shared" si="0"/>
        <v>19.04</v>
      </c>
      <c r="J59" s="2">
        <f t="shared" si="1"/>
        <v>871.5</v>
      </c>
      <c r="K59" s="2"/>
      <c r="L59" s="1">
        <f t="shared" si="3"/>
        <v>14.727500000000001</v>
      </c>
      <c r="M59" s="2">
        <f t="shared" si="4"/>
        <v>643.15</v>
      </c>
      <c r="N59" s="2"/>
      <c r="O59" s="1">
        <f t="shared" si="5"/>
        <v>10.717777777777776</v>
      </c>
      <c r="P59" s="2">
        <f t="shared" si="6"/>
        <v>472.72222222222223</v>
      </c>
    </row>
    <row r="60" spans="1:16" x14ac:dyDescent="0.45">
      <c r="A60" s="12"/>
      <c r="B60" s="4">
        <v>44305</v>
      </c>
      <c r="C60" s="1">
        <v>15.66</v>
      </c>
      <c r="D60">
        <v>622</v>
      </c>
      <c r="E60">
        <v>2</v>
      </c>
      <c r="F60">
        <v>11732</v>
      </c>
      <c r="G60" s="2">
        <f t="shared" si="2"/>
        <v>13373</v>
      </c>
      <c r="H60" s="2"/>
      <c r="I60" s="1">
        <f t="shared" si="0"/>
        <v>18.267499999999998</v>
      </c>
      <c r="J60" s="2">
        <f t="shared" si="1"/>
        <v>816.75</v>
      </c>
      <c r="K60" s="2"/>
      <c r="L60" s="1">
        <f t="shared" si="3"/>
        <v>16.681500000000003</v>
      </c>
      <c r="M60" s="2">
        <f t="shared" si="4"/>
        <v>734.65</v>
      </c>
      <c r="N60" s="2"/>
      <c r="O60" s="1">
        <f t="shared" si="5"/>
        <v>12.38</v>
      </c>
      <c r="P60" s="2">
        <f t="shared" si="6"/>
        <v>536.5</v>
      </c>
    </row>
    <row r="61" spans="1:16" x14ac:dyDescent="0.45">
      <c r="A61" s="12" t="s">
        <v>20</v>
      </c>
      <c r="B61" s="4">
        <v>44312</v>
      </c>
      <c r="C61" s="1">
        <v>26.5</v>
      </c>
      <c r="D61">
        <v>1382</v>
      </c>
      <c r="E61">
        <v>0</v>
      </c>
      <c r="F61">
        <v>21116</v>
      </c>
      <c r="G61" s="2">
        <f t="shared" si="2"/>
        <v>15452.5</v>
      </c>
      <c r="H61" s="2"/>
      <c r="I61" s="1">
        <f t="shared" si="0"/>
        <v>20.204999999999998</v>
      </c>
      <c r="J61" s="2">
        <f t="shared" si="1"/>
        <v>951</v>
      </c>
      <c r="K61" s="2"/>
      <c r="L61" s="1">
        <f t="shared" si="3"/>
        <v>18.451999999999998</v>
      </c>
      <c r="M61" s="2">
        <f t="shared" si="4"/>
        <v>829</v>
      </c>
      <c r="N61" s="2"/>
      <c r="O61" s="1">
        <f t="shared" si="5"/>
        <v>16.40722222222222</v>
      </c>
      <c r="P61" s="2">
        <f t="shared" si="6"/>
        <v>718.88888888888891</v>
      </c>
    </row>
    <row r="62" spans="1:16" x14ac:dyDescent="0.45">
      <c r="A62" s="12"/>
      <c r="B62" s="4">
        <v>44319</v>
      </c>
      <c r="C62" s="1">
        <v>15.75</v>
      </c>
      <c r="D62">
        <v>461</v>
      </c>
      <c r="E62">
        <v>1</v>
      </c>
      <c r="F62">
        <v>5556</v>
      </c>
      <c r="G62" s="2">
        <f t="shared" si="2"/>
        <v>13599.25</v>
      </c>
      <c r="H62" s="2"/>
      <c r="I62" s="1">
        <f t="shared" si="0"/>
        <v>19.809999999999999</v>
      </c>
      <c r="J62" s="2">
        <f t="shared" si="1"/>
        <v>872.5</v>
      </c>
      <c r="K62" s="2"/>
      <c r="L62" s="1">
        <f t="shared" si="3"/>
        <v>19.206</v>
      </c>
      <c r="M62" s="2">
        <f t="shared" si="4"/>
        <v>865.4</v>
      </c>
      <c r="N62" s="2"/>
      <c r="O62" s="1">
        <f t="shared" si="5"/>
        <v>19.206944444444446</v>
      </c>
      <c r="P62" s="2">
        <f t="shared" si="6"/>
        <v>845.08333333333337</v>
      </c>
    </row>
    <row r="63" spans="1:16" x14ac:dyDescent="0.45">
      <c r="A63" s="12"/>
      <c r="B63" s="4">
        <v>44326</v>
      </c>
      <c r="C63" s="1">
        <v>21.25</v>
      </c>
      <c r="D63">
        <v>920</v>
      </c>
      <c r="E63">
        <v>2</v>
      </c>
      <c r="F63">
        <v>14950</v>
      </c>
      <c r="G63" s="2">
        <f t="shared" si="2"/>
        <v>13338.5</v>
      </c>
      <c r="H63" s="2"/>
      <c r="I63" s="1">
        <f t="shared" si="0"/>
        <v>19.79</v>
      </c>
      <c r="J63" s="2">
        <f t="shared" si="1"/>
        <v>846.25</v>
      </c>
      <c r="K63" s="2"/>
      <c r="L63" s="1">
        <f t="shared" si="3"/>
        <v>19.422499999999999</v>
      </c>
      <c r="M63" s="2">
        <f t="shared" si="4"/>
        <v>871.6</v>
      </c>
      <c r="N63" s="2"/>
      <c r="O63" s="1">
        <f t="shared" si="5"/>
        <v>19.076944444444443</v>
      </c>
      <c r="P63" s="2">
        <f t="shared" si="6"/>
        <v>858.16666666666663</v>
      </c>
    </row>
    <row r="64" spans="1:16" x14ac:dyDescent="0.45">
      <c r="A64" s="12"/>
      <c r="B64" s="4">
        <v>44333</v>
      </c>
      <c r="C64" s="1">
        <v>19</v>
      </c>
      <c r="D64">
        <v>884</v>
      </c>
      <c r="E64">
        <v>2</v>
      </c>
      <c r="F64">
        <v>13184</v>
      </c>
      <c r="G64" s="2">
        <f t="shared" si="2"/>
        <v>13701.5</v>
      </c>
      <c r="H64" s="2"/>
      <c r="I64" s="1">
        <f t="shared" si="0"/>
        <v>20.625</v>
      </c>
      <c r="J64" s="2">
        <f t="shared" si="1"/>
        <v>911.75</v>
      </c>
      <c r="K64" s="2"/>
      <c r="L64" s="1">
        <f t="shared" si="3"/>
        <v>19.7395</v>
      </c>
      <c r="M64" s="2">
        <f t="shared" si="4"/>
        <v>879.65</v>
      </c>
      <c r="N64" s="2"/>
      <c r="O64" s="1">
        <f t="shared" si="5"/>
        <v>19.231666666666666</v>
      </c>
      <c r="P64" s="2">
        <f t="shared" si="6"/>
        <v>863.33333333333337</v>
      </c>
    </row>
    <row r="65" spans="1:16" x14ac:dyDescent="0.45">
      <c r="A65" s="12"/>
      <c r="B65" s="4">
        <v>44340</v>
      </c>
      <c r="C65" s="1">
        <v>19.25</v>
      </c>
      <c r="D65">
        <v>932</v>
      </c>
      <c r="E65">
        <v>2</v>
      </c>
      <c r="F65">
        <v>13278</v>
      </c>
      <c r="G65" s="2">
        <f t="shared" si="2"/>
        <v>11742</v>
      </c>
      <c r="H65" s="2"/>
      <c r="I65" s="1">
        <f t="shared" si="0"/>
        <v>18.8125</v>
      </c>
      <c r="J65" s="2">
        <f t="shared" si="1"/>
        <v>799.25</v>
      </c>
      <c r="K65" s="2"/>
      <c r="L65" s="1">
        <f t="shared" si="3"/>
        <v>19.848500000000001</v>
      </c>
      <c r="M65" s="2">
        <f t="shared" si="4"/>
        <v>876.15</v>
      </c>
      <c r="N65" s="2"/>
      <c r="O65" s="1">
        <f t="shared" si="5"/>
        <v>19.400277777777777</v>
      </c>
      <c r="P65" s="2">
        <f t="shared" si="6"/>
        <v>870.02777777777783</v>
      </c>
    </row>
    <row r="66" spans="1:16" x14ac:dyDescent="0.45">
      <c r="A66" s="12"/>
      <c r="B66" s="4">
        <v>44347</v>
      </c>
      <c r="C66" s="1">
        <v>10.5</v>
      </c>
      <c r="D66">
        <v>445</v>
      </c>
      <c r="E66">
        <v>1</v>
      </c>
      <c r="F66">
        <v>7669</v>
      </c>
      <c r="G66" s="2">
        <f t="shared" si="2"/>
        <v>12270.25</v>
      </c>
      <c r="H66" s="2"/>
      <c r="I66" s="1">
        <f t="shared" si="0"/>
        <v>17.5</v>
      </c>
      <c r="J66" s="2">
        <f t="shared" si="1"/>
        <v>795.25</v>
      </c>
      <c r="K66" s="2"/>
      <c r="L66" s="1">
        <f t="shared" si="3"/>
        <v>19.307499999999997</v>
      </c>
      <c r="M66" s="2">
        <f t="shared" si="4"/>
        <v>845</v>
      </c>
      <c r="N66" s="2"/>
      <c r="O66" s="1">
        <f t="shared" si="5"/>
        <v>19.694722222222222</v>
      </c>
      <c r="P66" s="2">
        <f t="shared" si="6"/>
        <v>883.11111111111109</v>
      </c>
    </row>
    <row r="67" spans="1:16" x14ac:dyDescent="0.45">
      <c r="A67" s="12" t="s">
        <v>21</v>
      </c>
      <c r="B67" s="4">
        <v>44354</v>
      </c>
      <c r="C67" s="1">
        <v>20.329999999999998</v>
      </c>
      <c r="D67">
        <v>898</v>
      </c>
      <c r="E67">
        <v>1</v>
      </c>
      <c r="F67">
        <v>15155</v>
      </c>
      <c r="G67" s="2">
        <f t="shared" si="2"/>
        <v>12321.5</v>
      </c>
      <c r="H67" s="2"/>
      <c r="I67" s="1">
        <f t="shared" si="0"/>
        <v>17.27</v>
      </c>
      <c r="J67" s="2">
        <f t="shared" si="1"/>
        <v>789.75</v>
      </c>
      <c r="K67" s="2"/>
      <c r="L67" s="1">
        <f t="shared" si="3"/>
        <v>18.799499999999998</v>
      </c>
      <c r="M67" s="2">
        <f t="shared" si="4"/>
        <v>828.45</v>
      </c>
      <c r="N67" s="2"/>
      <c r="O67" s="1">
        <f t="shared" si="5"/>
        <v>19.072499999999998</v>
      </c>
      <c r="P67" s="2">
        <f t="shared" si="6"/>
        <v>837.11111111111109</v>
      </c>
    </row>
    <row r="68" spans="1:16" x14ac:dyDescent="0.45">
      <c r="A68" s="12"/>
      <c r="B68" s="4">
        <v>44361</v>
      </c>
      <c r="C68" s="1">
        <v>18.5</v>
      </c>
      <c r="D68">
        <v>854</v>
      </c>
      <c r="E68">
        <v>2</v>
      </c>
      <c r="F68">
        <v>12720</v>
      </c>
      <c r="G68" s="2">
        <f t="shared" si="2"/>
        <v>12205.5</v>
      </c>
      <c r="H68" s="2"/>
      <c r="I68" s="1">
        <f t="shared" si="0"/>
        <v>17.145</v>
      </c>
      <c r="J68" s="2">
        <f t="shared" si="1"/>
        <v>782.25</v>
      </c>
      <c r="K68" s="2"/>
      <c r="L68" s="1">
        <f t="shared" si="3"/>
        <v>18.270499999999998</v>
      </c>
      <c r="M68" s="2">
        <f t="shared" si="4"/>
        <v>815.65</v>
      </c>
      <c r="N68" s="2"/>
      <c r="O68" s="1">
        <f t="shared" si="5"/>
        <v>19.789166666666667</v>
      </c>
      <c r="P68" s="2">
        <f t="shared" si="6"/>
        <v>887.11111111111109</v>
      </c>
    </row>
    <row r="69" spans="1:16" x14ac:dyDescent="0.45">
      <c r="A69" s="12"/>
      <c r="B69" s="4">
        <v>44368</v>
      </c>
      <c r="C69" s="1">
        <v>19.5</v>
      </c>
      <c r="D69">
        <v>909</v>
      </c>
      <c r="E69">
        <v>2</v>
      </c>
      <c r="F69">
        <v>14106</v>
      </c>
      <c r="G69" s="2">
        <f t="shared" si="2"/>
        <v>12412.5</v>
      </c>
      <c r="H69" s="2"/>
      <c r="I69" s="1">
        <f t="shared" ref="I69:I132" si="7">AVERAGE(C66:C69)</f>
        <v>17.2075</v>
      </c>
      <c r="J69" s="2">
        <f t="shared" ref="J69:J132" si="8">AVERAGE(D66:D69)</f>
        <v>776.5</v>
      </c>
      <c r="K69" s="2"/>
      <c r="L69" s="1">
        <f t="shared" si="3"/>
        <v>17.587</v>
      </c>
      <c r="M69" s="2">
        <f t="shared" si="4"/>
        <v>788.6</v>
      </c>
      <c r="N69" s="2"/>
      <c r="O69" s="1">
        <f t="shared" si="5"/>
        <v>17.9025</v>
      </c>
      <c r="P69" s="2">
        <f t="shared" si="6"/>
        <v>755.08333333333337</v>
      </c>
    </row>
    <row r="70" spans="1:16" x14ac:dyDescent="0.45">
      <c r="A70" s="12"/>
      <c r="B70" s="4">
        <v>44375</v>
      </c>
      <c r="C70" s="1">
        <v>11</v>
      </c>
      <c r="D70">
        <v>514</v>
      </c>
      <c r="E70">
        <v>1</v>
      </c>
      <c r="F70">
        <v>7573</v>
      </c>
      <c r="G70" s="2">
        <f t="shared" ref="G70:G133" si="9">AVERAGE(F67:F70)</f>
        <v>12388.5</v>
      </c>
      <c r="H70" s="2"/>
      <c r="I70" s="1">
        <f t="shared" si="7"/>
        <v>17.3325</v>
      </c>
      <c r="J70" s="2">
        <f t="shared" si="8"/>
        <v>793.75</v>
      </c>
      <c r="K70" s="2"/>
      <c r="L70" s="1">
        <f t="shared" si="3"/>
        <v>17.291</v>
      </c>
      <c r="M70" s="2">
        <f t="shared" si="4"/>
        <v>787.5</v>
      </c>
      <c r="N70" s="2"/>
      <c r="O70" s="1">
        <f t="shared" si="5"/>
        <v>18.272777777777776</v>
      </c>
      <c r="P70" s="2">
        <f t="shared" si="6"/>
        <v>829.19444444444446</v>
      </c>
    </row>
    <row r="71" spans="1:16" x14ac:dyDescent="0.45">
      <c r="A71" s="12" t="s">
        <v>22</v>
      </c>
      <c r="B71" s="4">
        <v>44382</v>
      </c>
      <c r="C71" s="1">
        <v>19</v>
      </c>
      <c r="D71">
        <v>814</v>
      </c>
      <c r="E71">
        <v>2</v>
      </c>
      <c r="F71">
        <v>12955</v>
      </c>
      <c r="G71" s="2">
        <f t="shared" si="9"/>
        <v>11838.5</v>
      </c>
      <c r="H71" s="2"/>
      <c r="I71" s="1">
        <f t="shared" si="7"/>
        <v>17</v>
      </c>
      <c r="J71" s="2">
        <f t="shared" si="8"/>
        <v>772.75</v>
      </c>
      <c r="K71" s="2"/>
      <c r="L71" s="1">
        <f t="shared" si="3"/>
        <v>17.190999999999999</v>
      </c>
      <c r="M71" s="2">
        <f t="shared" si="4"/>
        <v>783</v>
      </c>
      <c r="N71" s="2"/>
      <c r="O71" s="1">
        <f t="shared" si="5"/>
        <v>17.358333333333334</v>
      </c>
      <c r="P71" s="2">
        <f t="shared" si="6"/>
        <v>798.36111111111109</v>
      </c>
    </row>
    <row r="72" spans="1:16" x14ac:dyDescent="0.45">
      <c r="A72" s="12"/>
      <c r="B72" s="4">
        <v>44389</v>
      </c>
      <c r="C72" s="1">
        <v>17</v>
      </c>
      <c r="D72">
        <v>688</v>
      </c>
      <c r="E72">
        <v>2</v>
      </c>
      <c r="F72">
        <v>10953</v>
      </c>
      <c r="G72" s="2">
        <f t="shared" si="9"/>
        <v>11396.75</v>
      </c>
      <c r="H72" s="2"/>
      <c r="I72" s="1">
        <f t="shared" si="7"/>
        <v>16.625</v>
      </c>
      <c r="J72" s="2">
        <f t="shared" si="8"/>
        <v>731.25</v>
      </c>
      <c r="K72" s="2"/>
      <c r="L72" s="1">
        <f t="shared" si="3"/>
        <v>17.062000000000001</v>
      </c>
      <c r="M72" s="2">
        <f t="shared" si="4"/>
        <v>771.3</v>
      </c>
      <c r="N72" s="2"/>
      <c r="O72" s="1">
        <f t="shared" si="5"/>
        <v>16.888333333333335</v>
      </c>
      <c r="P72" s="2">
        <f t="shared" si="6"/>
        <v>770.08333333333337</v>
      </c>
    </row>
    <row r="73" spans="1:16" x14ac:dyDescent="0.45">
      <c r="A73" s="12"/>
      <c r="B73" s="4">
        <v>44396</v>
      </c>
      <c r="C73" s="1">
        <v>15.25</v>
      </c>
      <c r="D73">
        <v>580</v>
      </c>
      <c r="E73">
        <v>1</v>
      </c>
      <c r="F73">
        <v>9757</v>
      </c>
      <c r="G73" s="2">
        <f t="shared" si="9"/>
        <v>10309.5</v>
      </c>
      <c r="H73" s="2"/>
      <c r="I73" s="1">
        <f t="shared" si="7"/>
        <v>15.5625</v>
      </c>
      <c r="J73" s="2">
        <f t="shared" si="8"/>
        <v>649</v>
      </c>
      <c r="K73" s="2"/>
      <c r="L73" s="1">
        <f t="shared" ref="L73:L136" si="10">((C66)+(2*C67)+(3*C68)+(4*C69)+(4*C70)+(3*C71)+(2*C72)+(C73))/20</f>
        <v>16.7455</v>
      </c>
      <c r="M73" s="2">
        <f t="shared" ref="M73:M136" si="11">((D66)+(2*D67)+(3*D68)+(4*D69)+(4*D70)+(3*D71)+(2*D72)+(D73))/20</f>
        <v>744.65</v>
      </c>
      <c r="N73" s="2"/>
      <c r="O73" s="1">
        <f t="shared" si="5"/>
        <v>16.251666666666665</v>
      </c>
      <c r="P73" s="2">
        <f t="shared" si="6"/>
        <v>721.36111111111109</v>
      </c>
    </row>
    <row r="74" spans="1:16" x14ac:dyDescent="0.45">
      <c r="A74" s="12" t="s">
        <v>23</v>
      </c>
      <c r="B74" s="4">
        <v>44403</v>
      </c>
      <c r="C74" s="1">
        <v>7.25</v>
      </c>
      <c r="D74">
        <v>266</v>
      </c>
      <c r="E74">
        <v>0</v>
      </c>
      <c r="F74">
        <v>4036</v>
      </c>
      <c r="G74" s="2">
        <f t="shared" si="9"/>
        <v>9425.25</v>
      </c>
      <c r="H74" s="2"/>
      <c r="I74" s="1">
        <f t="shared" si="7"/>
        <v>14.625</v>
      </c>
      <c r="J74" s="2">
        <f t="shared" si="8"/>
        <v>587</v>
      </c>
      <c r="K74" s="2"/>
      <c r="L74" s="1">
        <f t="shared" si="10"/>
        <v>16.228999999999999</v>
      </c>
      <c r="M74" s="2">
        <f t="shared" si="11"/>
        <v>706.75</v>
      </c>
      <c r="N74" s="2"/>
      <c r="O74" s="1">
        <f t="shared" si="5"/>
        <v>17.469166666666666</v>
      </c>
      <c r="P74" s="2">
        <f t="shared" si="6"/>
        <v>775.88888888888891</v>
      </c>
    </row>
    <row r="75" spans="1:16" x14ac:dyDescent="0.45">
      <c r="A75" s="12"/>
      <c r="B75" s="4">
        <v>44410</v>
      </c>
      <c r="C75" s="1">
        <v>6</v>
      </c>
      <c r="D75">
        <v>167</v>
      </c>
      <c r="E75">
        <v>0</v>
      </c>
      <c r="F75">
        <v>2930</v>
      </c>
      <c r="G75" s="2">
        <f t="shared" si="9"/>
        <v>6919</v>
      </c>
      <c r="H75" s="2"/>
      <c r="I75" s="1">
        <f t="shared" si="7"/>
        <v>11.375</v>
      </c>
      <c r="J75" s="2">
        <f t="shared" si="8"/>
        <v>425.25</v>
      </c>
      <c r="K75" s="2"/>
      <c r="L75" s="1">
        <f t="shared" si="10"/>
        <v>15.0375</v>
      </c>
      <c r="M75" s="2">
        <f t="shared" si="11"/>
        <v>633.04999999999995</v>
      </c>
      <c r="N75" s="2"/>
      <c r="O75" s="1">
        <f t="shared" si="5"/>
        <v>16.104166666666668</v>
      </c>
      <c r="P75" s="2">
        <f t="shared" si="6"/>
        <v>709.44444444444446</v>
      </c>
    </row>
    <row r="76" spans="1:16" x14ac:dyDescent="0.45">
      <c r="A76" s="12" t="s">
        <v>24</v>
      </c>
      <c r="B76" s="4">
        <v>44417</v>
      </c>
      <c r="C76" s="1">
        <v>12.5</v>
      </c>
      <c r="D76">
        <v>326</v>
      </c>
      <c r="E76">
        <v>0</v>
      </c>
      <c r="F76">
        <v>8135</v>
      </c>
      <c r="G76" s="2">
        <f t="shared" si="9"/>
        <v>6214.5</v>
      </c>
      <c r="H76" s="2"/>
      <c r="I76" s="1">
        <f t="shared" si="7"/>
        <v>10.25</v>
      </c>
      <c r="J76" s="2">
        <f t="shared" si="8"/>
        <v>334.75</v>
      </c>
      <c r="K76" s="2"/>
      <c r="L76" s="1">
        <f t="shared" si="10"/>
        <v>13.6875</v>
      </c>
      <c r="M76" s="2">
        <f t="shared" si="11"/>
        <v>545.45000000000005</v>
      </c>
      <c r="N76" s="2"/>
      <c r="O76" s="1">
        <f t="shared" si="5"/>
        <v>14.979166666666666</v>
      </c>
      <c r="P76" s="2">
        <f t="shared" si="6"/>
        <v>638.11111111111109</v>
      </c>
    </row>
    <row r="77" spans="1:16" x14ac:dyDescent="0.45">
      <c r="A77" s="12" t="s">
        <v>25</v>
      </c>
      <c r="B77" s="4">
        <v>44424</v>
      </c>
      <c r="C77" s="1">
        <v>21</v>
      </c>
      <c r="D77">
        <v>1166</v>
      </c>
      <c r="E77">
        <v>0</v>
      </c>
      <c r="F77">
        <v>17337</v>
      </c>
      <c r="G77" s="2">
        <f t="shared" si="9"/>
        <v>8109.5</v>
      </c>
      <c r="H77" s="2"/>
      <c r="I77" s="1">
        <f t="shared" si="7"/>
        <v>11.6875</v>
      </c>
      <c r="J77" s="2">
        <f t="shared" si="8"/>
        <v>481.25</v>
      </c>
      <c r="K77" s="2"/>
      <c r="L77" s="1">
        <f t="shared" si="10"/>
        <v>12.7</v>
      </c>
      <c r="M77" s="2">
        <f t="shared" si="11"/>
        <v>495.45</v>
      </c>
      <c r="N77" s="2"/>
      <c r="O77" s="1">
        <f t="shared" ref="O77:O140" si="12">((C77)+(C76*2)+(C75*3)+(C74*4)+(C73*5)+(C72*6)+(C71*7)+(C70*8))/36</f>
        <v>13.673611111111111</v>
      </c>
      <c r="P77" s="2">
        <f t="shared" ref="P77:P140" si="13">((D77)+(D76*2)+(D75*3)+(D74*4)+(D73*5)+(D72*6)+(D71*7)+(D70*8))/36</f>
        <v>561.69444444444446</v>
      </c>
    </row>
    <row r="78" spans="1:16" x14ac:dyDescent="0.45">
      <c r="A78" s="12"/>
      <c r="B78" s="4">
        <v>44431</v>
      </c>
      <c r="C78" s="1">
        <v>12.66</v>
      </c>
      <c r="D78">
        <v>545</v>
      </c>
      <c r="E78">
        <v>0</v>
      </c>
      <c r="F78">
        <v>9703</v>
      </c>
      <c r="G78" s="2">
        <f t="shared" si="9"/>
        <v>9526.25</v>
      </c>
      <c r="H78" s="2"/>
      <c r="I78" s="1">
        <f t="shared" si="7"/>
        <v>13.04</v>
      </c>
      <c r="J78" s="2">
        <f t="shared" si="8"/>
        <v>551</v>
      </c>
      <c r="K78" s="2"/>
      <c r="L78" s="1">
        <f t="shared" si="10"/>
        <v>12.195499999999999</v>
      </c>
      <c r="M78" s="2">
        <f t="shared" si="11"/>
        <v>475.85</v>
      </c>
      <c r="N78" s="2"/>
      <c r="O78" s="1">
        <f t="shared" si="12"/>
        <v>14.303055555555554</v>
      </c>
      <c r="P78" s="2">
        <f t="shared" si="13"/>
        <v>573.91666666666663</v>
      </c>
    </row>
    <row r="79" spans="1:16" x14ac:dyDescent="0.45">
      <c r="A79" s="12" t="s">
        <v>26</v>
      </c>
      <c r="B79" s="4">
        <v>44438</v>
      </c>
      <c r="C79" s="1">
        <v>18.329999999999998</v>
      </c>
      <c r="D79">
        <v>896</v>
      </c>
      <c r="E79">
        <v>0</v>
      </c>
      <c r="F79">
        <v>14455</v>
      </c>
      <c r="G79" s="2">
        <f t="shared" si="9"/>
        <v>12407.5</v>
      </c>
      <c r="H79" s="2"/>
      <c r="I79" s="1">
        <f t="shared" si="7"/>
        <v>16.122499999999999</v>
      </c>
      <c r="J79" s="2">
        <f t="shared" si="8"/>
        <v>733.25</v>
      </c>
      <c r="K79" s="2"/>
      <c r="L79" s="1">
        <f t="shared" si="10"/>
        <v>12.494999999999999</v>
      </c>
      <c r="M79" s="2">
        <f t="shared" si="11"/>
        <v>505.1</v>
      </c>
      <c r="N79" s="2"/>
      <c r="O79" s="1">
        <f t="shared" si="12"/>
        <v>13.136111111111111</v>
      </c>
      <c r="P79" s="2">
        <f t="shared" si="13"/>
        <v>521.75</v>
      </c>
    </row>
    <row r="80" spans="1:16" x14ac:dyDescent="0.45">
      <c r="A80" s="12"/>
      <c r="B80" s="4">
        <v>44445</v>
      </c>
      <c r="C80" s="1">
        <v>14.66</v>
      </c>
      <c r="D80">
        <v>653</v>
      </c>
      <c r="E80">
        <v>0</v>
      </c>
      <c r="F80">
        <v>10851</v>
      </c>
      <c r="G80" s="2">
        <f t="shared" si="9"/>
        <v>13086.5</v>
      </c>
      <c r="H80" s="2"/>
      <c r="I80" s="1">
        <f t="shared" si="7"/>
        <v>16.662499999999998</v>
      </c>
      <c r="J80" s="2">
        <f t="shared" si="8"/>
        <v>815</v>
      </c>
      <c r="K80" s="2"/>
      <c r="L80" s="1">
        <f t="shared" si="10"/>
        <v>13.5525</v>
      </c>
      <c r="M80" s="2">
        <f t="shared" si="11"/>
        <v>583.04999999999995</v>
      </c>
      <c r="N80" s="2"/>
      <c r="O80" s="1">
        <f t="shared" si="12"/>
        <v>12.348611111111111</v>
      </c>
      <c r="P80" s="2">
        <f t="shared" si="13"/>
        <v>496.61111111111109</v>
      </c>
    </row>
    <row r="81" spans="1:16" x14ac:dyDescent="0.45">
      <c r="A81" s="12"/>
      <c r="B81" s="4">
        <v>44452</v>
      </c>
      <c r="C81" s="1">
        <v>14.25</v>
      </c>
      <c r="D81">
        <v>598</v>
      </c>
      <c r="E81">
        <v>0</v>
      </c>
      <c r="F81">
        <v>10326</v>
      </c>
      <c r="G81" s="2">
        <f t="shared" si="9"/>
        <v>11333.75</v>
      </c>
      <c r="H81" s="2"/>
      <c r="I81" s="1">
        <f t="shared" si="7"/>
        <v>14.975</v>
      </c>
      <c r="J81" s="2">
        <f t="shared" si="8"/>
        <v>673</v>
      </c>
      <c r="K81" s="2"/>
      <c r="L81" s="1">
        <f t="shared" si="10"/>
        <v>14.497499999999999</v>
      </c>
      <c r="M81" s="2">
        <f t="shared" si="11"/>
        <v>650.70000000000005</v>
      </c>
      <c r="N81" s="2"/>
      <c r="O81" s="1">
        <f t="shared" si="12"/>
        <v>11.922222222222222</v>
      </c>
      <c r="P81" s="2">
        <f t="shared" si="13"/>
        <v>495.97222222222223</v>
      </c>
    </row>
    <row r="82" spans="1:16" x14ac:dyDescent="0.45">
      <c r="A82" s="12"/>
      <c r="B82" s="4">
        <v>44459</v>
      </c>
      <c r="C82" s="1">
        <v>14.75</v>
      </c>
      <c r="D82">
        <v>590</v>
      </c>
      <c r="E82">
        <v>0</v>
      </c>
      <c r="F82">
        <v>11582</v>
      </c>
      <c r="G82" s="2">
        <f t="shared" si="9"/>
        <v>11803.5</v>
      </c>
      <c r="H82" s="2"/>
      <c r="I82" s="1">
        <f t="shared" si="7"/>
        <v>15.497499999999999</v>
      </c>
      <c r="J82" s="2">
        <f t="shared" si="8"/>
        <v>684.25</v>
      </c>
      <c r="K82" s="2"/>
      <c r="L82" s="1">
        <f t="shared" si="10"/>
        <v>15.259499999999999</v>
      </c>
      <c r="M82" s="2">
        <f t="shared" si="11"/>
        <v>691.3</v>
      </c>
      <c r="N82" s="2"/>
      <c r="O82" s="1">
        <f t="shared" si="12"/>
        <v>13.481944444444444</v>
      </c>
      <c r="P82" s="2">
        <f t="shared" si="13"/>
        <v>574.11111111111109</v>
      </c>
    </row>
    <row r="83" spans="1:16" x14ac:dyDescent="0.45">
      <c r="A83" s="12"/>
      <c r="B83" s="4">
        <v>44466</v>
      </c>
      <c r="C83" s="1">
        <v>13</v>
      </c>
      <c r="D83">
        <v>701</v>
      </c>
      <c r="E83">
        <v>0</v>
      </c>
      <c r="F83">
        <v>9704</v>
      </c>
      <c r="G83" s="2">
        <f t="shared" si="9"/>
        <v>10615.75</v>
      </c>
      <c r="H83" s="2"/>
      <c r="I83" s="1">
        <f t="shared" si="7"/>
        <v>14.164999999999999</v>
      </c>
      <c r="J83" s="2">
        <f t="shared" si="8"/>
        <v>635.5</v>
      </c>
      <c r="K83" s="2"/>
      <c r="L83" s="1">
        <f t="shared" si="10"/>
        <v>15.484500000000001</v>
      </c>
      <c r="M83" s="2">
        <f t="shared" si="11"/>
        <v>708.2</v>
      </c>
      <c r="N83" s="2"/>
      <c r="O83" s="1">
        <f t="shared" si="12"/>
        <v>15.513888888888889</v>
      </c>
      <c r="P83" s="2">
        <f t="shared" si="13"/>
        <v>689.08333333333337</v>
      </c>
    </row>
    <row r="84" spans="1:16" x14ac:dyDescent="0.45">
      <c r="A84" s="12"/>
      <c r="B84" s="4">
        <v>44473</v>
      </c>
      <c r="C84" s="1">
        <v>7.33</v>
      </c>
      <c r="D84">
        <v>361</v>
      </c>
      <c r="E84">
        <v>0</v>
      </c>
      <c r="F84">
        <v>5928</v>
      </c>
      <c r="G84" s="2">
        <f t="shared" si="9"/>
        <v>9385</v>
      </c>
      <c r="H84" s="2"/>
      <c r="I84" s="1">
        <f t="shared" si="7"/>
        <v>12.3325</v>
      </c>
      <c r="J84" s="2">
        <f t="shared" si="8"/>
        <v>562.5</v>
      </c>
      <c r="K84" s="2"/>
      <c r="L84" s="1">
        <f t="shared" si="10"/>
        <v>14.726499999999998</v>
      </c>
      <c r="M84" s="2">
        <f t="shared" si="11"/>
        <v>674.05</v>
      </c>
      <c r="N84" s="2"/>
      <c r="O84" s="1">
        <f t="shared" si="12"/>
        <v>15.957777777777778</v>
      </c>
      <c r="P84" s="2">
        <f t="shared" si="13"/>
        <v>769.69444444444446</v>
      </c>
    </row>
    <row r="85" spans="1:16" x14ac:dyDescent="0.45">
      <c r="A85" s="12" t="s">
        <v>27</v>
      </c>
      <c r="B85" s="4">
        <v>44480</v>
      </c>
      <c r="C85" s="1">
        <v>9.5</v>
      </c>
      <c r="D85">
        <v>339</v>
      </c>
      <c r="E85">
        <v>0</v>
      </c>
      <c r="F85">
        <v>7578</v>
      </c>
      <c r="G85" s="2">
        <f t="shared" si="9"/>
        <v>8698</v>
      </c>
      <c r="H85" s="2"/>
      <c r="I85" s="1">
        <f t="shared" si="7"/>
        <v>11.145</v>
      </c>
      <c r="J85" s="2">
        <f t="shared" si="8"/>
        <v>497.75</v>
      </c>
      <c r="K85" s="2"/>
      <c r="L85" s="1">
        <f t="shared" si="10"/>
        <v>13.623000000000001</v>
      </c>
      <c r="M85" s="2">
        <f t="shared" si="11"/>
        <v>610.6</v>
      </c>
      <c r="N85" s="2"/>
      <c r="O85" s="1">
        <f t="shared" si="12"/>
        <v>14.193333333333335</v>
      </c>
      <c r="P85" s="2">
        <f t="shared" si="13"/>
        <v>640.66666666666663</v>
      </c>
    </row>
    <row r="86" spans="1:16" x14ac:dyDescent="0.45">
      <c r="A86" s="12"/>
      <c r="B86" s="4">
        <v>44487</v>
      </c>
      <c r="C86" s="1">
        <v>16.66</v>
      </c>
      <c r="D86">
        <v>704</v>
      </c>
      <c r="E86">
        <v>0</v>
      </c>
      <c r="F86">
        <v>13503</v>
      </c>
      <c r="G86" s="2">
        <f t="shared" si="9"/>
        <v>9178.25</v>
      </c>
      <c r="H86" s="2"/>
      <c r="I86" s="1">
        <f t="shared" si="7"/>
        <v>11.622499999999999</v>
      </c>
      <c r="J86" s="2">
        <f t="shared" si="8"/>
        <v>526.25</v>
      </c>
      <c r="K86" s="2"/>
      <c r="L86" s="1">
        <f t="shared" si="10"/>
        <v>12.952500000000001</v>
      </c>
      <c r="M86" s="2">
        <f t="shared" si="11"/>
        <v>581.25</v>
      </c>
      <c r="N86" s="2"/>
      <c r="O86" s="1">
        <f t="shared" si="12"/>
        <v>14.393333333333333</v>
      </c>
      <c r="P86" s="2">
        <f t="shared" si="13"/>
        <v>654.05555555555554</v>
      </c>
    </row>
    <row r="87" spans="1:16" x14ac:dyDescent="0.45">
      <c r="A87" s="12"/>
      <c r="B87" s="4">
        <v>44494</v>
      </c>
      <c r="C87" s="1">
        <v>11.25</v>
      </c>
      <c r="D87">
        <v>413</v>
      </c>
      <c r="E87">
        <v>0</v>
      </c>
      <c r="F87">
        <v>7506</v>
      </c>
      <c r="G87" s="2">
        <f t="shared" si="9"/>
        <v>8628.75</v>
      </c>
      <c r="H87" s="2"/>
      <c r="I87" s="1">
        <f t="shared" si="7"/>
        <v>11.184999999999999</v>
      </c>
      <c r="J87" s="2">
        <f t="shared" si="8"/>
        <v>454.25</v>
      </c>
      <c r="K87" s="2"/>
      <c r="L87" s="1">
        <f t="shared" si="10"/>
        <v>12.09</v>
      </c>
      <c r="M87" s="2">
        <f t="shared" si="11"/>
        <v>535.25</v>
      </c>
      <c r="N87" s="2"/>
      <c r="O87" s="1">
        <f t="shared" si="12"/>
        <v>13.136666666666665</v>
      </c>
      <c r="P87" s="2">
        <f t="shared" si="13"/>
        <v>576.02777777777783</v>
      </c>
    </row>
    <row r="88" spans="1:16" x14ac:dyDescent="0.45">
      <c r="A88" s="12" t="s">
        <v>28</v>
      </c>
      <c r="B88" s="4">
        <v>44501</v>
      </c>
      <c r="C88" s="1">
        <v>23</v>
      </c>
      <c r="D88">
        <v>1329</v>
      </c>
      <c r="E88">
        <v>0</v>
      </c>
      <c r="F88">
        <v>18932</v>
      </c>
      <c r="G88" s="2">
        <f t="shared" si="9"/>
        <v>11879.75</v>
      </c>
      <c r="H88" s="2"/>
      <c r="I88" s="1">
        <f t="shared" si="7"/>
        <v>15.102499999999999</v>
      </c>
      <c r="J88" s="2">
        <f t="shared" si="8"/>
        <v>696.25</v>
      </c>
      <c r="K88" s="2"/>
      <c r="L88" s="1">
        <f t="shared" si="10"/>
        <v>12.2775</v>
      </c>
      <c r="M88" s="2">
        <f t="shared" si="11"/>
        <v>547.4</v>
      </c>
      <c r="N88" s="2"/>
      <c r="O88" s="1">
        <f t="shared" si="12"/>
        <v>12.927222222222222</v>
      </c>
      <c r="P88" s="2">
        <f t="shared" si="13"/>
        <v>570.77777777777783</v>
      </c>
    </row>
    <row r="89" spans="1:16" x14ac:dyDescent="0.45">
      <c r="A89" s="12"/>
      <c r="B89" s="4">
        <v>44508</v>
      </c>
      <c r="C89" s="1">
        <v>0</v>
      </c>
      <c r="D89">
        <v>0</v>
      </c>
      <c r="E89">
        <v>0</v>
      </c>
      <c r="F89">
        <v>0</v>
      </c>
      <c r="G89" s="2">
        <f t="shared" si="9"/>
        <v>9985.25</v>
      </c>
      <c r="H89" s="2"/>
      <c r="I89" s="1">
        <f t="shared" si="7"/>
        <v>12.727499999999999</v>
      </c>
      <c r="J89" s="2">
        <f t="shared" si="8"/>
        <v>611.5</v>
      </c>
      <c r="K89" s="2"/>
      <c r="L89" s="1">
        <f t="shared" si="10"/>
        <v>12.3565</v>
      </c>
      <c r="M89" s="2">
        <f t="shared" si="11"/>
        <v>557.20000000000005</v>
      </c>
      <c r="N89" s="2"/>
      <c r="O89" s="1">
        <f t="shared" si="12"/>
        <v>12.413055555555555</v>
      </c>
      <c r="P89" s="2">
        <f t="shared" si="13"/>
        <v>561.13888888888891</v>
      </c>
    </row>
    <row r="90" spans="1:16" x14ac:dyDescent="0.45">
      <c r="A90" s="12"/>
      <c r="B90" s="4">
        <v>44515</v>
      </c>
      <c r="C90" s="1">
        <v>0</v>
      </c>
      <c r="D90">
        <v>0</v>
      </c>
      <c r="E90">
        <v>0</v>
      </c>
      <c r="F90">
        <v>0</v>
      </c>
      <c r="G90" s="2">
        <f t="shared" si="9"/>
        <v>6609.5</v>
      </c>
      <c r="H90" s="2"/>
      <c r="I90" s="1">
        <f t="shared" si="7"/>
        <v>8.5625</v>
      </c>
      <c r="J90" s="2">
        <f t="shared" si="8"/>
        <v>435.5</v>
      </c>
      <c r="K90" s="2"/>
      <c r="L90" s="1">
        <f t="shared" si="10"/>
        <v>11.84</v>
      </c>
      <c r="M90" s="2">
        <f t="shared" si="11"/>
        <v>544.75</v>
      </c>
      <c r="N90" s="2"/>
      <c r="O90" s="1">
        <f t="shared" si="12"/>
        <v>11.378055555555555</v>
      </c>
      <c r="P90" s="2">
        <f t="shared" si="13"/>
        <v>536.88888888888891</v>
      </c>
    </row>
    <row r="91" spans="1:16" x14ac:dyDescent="0.45">
      <c r="A91" s="12"/>
      <c r="B91" s="4">
        <v>44522</v>
      </c>
      <c r="C91" s="1">
        <v>0</v>
      </c>
      <c r="D91">
        <v>0</v>
      </c>
      <c r="E91">
        <v>0</v>
      </c>
      <c r="F91">
        <v>0</v>
      </c>
      <c r="G91" s="2">
        <f t="shared" si="9"/>
        <v>4733</v>
      </c>
      <c r="H91" s="2"/>
      <c r="I91" s="1">
        <f t="shared" si="7"/>
        <v>5.75</v>
      </c>
      <c r="J91" s="2">
        <f t="shared" si="8"/>
        <v>332.25</v>
      </c>
      <c r="K91" s="2"/>
      <c r="L91" s="1">
        <f t="shared" si="10"/>
        <v>10.6655</v>
      </c>
      <c r="M91" s="2">
        <f t="shared" si="11"/>
        <v>505.95</v>
      </c>
      <c r="N91" s="2"/>
      <c r="O91" s="1">
        <f t="shared" si="12"/>
        <v>10.370833333333334</v>
      </c>
      <c r="P91" s="2">
        <f t="shared" si="13"/>
        <v>468.5</v>
      </c>
    </row>
    <row r="92" spans="1:16" x14ac:dyDescent="0.45">
      <c r="A92" s="12"/>
      <c r="B92" s="4">
        <v>44529</v>
      </c>
      <c r="C92" s="1">
        <v>8.25</v>
      </c>
      <c r="D92">
        <v>260</v>
      </c>
      <c r="E92">
        <v>0</v>
      </c>
      <c r="F92">
        <v>6009</v>
      </c>
      <c r="G92" s="2">
        <f t="shared" si="9"/>
        <v>1502.25</v>
      </c>
      <c r="H92" s="2"/>
      <c r="I92" s="1">
        <f t="shared" si="7"/>
        <v>2.0625</v>
      </c>
      <c r="J92" s="2">
        <f t="shared" si="8"/>
        <v>65</v>
      </c>
      <c r="K92" s="2"/>
      <c r="L92" s="1">
        <f t="shared" si="10"/>
        <v>8.8409999999999993</v>
      </c>
      <c r="M92" s="2">
        <f t="shared" si="11"/>
        <v>428.1</v>
      </c>
      <c r="N92" s="2"/>
      <c r="O92" s="1">
        <f t="shared" si="12"/>
        <v>10.649166666666666</v>
      </c>
      <c r="P92" s="2">
        <f t="shared" si="13"/>
        <v>472.86111111111109</v>
      </c>
    </row>
    <row r="93" spans="1:16" x14ac:dyDescent="0.45">
      <c r="A93" s="12"/>
      <c r="B93" s="4">
        <v>44536</v>
      </c>
      <c r="C93" s="1">
        <v>14.5</v>
      </c>
      <c r="D93">
        <v>520</v>
      </c>
      <c r="E93">
        <v>2</v>
      </c>
      <c r="F93">
        <v>8658</v>
      </c>
      <c r="G93" s="2">
        <f t="shared" si="9"/>
        <v>3666.75</v>
      </c>
      <c r="H93" s="2"/>
      <c r="I93" s="1">
        <f t="shared" si="7"/>
        <v>5.6875</v>
      </c>
      <c r="J93" s="2">
        <f t="shared" si="8"/>
        <v>195</v>
      </c>
      <c r="K93" s="2"/>
      <c r="L93" s="1">
        <f t="shared" si="10"/>
        <v>6.9580000000000002</v>
      </c>
      <c r="M93" s="2">
        <f t="shared" si="11"/>
        <v>327.85</v>
      </c>
      <c r="N93" s="2"/>
      <c r="O93" s="1">
        <f t="shared" si="12"/>
        <v>10.584166666666667</v>
      </c>
      <c r="P93" s="2">
        <f t="shared" si="13"/>
        <v>487.13888888888891</v>
      </c>
    </row>
    <row r="94" spans="1:16" x14ac:dyDescent="0.45">
      <c r="A94" s="12"/>
      <c r="B94" s="4">
        <v>44543</v>
      </c>
      <c r="C94" s="1">
        <v>22</v>
      </c>
      <c r="D94">
        <v>697</v>
      </c>
      <c r="E94">
        <v>2</v>
      </c>
      <c r="F94">
        <v>15224</v>
      </c>
      <c r="G94" s="2">
        <f t="shared" si="9"/>
        <v>7472.75</v>
      </c>
      <c r="H94" s="2"/>
      <c r="I94" s="1">
        <f t="shared" si="7"/>
        <v>11.1875</v>
      </c>
      <c r="J94" s="2">
        <f t="shared" si="8"/>
        <v>369.25</v>
      </c>
      <c r="K94" s="2"/>
      <c r="L94" s="1">
        <f t="shared" si="10"/>
        <v>6.65</v>
      </c>
      <c r="M94" s="2">
        <f t="shared" si="11"/>
        <v>279.39999999999998</v>
      </c>
      <c r="N94" s="2"/>
      <c r="O94" s="1">
        <f t="shared" si="12"/>
        <v>9.0763888888888893</v>
      </c>
      <c r="P94" s="2">
        <f t="shared" si="13"/>
        <v>420.11111111111109</v>
      </c>
    </row>
    <row r="95" spans="1:16" x14ac:dyDescent="0.45">
      <c r="A95" s="12"/>
      <c r="B95" s="4">
        <v>44550</v>
      </c>
      <c r="C95" s="1">
        <v>16.75</v>
      </c>
      <c r="D95">
        <v>563</v>
      </c>
      <c r="E95">
        <v>2</v>
      </c>
      <c r="F95">
        <v>11225</v>
      </c>
      <c r="G95" s="2">
        <f t="shared" si="9"/>
        <v>10279</v>
      </c>
      <c r="H95" s="2"/>
      <c r="I95" s="1">
        <f t="shared" si="7"/>
        <v>15.375</v>
      </c>
      <c r="J95" s="2">
        <f t="shared" si="8"/>
        <v>510</v>
      </c>
      <c r="K95" s="2"/>
      <c r="L95" s="1">
        <f t="shared" si="10"/>
        <v>8.0124999999999993</v>
      </c>
      <c r="M95" s="2">
        <f t="shared" si="11"/>
        <v>294.3</v>
      </c>
      <c r="N95" s="2"/>
      <c r="O95" s="1">
        <f t="shared" si="12"/>
        <v>8.9236111111111107</v>
      </c>
      <c r="P95" s="2">
        <f t="shared" si="13"/>
        <v>421.91666666666669</v>
      </c>
    </row>
    <row r="96" spans="1:16" x14ac:dyDescent="0.45">
      <c r="A96" s="12"/>
      <c r="B96" s="4">
        <v>44557</v>
      </c>
      <c r="C96" s="1">
        <v>25.5</v>
      </c>
      <c r="D96">
        <v>986</v>
      </c>
      <c r="E96">
        <v>1</v>
      </c>
      <c r="F96">
        <v>17878</v>
      </c>
      <c r="G96" s="2">
        <f t="shared" si="9"/>
        <v>13246.25</v>
      </c>
      <c r="H96" s="2"/>
      <c r="I96" s="1">
        <f t="shared" si="7"/>
        <v>19.6875</v>
      </c>
      <c r="J96" s="2">
        <f t="shared" si="8"/>
        <v>691.5</v>
      </c>
      <c r="K96" s="2"/>
      <c r="L96" s="1">
        <f t="shared" si="10"/>
        <v>10.8</v>
      </c>
      <c r="M96" s="2">
        <f t="shared" si="11"/>
        <v>366.15</v>
      </c>
      <c r="N96" s="2"/>
      <c r="O96" s="1">
        <f t="shared" si="12"/>
        <v>6.229166666666667</v>
      </c>
      <c r="P96" s="2">
        <f t="shared" si="13"/>
        <v>210.63888888888889</v>
      </c>
    </row>
    <row r="97" spans="1:16" x14ac:dyDescent="0.45">
      <c r="A97" s="12" t="s">
        <v>29</v>
      </c>
      <c r="B97" s="4">
        <v>44564</v>
      </c>
      <c r="C97" s="1">
        <v>13</v>
      </c>
      <c r="D97">
        <v>444</v>
      </c>
      <c r="E97">
        <v>0</v>
      </c>
      <c r="F97">
        <v>8688</v>
      </c>
      <c r="G97" s="2">
        <f t="shared" si="9"/>
        <v>13253.75</v>
      </c>
      <c r="H97" s="2"/>
      <c r="I97" s="1">
        <f t="shared" si="7"/>
        <v>19.3125</v>
      </c>
      <c r="J97" s="2">
        <f t="shared" si="8"/>
        <v>672.5</v>
      </c>
      <c r="K97" s="2"/>
      <c r="L97" s="1">
        <f t="shared" si="10"/>
        <v>14.25</v>
      </c>
      <c r="M97" s="2">
        <f t="shared" si="11"/>
        <v>487.65</v>
      </c>
      <c r="N97" s="2"/>
      <c r="O97" s="1">
        <f t="shared" si="12"/>
        <v>9.0069444444444446</v>
      </c>
      <c r="P97" s="2">
        <f t="shared" si="13"/>
        <v>307.02777777777777</v>
      </c>
    </row>
    <row r="98" spans="1:16" x14ac:dyDescent="0.45">
      <c r="A98" s="12"/>
      <c r="B98" s="4">
        <v>44571</v>
      </c>
      <c r="C98" s="1">
        <v>21</v>
      </c>
      <c r="D98">
        <v>839</v>
      </c>
      <c r="E98">
        <v>1</v>
      </c>
      <c r="F98">
        <v>14502</v>
      </c>
      <c r="G98" s="2">
        <f t="shared" si="9"/>
        <v>13073.25</v>
      </c>
      <c r="H98" s="2"/>
      <c r="I98" s="1">
        <f t="shared" si="7"/>
        <v>19.0625</v>
      </c>
      <c r="J98" s="2">
        <f t="shared" si="8"/>
        <v>708</v>
      </c>
      <c r="K98" s="2"/>
      <c r="L98" s="1">
        <f t="shared" si="10"/>
        <v>16.925000000000001</v>
      </c>
      <c r="M98" s="2">
        <f t="shared" si="11"/>
        <v>590.25</v>
      </c>
      <c r="N98" s="2"/>
      <c r="O98" s="1">
        <f t="shared" si="12"/>
        <v>12.368055555555555</v>
      </c>
      <c r="P98" s="2">
        <f t="shared" si="13"/>
        <v>426.72222222222223</v>
      </c>
    </row>
    <row r="99" spans="1:16" x14ac:dyDescent="0.45">
      <c r="A99" s="12"/>
      <c r="B99" s="4">
        <v>44578</v>
      </c>
      <c r="C99" s="1">
        <v>20.5</v>
      </c>
      <c r="D99">
        <v>1006</v>
      </c>
      <c r="E99">
        <v>1</v>
      </c>
      <c r="F99">
        <v>15389</v>
      </c>
      <c r="G99" s="2">
        <f t="shared" si="9"/>
        <v>14114.25</v>
      </c>
      <c r="H99" s="2"/>
      <c r="I99" s="1">
        <f t="shared" si="7"/>
        <v>20</v>
      </c>
      <c r="J99" s="2">
        <f t="shared" si="8"/>
        <v>818.75</v>
      </c>
      <c r="K99" s="2"/>
      <c r="L99" s="1">
        <f t="shared" si="10"/>
        <v>18.6875</v>
      </c>
      <c r="M99" s="2">
        <f t="shared" si="11"/>
        <v>680.15</v>
      </c>
      <c r="N99" s="2"/>
      <c r="O99" s="1">
        <f t="shared" si="12"/>
        <v>16.298611111111111</v>
      </c>
      <c r="P99" s="2">
        <f t="shared" si="13"/>
        <v>574.36111111111109</v>
      </c>
    </row>
    <row r="100" spans="1:16" x14ac:dyDescent="0.45">
      <c r="A100" s="12"/>
      <c r="B100" s="4">
        <v>44585</v>
      </c>
      <c r="C100" s="1">
        <v>20</v>
      </c>
      <c r="D100">
        <v>957</v>
      </c>
      <c r="E100">
        <v>1</v>
      </c>
      <c r="F100">
        <v>15117</v>
      </c>
      <c r="G100" s="2">
        <f t="shared" si="9"/>
        <v>13424</v>
      </c>
      <c r="H100" s="2"/>
      <c r="I100" s="1">
        <f t="shared" si="7"/>
        <v>18.625</v>
      </c>
      <c r="J100" s="2">
        <f t="shared" si="8"/>
        <v>811.5</v>
      </c>
      <c r="K100" s="2"/>
      <c r="L100" s="1">
        <f t="shared" si="10"/>
        <v>19.337499999999999</v>
      </c>
      <c r="M100" s="2">
        <f t="shared" si="11"/>
        <v>740.45</v>
      </c>
      <c r="N100" s="2"/>
      <c r="O100" s="1">
        <f t="shared" si="12"/>
        <v>18.722222222222221</v>
      </c>
      <c r="P100" s="2">
        <f t="shared" si="13"/>
        <v>683.58333333333337</v>
      </c>
    </row>
    <row r="101" spans="1:16" x14ac:dyDescent="0.45">
      <c r="A101" s="12"/>
      <c r="B101" s="4">
        <v>44592</v>
      </c>
      <c r="C101" s="1">
        <v>16.5</v>
      </c>
      <c r="D101">
        <v>757</v>
      </c>
      <c r="E101">
        <v>2</v>
      </c>
      <c r="F101">
        <v>11828</v>
      </c>
      <c r="G101" s="2">
        <f t="shared" si="9"/>
        <v>14209</v>
      </c>
      <c r="H101" s="2"/>
      <c r="I101" s="1">
        <f t="shared" si="7"/>
        <v>19.5</v>
      </c>
      <c r="J101" s="2">
        <f t="shared" si="8"/>
        <v>889.75</v>
      </c>
      <c r="K101" s="2"/>
      <c r="L101" s="1">
        <f t="shared" si="10"/>
        <v>19.3</v>
      </c>
      <c r="M101" s="2">
        <f t="shared" si="11"/>
        <v>780.1</v>
      </c>
      <c r="N101" s="2"/>
      <c r="O101" s="1">
        <f t="shared" si="12"/>
        <v>19.8125</v>
      </c>
      <c r="P101" s="2">
        <f t="shared" si="13"/>
        <v>741.61111111111109</v>
      </c>
    </row>
    <row r="102" spans="1:16" x14ac:dyDescent="0.45">
      <c r="A102" s="12" t="s">
        <v>30</v>
      </c>
      <c r="B102" s="4">
        <v>44599</v>
      </c>
      <c r="C102" s="1">
        <v>20.66</v>
      </c>
      <c r="D102">
        <v>1003</v>
      </c>
      <c r="E102">
        <v>1</v>
      </c>
      <c r="F102">
        <v>14264</v>
      </c>
      <c r="G102" s="2">
        <f t="shared" si="9"/>
        <v>14149.5</v>
      </c>
      <c r="H102" s="2"/>
      <c r="I102" s="1">
        <f t="shared" si="7"/>
        <v>19.414999999999999</v>
      </c>
      <c r="J102" s="2">
        <f t="shared" si="8"/>
        <v>930.75</v>
      </c>
      <c r="K102" s="2"/>
      <c r="L102" s="1">
        <f t="shared" si="10"/>
        <v>19.320500000000003</v>
      </c>
      <c r="M102" s="2">
        <f t="shared" si="11"/>
        <v>831.75</v>
      </c>
      <c r="N102" s="2"/>
      <c r="O102" s="1">
        <f t="shared" si="12"/>
        <v>19.198888888888888</v>
      </c>
      <c r="P102" s="2">
        <f t="shared" si="13"/>
        <v>768.80555555555554</v>
      </c>
    </row>
    <row r="103" spans="1:16" x14ac:dyDescent="0.45">
      <c r="A103" s="12"/>
      <c r="B103" s="4">
        <v>44606</v>
      </c>
      <c r="C103" s="1">
        <v>17</v>
      </c>
      <c r="D103">
        <v>763</v>
      </c>
      <c r="E103">
        <v>0</v>
      </c>
      <c r="F103">
        <v>10992</v>
      </c>
      <c r="G103" s="2">
        <f t="shared" si="9"/>
        <v>13050.25</v>
      </c>
      <c r="H103" s="2"/>
      <c r="I103" s="1">
        <f t="shared" si="7"/>
        <v>18.54</v>
      </c>
      <c r="J103" s="2">
        <f t="shared" si="8"/>
        <v>870</v>
      </c>
      <c r="K103" s="2"/>
      <c r="L103" s="1">
        <f t="shared" si="10"/>
        <v>19.216000000000001</v>
      </c>
      <c r="M103" s="2">
        <f t="shared" si="11"/>
        <v>864.15</v>
      </c>
      <c r="N103" s="2"/>
      <c r="O103" s="1">
        <f t="shared" si="12"/>
        <v>19.758888888888887</v>
      </c>
      <c r="P103" s="2">
        <f t="shared" si="13"/>
        <v>831.33333333333337</v>
      </c>
    </row>
    <row r="104" spans="1:16" x14ac:dyDescent="0.45">
      <c r="A104" s="12" t="s">
        <v>31</v>
      </c>
      <c r="B104" s="4">
        <v>44613</v>
      </c>
      <c r="C104" s="1">
        <v>23</v>
      </c>
      <c r="D104">
        <v>1121</v>
      </c>
      <c r="E104">
        <v>0</v>
      </c>
      <c r="F104">
        <v>15231</v>
      </c>
      <c r="G104" s="2">
        <f t="shared" si="9"/>
        <v>13078.75</v>
      </c>
      <c r="H104" s="2"/>
      <c r="I104" s="1">
        <f t="shared" si="7"/>
        <v>19.29</v>
      </c>
      <c r="J104" s="2">
        <f t="shared" si="8"/>
        <v>911</v>
      </c>
      <c r="K104" s="2"/>
      <c r="L104" s="1">
        <f t="shared" si="10"/>
        <v>19.074000000000002</v>
      </c>
      <c r="M104" s="2">
        <f t="shared" si="11"/>
        <v>882.6</v>
      </c>
      <c r="N104" s="2"/>
      <c r="O104" s="1">
        <f t="shared" si="12"/>
        <v>18.305</v>
      </c>
      <c r="P104" s="2">
        <f t="shared" si="13"/>
        <v>803.61111111111109</v>
      </c>
    </row>
    <row r="105" spans="1:16" x14ac:dyDescent="0.45">
      <c r="A105" s="12"/>
      <c r="B105" s="4">
        <v>44620</v>
      </c>
      <c r="C105" s="1">
        <v>16</v>
      </c>
      <c r="D105">
        <v>742</v>
      </c>
      <c r="E105">
        <v>0</v>
      </c>
      <c r="F105">
        <v>11978</v>
      </c>
      <c r="G105" s="2">
        <f t="shared" si="9"/>
        <v>13116.25</v>
      </c>
      <c r="H105" s="2"/>
      <c r="I105" s="1">
        <f t="shared" si="7"/>
        <v>19.164999999999999</v>
      </c>
      <c r="J105" s="2">
        <f t="shared" si="8"/>
        <v>907.25</v>
      </c>
      <c r="K105" s="2"/>
      <c r="L105" s="1">
        <f t="shared" si="10"/>
        <v>19.181999999999999</v>
      </c>
      <c r="M105" s="2">
        <f t="shared" si="11"/>
        <v>901.75</v>
      </c>
      <c r="N105" s="2"/>
      <c r="O105" s="1">
        <f t="shared" si="12"/>
        <v>19.712222222222223</v>
      </c>
      <c r="P105" s="2">
        <f t="shared" si="13"/>
        <v>904.61111111111109</v>
      </c>
    </row>
    <row r="106" spans="1:16" x14ac:dyDescent="0.45">
      <c r="A106" s="12" t="s">
        <v>32</v>
      </c>
      <c r="B106" s="4">
        <v>44627</v>
      </c>
      <c r="C106" s="1">
        <v>27.66</v>
      </c>
      <c r="D106">
        <v>1750</v>
      </c>
      <c r="E106">
        <v>0</v>
      </c>
      <c r="F106">
        <v>24581</v>
      </c>
      <c r="G106" s="2">
        <f t="shared" si="9"/>
        <v>15695.5</v>
      </c>
      <c r="H106" s="2"/>
      <c r="I106" s="1">
        <f t="shared" si="7"/>
        <v>20.914999999999999</v>
      </c>
      <c r="J106" s="2">
        <f t="shared" si="8"/>
        <v>1094</v>
      </c>
      <c r="K106" s="2"/>
      <c r="L106" s="1">
        <f t="shared" si="10"/>
        <v>19.465</v>
      </c>
      <c r="M106" s="2">
        <f t="shared" si="11"/>
        <v>942.6</v>
      </c>
      <c r="N106" s="2"/>
      <c r="O106" s="1">
        <f t="shared" si="12"/>
        <v>19.526666666666667</v>
      </c>
      <c r="P106" s="2">
        <f t="shared" si="13"/>
        <v>943.13888888888891</v>
      </c>
    </row>
    <row r="107" spans="1:16" x14ac:dyDescent="0.45">
      <c r="A107" s="12"/>
      <c r="B107" s="4">
        <v>44634</v>
      </c>
      <c r="C107" s="1">
        <v>10.25</v>
      </c>
      <c r="D107">
        <v>333</v>
      </c>
      <c r="E107">
        <v>0</v>
      </c>
      <c r="F107">
        <v>6737</v>
      </c>
      <c r="G107" s="2">
        <f t="shared" si="9"/>
        <v>14631.75</v>
      </c>
      <c r="H107" s="2"/>
      <c r="I107" s="1">
        <f t="shared" si="7"/>
        <v>19.227499999999999</v>
      </c>
      <c r="J107" s="2">
        <f t="shared" si="8"/>
        <v>986.5</v>
      </c>
      <c r="K107" s="2"/>
      <c r="L107" s="1">
        <f t="shared" si="10"/>
        <v>19.427500000000002</v>
      </c>
      <c r="M107" s="2">
        <f t="shared" si="11"/>
        <v>953.75</v>
      </c>
      <c r="N107" s="2"/>
      <c r="O107" s="1">
        <f t="shared" si="12"/>
        <v>19.1675</v>
      </c>
      <c r="P107" s="2">
        <f t="shared" si="13"/>
        <v>925.86111111111109</v>
      </c>
    </row>
    <row r="108" spans="1:16" x14ac:dyDescent="0.45">
      <c r="A108" s="12"/>
      <c r="B108" s="4">
        <v>44641</v>
      </c>
      <c r="C108" s="1">
        <v>18.5</v>
      </c>
      <c r="D108">
        <v>779</v>
      </c>
      <c r="E108">
        <v>0</v>
      </c>
      <c r="F108">
        <v>11793</v>
      </c>
      <c r="G108" s="2">
        <f t="shared" si="9"/>
        <v>13772.25</v>
      </c>
      <c r="H108" s="2"/>
      <c r="I108" s="1">
        <f t="shared" si="7"/>
        <v>18.102499999999999</v>
      </c>
      <c r="J108" s="2">
        <f t="shared" si="8"/>
        <v>901</v>
      </c>
      <c r="K108" s="2"/>
      <c r="L108" s="1">
        <f t="shared" si="10"/>
        <v>19.34</v>
      </c>
      <c r="M108" s="2">
        <f t="shared" si="11"/>
        <v>959.95</v>
      </c>
      <c r="N108" s="2"/>
      <c r="O108" s="1">
        <f t="shared" si="12"/>
        <v>18.87777777777778</v>
      </c>
      <c r="P108" s="2">
        <f t="shared" si="13"/>
        <v>914.52777777777783</v>
      </c>
    </row>
    <row r="109" spans="1:16" x14ac:dyDescent="0.45">
      <c r="A109" s="12"/>
      <c r="B109" s="4">
        <v>44648</v>
      </c>
      <c r="C109" s="1">
        <v>10</v>
      </c>
      <c r="D109">
        <v>392</v>
      </c>
      <c r="E109">
        <v>0</v>
      </c>
      <c r="F109">
        <v>7119</v>
      </c>
      <c r="G109" s="2">
        <f t="shared" si="9"/>
        <v>12557.5</v>
      </c>
      <c r="H109" s="2"/>
      <c r="I109" s="1">
        <f t="shared" si="7"/>
        <v>16.602499999999999</v>
      </c>
      <c r="J109" s="2">
        <f t="shared" si="8"/>
        <v>813.5</v>
      </c>
      <c r="K109" s="2"/>
      <c r="L109" s="1">
        <f t="shared" si="10"/>
        <v>18.802500000000002</v>
      </c>
      <c r="M109" s="2">
        <f t="shared" si="11"/>
        <v>940.45</v>
      </c>
      <c r="N109" s="2"/>
      <c r="O109" s="1">
        <f t="shared" si="12"/>
        <v>19.185277777777777</v>
      </c>
      <c r="P109" s="2">
        <f t="shared" si="13"/>
        <v>937.5</v>
      </c>
    </row>
    <row r="110" spans="1:16" x14ac:dyDescent="0.45">
      <c r="A110" s="12"/>
      <c r="B110" s="4">
        <v>44655</v>
      </c>
      <c r="C110" s="1">
        <v>12.66</v>
      </c>
      <c r="D110">
        <v>637</v>
      </c>
      <c r="E110">
        <v>0</v>
      </c>
      <c r="F110">
        <v>9764</v>
      </c>
      <c r="G110" s="2">
        <f t="shared" si="9"/>
        <v>8853.25</v>
      </c>
      <c r="H110" s="2"/>
      <c r="I110" s="1">
        <f t="shared" si="7"/>
        <v>12.852499999999999</v>
      </c>
      <c r="J110" s="2">
        <f t="shared" si="8"/>
        <v>535.25</v>
      </c>
      <c r="K110" s="2"/>
      <c r="L110" s="1">
        <f t="shared" si="10"/>
        <v>17.54</v>
      </c>
      <c r="M110" s="2">
        <f t="shared" si="11"/>
        <v>866.05</v>
      </c>
      <c r="N110" s="2"/>
      <c r="O110" s="1">
        <f t="shared" si="12"/>
        <v>18.346111111111114</v>
      </c>
      <c r="P110" s="2">
        <f t="shared" si="13"/>
        <v>895.63888888888891</v>
      </c>
    </row>
    <row r="111" spans="1:16" x14ac:dyDescent="0.45">
      <c r="A111" s="12" t="s">
        <v>33</v>
      </c>
      <c r="B111" s="4">
        <v>44662</v>
      </c>
      <c r="C111" s="1">
        <v>27.25</v>
      </c>
      <c r="D111">
        <v>1464</v>
      </c>
      <c r="E111">
        <v>0</v>
      </c>
      <c r="F111">
        <v>20959</v>
      </c>
      <c r="G111" s="2">
        <f t="shared" si="9"/>
        <v>12408.75</v>
      </c>
      <c r="H111" s="2"/>
      <c r="I111" s="1">
        <f t="shared" si="7"/>
        <v>17.102499999999999</v>
      </c>
      <c r="J111" s="2">
        <f t="shared" si="8"/>
        <v>818</v>
      </c>
      <c r="K111" s="2"/>
      <c r="L111" s="1">
        <f t="shared" si="10"/>
        <v>16.7775</v>
      </c>
      <c r="M111" s="2">
        <f t="shared" si="11"/>
        <v>810.85</v>
      </c>
      <c r="N111" s="2"/>
      <c r="O111" s="1">
        <f t="shared" si="12"/>
        <v>18.605</v>
      </c>
      <c r="P111" s="2">
        <f t="shared" si="13"/>
        <v>926.58333333333337</v>
      </c>
    </row>
    <row r="112" spans="1:16" x14ac:dyDescent="0.45">
      <c r="A112" s="12" t="s">
        <v>34</v>
      </c>
      <c r="B112" s="4">
        <v>44669</v>
      </c>
      <c r="C112" s="1">
        <v>9</v>
      </c>
      <c r="D112">
        <v>500</v>
      </c>
      <c r="E112">
        <v>0</v>
      </c>
      <c r="F112">
        <v>6000</v>
      </c>
      <c r="G112" s="2">
        <f t="shared" si="9"/>
        <v>10960.5</v>
      </c>
      <c r="H112" s="2"/>
      <c r="I112" s="1">
        <f t="shared" si="7"/>
        <v>14.727499999999999</v>
      </c>
      <c r="J112" s="2">
        <f t="shared" si="8"/>
        <v>748.25</v>
      </c>
      <c r="K112" s="2"/>
      <c r="L112" s="1">
        <f t="shared" si="10"/>
        <v>15.877500000000001</v>
      </c>
      <c r="M112" s="2">
        <f t="shared" si="11"/>
        <v>763.2</v>
      </c>
      <c r="N112" s="2"/>
      <c r="O112" s="1">
        <f t="shared" si="12"/>
        <v>17.141666666666666</v>
      </c>
      <c r="P112" s="2">
        <f t="shared" si="13"/>
        <v>860.72222222222217</v>
      </c>
    </row>
    <row r="113" spans="1:16" x14ac:dyDescent="0.45">
      <c r="A113" s="12"/>
      <c r="B113" s="4">
        <v>44676</v>
      </c>
      <c r="C113" s="1">
        <v>0</v>
      </c>
      <c r="D113">
        <v>0</v>
      </c>
      <c r="E113">
        <v>0</v>
      </c>
      <c r="F113">
        <v>0</v>
      </c>
      <c r="G113" s="2">
        <f t="shared" si="9"/>
        <v>9180.75</v>
      </c>
      <c r="H113" s="2"/>
      <c r="I113" s="1">
        <f t="shared" si="7"/>
        <v>12.227499999999999</v>
      </c>
      <c r="J113" s="2">
        <f t="shared" si="8"/>
        <v>650.25</v>
      </c>
      <c r="K113" s="2"/>
      <c r="L113" s="1">
        <f t="shared" si="10"/>
        <v>14.702500000000001</v>
      </c>
      <c r="M113" s="2">
        <f t="shared" si="11"/>
        <v>713.05</v>
      </c>
      <c r="N113" s="2"/>
      <c r="O113" s="1">
        <f t="shared" si="12"/>
        <v>16.789444444444442</v>
      </c>
      <c r="P113" s="2">
        <f t="shared" si="13"/>
        <v>858.47222222222217</v>
      </c>
    </row>
    <row r="114" spans="1:16" x14ac:dyDescent="0.45">
      <c r="A114" s="12"/>
      <c r="B114" s="4">
        <v>44683</v>
      </c>
      <c r="C114" s="1">
        <v>16.25</v>
      </c>
      <c r="D114">
        <v>628</v>
      </c>
      <c r="E114">
        <v>0</v>
      </c>
      <c r="F114">
        <v>12663</v>
      </c>
      <c r="G114" s="2">
        <f t="shared" si="9"/>
        <v>9905.5</v>
      </c>
      <c r="H114" s="2"/>
      <c r="I114" s="1">
        <f t="shared" si="7"/>
        <v>13.125</v>
      </c>
      <c r="J114" s="2">
        <f t="shared" si="8"/>
        <v>648</v>
      </c>
      <c r="K114" s="2"/>
      <c r="L114" s="1">
        <f t="shared" si="10"/>
        <v>14.007</v>
      </c>
      <c r="M114" s="2">
        <f t="shared" si="11"/>
        <v>679.95</v>
      </c>
      <c r="N114" s="2"/>
      <c r="O114" s="1">
        <f t="shared" si="12"/>
        <v>13.529166666666667</v>
      </c>
      <c r="P114" s="2">
        <f t="shared" si="13"/>
        <v>601.05555555555554</v>
      </c>
    </row>
    <row r="115" spans="1:16" x14ac:dyDescent="0.45">
      <c r="A115" s="12"/>
      <c r="B115" s="4">
        <v>44690</v>
      </c>
      <c r="C115" s="1">
        <v>21.5</v>
      </c>
      <c r="D115">
        <v>950</v>
      </c>
      <c r="E115">
        <v>0</v>
      </c>
      <c r="F115">
        <v>16788</v>
      </c>
      <c r="G115" s="2">
        <f t="shared" si="9"/>
        <v>8862.75</v>
      </c>
      <c r="H115" s="2"/>
      <c r="I115" s="1">
        <f t="shared" si="7"/>
        <v>11.6875</v>
      </c>
      <c r="J115" s="2">
        <f t="shared" si="8"/>
        <v>519.5</v>
      </c>
      <c r="K115" s="2"/>
      <c r="L115" s="1">
        <f t="shared" si="10"/>
        <v>13.774000000000001</v>
      </c>
      <c r="M115" s="2">
        <f t="shared" si="11"/>
        <v>676.8</v>
      </c>
      <c r="N115" s="2"/>
      <c r="O115" s="1">
        <f t="shared" si="12"/>
        <v>14.450277777777778</v>
      </c>
      <c r="P115" s="2">
        <f t="shared" si="13"/>
        <v>675.66666666666663</v>
      </c>
    </row>
    <row r="116" spans="1:16" x14ac:dyDescent="0.45">
      <c r="A116" s="12"/>
      <c r="B116" s="4">
        <v>44697</v>
      </c>
      <c r="C116" s="1">
        <v>17</v>
      </c>
      <c r="D116">
        <v>838</v>
      </c>
      <c r="E116">
        <v>0</v>
      </c>
      <c r="F116">
        <v>12997</v>
      </c>
      <c r="G116" s="2">
        <f t="shared" si="9"/>
        <v>10612</v>
      </c>
      <c r="H116" s="2"/>
      <c r="I116" s="1">
        <f t="shared" si="7"/>
        <v>13.6875</v>
      </c>
      <c r="J116" s="2">
        <f t="shared" si="8"/>
        <v>604</v>
      </c>
      <c r="K116" s="2"/>
      <c r="L116" s="1">
        <f t="shared" si="10"/>
        <v>13.090999999999999</v>
      </c>
      <c r="M116" s="2">
        <f t="shared" si="11"/>
        <v>634</v>
      </c>
      <c r="N116" s="2"/>
      <c r="O116" s="1">
        <f t="shared" si="12"/>
        <v>13.496388888888889</v>
      </c>
      <c r="P116" s="2">
        <f t="shared" si="13"/>
        <v>652.80555555555554</v>
      </c>
    </row>
    <row r="117" spans="1:16" x14ac:dyDescent="0.45">
      <c r="A117" s="12" t="s">
        <v>35</v>
      </c>
      <c r="B117" s="4">
        <v>44704</v>
      </c>
      <c r="C117" s="1">
        <v>14.75</v>
      </c>
      <c r="D117">
        <v>839</v>
      </c>
      <c r="E117">
        <v>0</v>
      </c>
      <c r="F117">
        <v>11963</v>
      </c>
      <c r="G117" s="2">
        <f t="shared" si="9"/>
        <v>13602.75</v>
      </c>
      <c r="H117" s="2"/>
      <c r="I117" s="1">
        <f t="shared" si="7"/>
        <v>17.375</v>
      </c>
      <c r="J117" s="2">
        <f t="shared" si="8"/>
        <v>813.75</v>
      </c>
      <c r="K117" s="2"/>
      <c r="L117" s="1">
        <f t="shared" si="10"/>
        <v>13.620499999999998</v>
      </c>
      <c r="M117" s="2">
        <f t="shared" si="11"/>
        <v>647.1</v>
      </c>
      <c r="N117" s="2"/>
      <c r="O117" s="1">
        <f t="shared" si="12"/>
        <v>14.563333333333333</v>
      </c>
      <c r="P117" s="2">
        <f t="shared" si="13"/>
        <v>728.36111111111109</v>
      </c>
    </row>
    <row r="118" spans="1:16" x14ac:dyDescent="0.45">
      <c r="A118" s="12"/>
      <c r="B118" s="4">
        <v>44711</v>
      </c>
      <c r="C118" s="1">
        <v>23.33</v>
      </c>
      <c r="D118">
        <v>835</v>
      </c>
      <c r="E118">
        <v>0</v>
      </c>
      <c r="F118">
        <v>15937</v>
      </c>
      <c r="G118" s="2">
        <f t="shared" si="9"/>
        <v>14421.25</v>
      </c>
      <c r="H118" s="2"/>
      <c r="I118" s="1">
        <f t="shared" si="7"/>
        <v>19.145</v>
      </c>
      <c r="J118" s="2">
        <f t="shared" si="8"/>
        <v>865.5</v>
      </c>
      <c r="K118" s="2"/>
      <c r="L118" s="1">
        <f t="shared" si="10"/>
        <v>15.004</v>
      </c>
      <c r="M118" s="2">
        <f t="shared" si="11"/>
        <v>690.15</v>
      </c>
      <c r="N118" s="2"/>
      <c r="O118" s="1">
        <f t="shared" si="12"/>
        <v>15.335555555555553</v>
      </c>
      <c r="P118" s="2">
        <f t="shared" si="13"/>
        <v>754.97222222222217</v>
      </c>
    </row>
    <row r="119" spans="1:16" x14ac:dyDescent="0.45">
      <c r="A119" s="12"/>
      <c r="B119" s="4">
        <v>44718</v>
      </c>
      <c r="C119" s="1">
        <v>16</v>
      </c>
      <c r="D119">
        <v>720</v>
      </c>
      <c r="E119">
        <v>0</v>
      </c>
      <c r="F119">
        <v>11566</v>
      </c>
      <c r="G119" s="2">
        <f t="shared" si="9"/>
        <v>13115.75</v>
      </c>
      <c r="H119" s="2"/>
      <c r="I119" s="1">
        <f t="shared" si="7"/>
        <v>17.77</v>
      </c>
      <c r="J119" s="2">
        <f t="shared" si="8"/>
        <v>808</v>
      </c>
      <c r="K119" s="2"/>
      <c r="L119" s="1">
        <f t="shared" si="10"/>
        <v>15.932999999999998</v>
      </c>
      <c r="M119" s="2">
        <f t="shared" si="11"/>
        <v>722.15</v>
      </c>
      <c r="N119" s="2"/>
      <c r="O119" s="1">
        <f t="shared" si="12"/>
        <v>12.553055555555554</v>
      </c>
      <c r="P119" s="2">
        <f t="shared" si="13"/>
        <v>577.13888888888891</v>
      </c>
    </row>
    <row r="120" spans="1:16" x14ac:dyDescent="0.45">
      <c r="A120" s="12"/>
      <c r="B120" s="4">
        <v>44725</v>
      </c>
      <c r="C120" s="1">
        <v>23</v>
      </c>
      <c r="D120">
        <v>1245</v>
      </c>
      <c r="E120">
        <v>0</v>
      </c>
      <c r="F120">
        <v>18337</v>
      </c>
      <c r="G120" s="2">
        <f t="shared" si="9"/>
        <v>14450.75</v>
      </c>
      <c r="H120" s="2"/>
      <c r="I120" s="1">
        <f t="shared" si="7"/>
        <v>19.27</v>
      </c>
      <c r="J120" s="2">
        <f t="shared" si="8"/>
        <v>909.75</v>
      </c>
      <c r="K120" s="2"/>
      <c r="L120" s="1">
        <f t="shared" si="10"/>
        <v>17.4495</v>
      </c>
      <c r="M120" s="2">
        <f t="shared" si="11"/>
        <v>800.2</v>
      </c>
      <c r="N120" s="2"/>
      <c r="O120" s="1">
        <f t="shared" si="12"/>
        <v>14.215</v>
      </c>
      <c r="P120" s="2">
        <f t="shared" si="13"/>
        <v>634.22222222222217</v>
      </c>
    </row>
    <row r="121" spans="1:16" x14ac:dyDescent="0.45">
      <c r="A121" s="12"/>
      <c r="B121" s="4">
        <v>44732</v>
      </c>
      <c r="C121" s="1">
        <v>17.25</v>
      </c>
      <c r="D121">
        <v>631</v>
      </c>
      <c r="E121">
        <v>0</v>
      </c>
      <c r="F121">
        <v>11239</v>
      </c>
      <c r="G121" s="2">
        <f t="shared" si="9"/>
        <v>14269.75</v>
      </c>
      <c r="H121" s="2"/>
      <c r="I121" s="1">
        <f t="shared" si="7"/>
        <v>19.895</v>
      </c>
      <c r="J121" s="2">
        <f t="shared" si="8"/>
        <v>857.75</v>
      </c>
      <c r="K121" s="2"/>
      <c r="L121" s="1">
        <f t="shared" si="10"/>
        <v>18.690999999999999</v>
      </c>
      <c r="M121" s="2">
        <f t="shared" si="11"/>
        <v>850.95</v>
      </c>
      <c r="N121" s="2"/>
      <c r="O121" s="1">
        <f t="shared" si="12"/>
        <v>18.356111111111108</v>
      </c>
      <c r="P121" s="2">
        <f t="shared" si="13"/>
        <v>819.94444444444446</v>
      </c>
    </row>
    <row r="122" spans="1:16" x14ac:dyDescent="0.45">
      <c r="A122" s="12"/>
      <c r="B122" s="4">
        <v>44739</v>
      </c>
      <c r="C122" s="1">
        <v>24.5</v>
      </c>
      <c r="D122">
        <v>947</v>
      </c>
      <c r="E122">
        <v>0</v>
      </c>
      <c r="F122">
        <v>16789</v>
      </c>
      <c r="G122" s="2">
        <f t="shared" si="9"/>
        <v>14482.75</v>
      </c>
      <c r="H122" s="2"/>
      <c r="I122" s="1">
        <f t="shared" si="7"/>
        <v>20.1875</v>
      </c>
      <c r="J122" s="2">
        <f t="shared" si="8"/>
        <v>885.75</v>
      </c>
      <c r="K122" s="2"/>
      <c r="L122" s="1">
        <f t="shared" si="10"/>
        <v>19.253499999999999</v>
      </c>
      <c r="M122" s="2">
        <f t="shared" si="11"/>
        <v>865.35</v>
      </c>
      <c r="N122" s="2"/>
      <c r="O122" s="1">
        <f t="shared" si="12"/>
        <v>19.115277777777777</v>
      </c>
      <c r="P122" s="2">
        <f t="shared" si="13"/>
        <v>874.97222222222217</v>
      </c>
    </row>
    <row r="123" spans="1:16" x14ac:dyDescent="0.45">
      <c r="A123" s="12" t="s">
        <v>36</v>
      </c>
      <c r="B123" s="4">
        <v>44746</v>
      </c>
      <c r="C123" s="1">
        <v>11.5</v>
      </c>
      <c r="D123">
        <v>457</v>
      </c>
      <c r="E123">
        <v>0</v>
      </c>
      <c r="F123">
        <v>7584</v>
      </c>
      <c r="G123" s="2">
        <f t="shared" si="9"/>
        <v>13487.25</v>
      </c>
      <c r="H123" s="2"/>
      <c r="I123" s="1">
        <f t="shared" si="7"/>
        <v>19.0625</v>
      </c>
      <c r="J123" s="2">
        <f t="shared" si="8"/>
        <v>820</v>
      </c>
      <c r="K123" s="2"/>
      <c r="L123" s="1">
        <f t="shared" si="10"/>
        <v>19.237000000000002</v>
      </c>
      <c r="M123" s="2">
        <f t="shared" si="11"/>
        <v>856.25</v>
      </c>
      <c r="N123" s="2"/>
      <c r="O123" s="1">
        <f t="shared" si="12"/>
        <v>18.43</v>
      </c>
      <c r="P123" s="2">
        <f t="shared" si="13"/>
        <v>844.75</v>
      </c>
    </row>
    <row r="124" spans="1:16" x14ac:dyDescent="0.45">
      <c r="A124" s="12"/>
      <c r="B124" s="4">
        <v>44753</v>
      </c>
      <c r="C124" s="1">
        <v>19</v>
      </c>
      <c r="D124">
        <v>846</v>
      </c>
      <c r="E124">
        <v>0</v>
      </c>
      <c r="F124">
        <v>12628</v>
      </c>
      <c r="G124" s="2">
        <f t="shared" si="9"/>
        <v>12060</v>
      </c>
      <c r="H124" s="2"/>
      <c r="I124" s="1">
        <f t="shared" si="7"/>
        <v>18.0625</v>
      </c>
      <c r="J124" s="2">
        <f t="shared" si="8"/>
        <v>720.25</v>
      </c>
      <c r="K124" s="2"/>
      <c r="L124" s="1">
        <f t="shared" si="10"/>
        <v>19.295499999999997</v>
      </c>
      <c r="M124" s="2">
        <f t="shared" si="11"/>
        <v>838.7</v>
      </c>
      <c r="N124" s="2"/>
      <c r="O124" s="1">
        <f t="shared" si="12"/>
        <v>18.800277777777776</v>
      </c>
      <c r="P124" s="2">
        <f t="shared" si="13"/>
        <v>839.63888888888891</v>
      </c>
    </row>
    <row r="125" spans="1:16" x14ac:dyDescent="0.45">
      <c r="A125" s="12"/>
      <c r="B125" s="4">
        <v>44760</v>
      </c>
      <c r="C125" s="1">
        <v>14</v>
      </c>
      <c r="D125">
        <v>632</v>
      </c>
      <c r="E125">
        <v>0</v>
      </c>
      <c r="F125">
        <v>9591</v>
      </c>
      <c r="G125" s="2">
        <f t="shared" si="9"/>
        <v>11648</v>
      </c>
      <c r="H125" s="2"/>
      <c r="I125" s="1">
        <f t="shared" si="7"/>
        <v>17.25</v>
      </c>
      <c r="J125" s="2">
        <f t="shared" si="8"/>
        <v>720.5</v>
      </c>
      <c r="K125" s="2"/>
      <c r="L125" s="1">
        <f t="shared" si="10"/>
        <v>18.891500000000001</v>
      </c>
      <c r="M125" s="2">
        <f t="shared" si="11"/>
        <v>800.85</v>
      </c>
      <c r="N125" s="2"/>
      <c r="O125" s="1">
        <f t="shared" si="12"/>
        <v>19.649722222222223</v>
      </c>
      <c r="P125" s="2">
        <f t="shared" si="13"/>
        <v>828.55555555555554</v>
      </c>
    </row>
    <row r="126" spans="1:16" x14ac:dyDescent="0.45">
      <c r="A126" s="12" t="s">
        <v>37</v>
      </c>
      <c r="B126" s="4">
        <v>44767</v>
      </c>
      <c r="C126" s="1">
        <v>9.33</v>
      </c>
      <c r="D126">
        <v>353</v>
      </c>
      <c r="E126">
        <v>0</v>
      </c>
      <c r="F126">
        <v>5295</v>
      </c>
      <c r="G126" s="2">
        <f t="shared" si="9"/>
        <v>8774.5</v>
      </c>
      <c r="H126" s="2"/>
      <c r="I126" s="1">
        <f t="shared" si="7"/>
        <v>13.4575</v>
      </c>
      <c r="J126" s="2">
        <f t="shared" si="8"/>
        <v>572</v>
      </c>
      <c r="K126" s="2"/>
      <c r="L126" s="1">
        <f t="shared" si="10"/>
        <v>17.603999999999999</v>
      </c>
      <c r="M126" s="2">
        <f t="shared" si="11"/>
        <v>743.7</v>
      </c>
      <c r="N126" s="2"/>
      <c r="O126" s="1">
        <f t="shared" si="12"/>
        <v>18.203611111111108</v>
      </c>
      <c r="P126" s="2">
        <f t="shared" si="13"/>
        <v>804.97222222222217</v>
      </c>
    </row>
    <row r="127" spans="1:16" x14ac:dyDescent="0.45">
      <c r="A127" s="12"/>
      <c r="B127" s="4">
        <v>44774</v>
      </c>
      <c r="C127" s="1">
        <v>19.5</v>
      </c>
      <c r="D127">
        <v>706</v>
      </c>
      <c r="E127">
        <v>0</v>
      </c>
      <c r="F127">
        <v>13172</v>
      </c>
      <c r="G127" s="2">
        <f t="shared" si="9"/>
        <v>10171.5</v>
      </c>
      <c r="H127" s="2"/>
      <c r="I127" s="1">
        <f t="shared" si="7"/>
        <v>15.4575</v>
      </c>
      <c r="J127" s="2">
        <f t="shared" si="8"/>
        <v>634.25</v>
      </c>
      <c r="K127" s="2"/>
      <c r="L127" s="1">
        <f t="shared" si="10"/>
        <v>16.658000000000001</v>
      </c>
      <c r="M127" s="2">
        <f t="shared" si="11"/>
        <v>693.4</v>
      </c>
      <c r="N127" s="2"/>
      <c r="O127" s="1">
        <f t="shared" si="12"/>
        <v>18.483611111111109</v>
      </c>
      <c r="P127" s="2">
        <f t="shared" si="13"/>
        <v>806.55555555555554</v>
      </c>
    </row>
    <row r="128" spans="1:16" x14ac:dyDescent="0.45">
      <c r="A128" s="12"/>
      <c r="B128" s="4">
        <v>44781</v>
      </c>
      <c r="C128" s="1">
        <v>16.5</v>
      </c>
      <c r="D128">
        <v>552</v>
      </c>
      <c r="E128">
        <v>0</v>
      </c>
      <c r="F128">
        <v>11105</v>
      </c>
      <c r="G128" s="2">
        <f t="shared" si="9"/>
        <v>9790.75</v>
      </c>
      <c r="H128" s="2"/>
      <c r="I128" s="1">
        <f t="shared" si="7"/>
        <v>14.8325</v>
      </c>
      <c r="J128" s="2">
        <f t="shared" si="8"/>
        <v>560.75</v>
      </c>
      <c r="K128" s="2"/>
      <c r="L128" s="1">
        <f t="shared" si="10"/>
        <v>15.812000000000001</v>
      </c>
      <c r="M128" s="2">
        <f t="shared" si="11"/>
        <v>641.54999999999995</v>
      </c>
      <c r="N128" s="2"/>
      <c r="O128" s="1">
        <f t="shared" si="12"/>
        <v>17.0275</v>
      </c>
      <c r="P128" s="2">
        <f t="shared" si="13"/>
        <v>672.22222222222217</v>
      </c>
    </row>
    <row r="129" spans="1:16" x14ac:dyDescent="0.45">
      <c r="A129" s="12"/>
      <c r="B129" s="4">
        <v>44788</v>
      </c>
      <c r="C129" s="1">
        <v>20.25</v>
      </c>
      <c r="D129">
        <v>858</v>
      </c>
      <c r="E129">
        <v>0</v>
      </c>
      <c r="F129">
        <v>14812</v>
      </c>
      <c r="G129" s="2">
        <f t="shared" si="9"/>
        <v>11096</v>
      </c>
      <c r="H129" s="2"/>
      <c r="I129" s="1">
        <f t="shared" si="7"/>
        <v>16.395</v>
      </c>
      <c r="J129" s="2">
        <f t="shared" si="8"/>
        <v>617.25</v>
      </c>
      <c r="K129" s="2"/>
      <c r="L129" s="1">
        <f t="shared" si="10"/>
        <v>15.4785</v>
      </c>
      <c r="M129" s="2">
        <f t="shared" si="11"/>
        <v>620.95000000000005</v>
      </c>
      <c r="N129" s="2"/>
      <c r="O129" s="1">
        <f t="shared" si="12"/>
        <v>16.932499999999997</v>
      </c>
      <c r="P129" s="2">
        <f t="shared" si="13"/>
        <v>680.63888888888891</v>
      </c>
    </row>
    <row r="130" spans="1:16" x14ac:dyDescent="0.45">
      <c r="A130" s="12"/>
      <c r="B130" s="4">
        <v>44795</v>
      </c>
      <c r="C130" s="1">
        <v>17</v>
      </c>
      <c r="D130">
        <v>846</v>
      </c>
      <c r="E130">
        <v>0</v>
      </c>
      <c r="F130">
        <v>12836</v>
      </c>
      <c r="G130" s="2">
        <f t="shared" si="9"/>
        <v>12981.25</v>
      </c>
      <c r="H130" s="2"/>
      <c r="I130" s="1">
        <f t="shared" si="7"/>
        <v>18.3125</v>
      </c>
      <c r="J130" s="2">
        <f t="shared" si="8"/>
        <v>740.5</v>
      </c>
      <c r="K130" s="2"/>
      <c r="L130" s="1">
        <f t="shared" si="10"/>
        <v>15.690999999999999</v>
      </c>
      <c r="M130" s="2">
        <f t="shared" si="11"/>
        <v>624.95000000000005</v>
      </c>
      <c r="N130" s="2"/>
      <c r="O130" s="1">
        <f t="shared" si="12"/>
        <v>15.018055555555556</v>
      </c>
      <c r="P130" s="2">
        <f t="shared" si="13"/>
        <v>616.02777777777783</v>
      </c>
    </row>
    <row r="131" spans="1:16" x14ac:dyDescent="0.45">
      <c r="A131" s="12"/>
      <c r="B131" s="4">
        <v>44802</v>
      </c>
      <c r="C131" s="1">
        <v>22.5</v>
      </c>
      <c r="D131">
        <v>952</v>
      </c>
      <c r="E131">
        <v>0</v>
      </c>
      <c r="F131">
        <v>16554</v>
      </c>
      <c r="G131" s="2">
        <f t="shared" si="9"/>
        <v>13826.75</v>
      </c>
      <c r="H131" s="2"/>
      <c r="I131" s="1">
        <f t="shared" si="7"/>
        <v>19.0625</v>
      </c>
      <c r="J131" s="2">
        <f t="shared" si="8"/>
        <v>802</v>
      </c>
      <c r="K131" s="2"/>
      <c r="L131" s="1">
        <f t="shared" si="10"/>
        <v>16.812000000000001</v>
      </c>
      <c r="M131" s="2">
        <f t="shared" si="11"/>
        <v>670.95</v>
      </c>
      <c r="N131" s="2"/>
      <c r="O131" s="1">
        <f t="shared" si="12"/>
        <v>16.298055555555557</v>
      </c>
      <c r="P131" s="2">
        <f t="shared" si="13"/>
        <v>674.05555555555554</v>
      </c>
    </row>
    <row r="132" spans="1:16" x14ac:dyDescent="0.45">
      <c r="A132" s="12"/>
      <c r="B132" s="4">
        <v>44809</v>
      </c>
      <c r="C132" s="1">
        <v>18.75</v>
      </c>
      <c r="D132">
        <v>889</v>
      </c>
      <c r="E132">
        <v>0</v>
      </c>
      <c r="F132">
        <v>13778</v>
      </c>
      <c r="G132" s="2">
        <f t="shared" si="9"/>
        <v>14495</v>
      </c>
      <c r="H132" s="2"/>
      <c r="I132" s="1">
        <f t="shared" si="7"/>
        <v>19.625</v>
      </c>
      <c r="J132" s="2">
        <f t="shared" si="8"/>
        <v>886.25</v>
      </c>
      <c r="K132" s="2"/>
      <c r="L132" s="1">
        <f t="shared" si="10"/>
        <v>17.645499999999998</v>
      </c>
      <c r="M132" s="2">
        <f t="shared" si="11"/>
        <v>721.35</v>
      </c>
      <c r="N132" s="2"/>
      <c r="O132" s="1">
        <f t="shared" si="12"/>
        <v>15.904444444444444</v>
      </c>
      <c r="P132" s="2">
        <f t="shared" si="13"/>
        <v>646.83333333333337</v>
      </c>
    </row>
    <row r="133" spans="1:16" x14ac:dyDescent="0.45">
      <c r="A133" s="12"/>
      <c r="B133" s="4">
        <v>44816</v>
      </c>
      <c r="C133" s="1">
        <v>19.5</v>
      </c>
      <c r="D133">
        <v>1014</v>
      </c>
      <c r="E133">
        <v>0</v>
      </c>
      <c r="F133">
        <v>14339</v>
      </c>
      <c r="G133" s="2">
        <f t="shared" si="9"/>
        <v>14376.75</v>
      </c>
      <c r="H133" s="2"/>
      <c r="I133" s="1">
        <f t="shared" ref="I133:I196" si="14">AVERAGE(C130:C133)</f>
        <v>19.4375</v>
      </c>
      <c r="J133" s="2">
        <f t="shared" ref="J133:J196" si="15">AVERAGE(D130:D133)</f>
        <v>925.25</v>
      </c>
      <c r="K133" s="2"/>
      <c r="L133" s="1">
        <f t="shared" si="10"/>
        <v>18.566499999999998</v>
      </c>
      <c r="M133" s="2">
        <f t="shared" si="11"/>
        <v>794.25</v>
      </c>
      <c r="N133" s="2"/>
      <c r="O133" s="1">
        <f t="shared" si="12"/>
        <v>16.774722222222223</v>
      </c>
      <c r="P133" s="2">
        <f t="shared" si="13"/>
        <v>677.77777777777783</v>
      </c>
    </row>
    <row r="134" spans="1:16" x14ac:dyDescent="0.45">
      <c r="A134" s="12"/>
      <c r="B134" s="4">
        <v>44823</v>
      </c>
      <c r="C134" s="1">
        <v>16.66</v>
      </c>
      <c r="D134">
        <v>782</v>
      </c>
      <c r="E134">
        <v>0</v>
      </c>
      <c r="F134">
        <v>12652</v>
      </c>
      <c r="G134" s="2">
        <f t="shared" ref="G134:G197" si="16">AVERAGE(F131:F134)</f>
        <v>14330.75</v>
      </c>
      <c r="H134" s="2"/>
      <c r="I134" s="1">
        <f t="shared" si="14"/>
        <v>19.352499999999999</v>
      </c>
      <c r="J134" s="2">
        <f t="shared" si="15"/>
        <v>909.25</v>
      </c>
      <c r="K134" s="2"/>
      <c r="L134" s="1">
        <f t="shared" si="10"/>
        <v>19.158000000000001</v>
      </c>
      <c r="M134" s="2">
        <f t="shared" si="11"/>
        <v>852.65</v>
      </c>
      <c r="N134" s="2"/>
      <c r="O134" s="1">
        <f t="shared" si="12"/>
        <v>18.886388888888888</v>
      </c>
      <c r="P134" s="2">
        <f t="shared" si="13"/>
        <v>782.63888888888891</v>
      </c>
    </row>
    <row r="135" spans="1:16" x14ac:dyDescent="0.45">
      <c r="A135" s="12"/>
      <c r="B135" s="4">
        <v>44830</v>
      </c>
      <c r="C135" s="1">
        <v>11.5</v>
      </c>
      <c r="D135">
        <v>429</v>
      </c>
      <c r="E135">
        <v>0</v>
      </c>
      <c r="F135">
        <v>8110</v>
      </c>
      <c r="G135" s="2">
        <f t="shared" si="16"/>
        <v>12219.75</v>
      </c>
      <c r="H135" s="2"/>
      <c r="I135" s="1">
        <f t="shared" si="14"/>
        <v>16.602499999999999</v>
      </c>
      <c r="J135" s="2">
        <f t="shared" si="15"/>
        <v>778.5</v>
      </c>
      <c r="K135" s="2"/>
      <c r="L135" s="1">
        <f t="shared" si="10"/>
        <v>18.815999999999999</v>
      </c>
      <c r="M135" s="2">
        <f t="shared" si="11"/>
        <v>860.25</v>
      </c>
      <c r="N135" s="2"/>
      <c r="O135" s="1">
        <f t="shared" si="12"/>
        <v>18.515833333333333</v>
      </c>
      <c r="P135" s="2">
        <f t="shared" si="13"/>
        <v>801.36111111111109</v>
      </c>
    </row>
    <row r="136" spans="1:16" x14ac:dyDescent="0.45">
      <c r="A136" s="12"/>
      <c r="B136" s="4">
        <v>44837</v>
      </c>
      <c r="C136" s="1">
        <v>15</v>
      </c>
      <c r="D136">
        <v>750</v>
      </c>
      <c r="E136">
        <v>0</v>
      </c>
      <c r="F136">
        <v>8379</v>
      </c>
      <c r="G136" s="2">
        <f t="shared" si="16"/>
        <v>10870</v>
      </c>
      <c r="H136" s="2"/>
      <c r="I136" s="1">
        <f t="shared" si="14"/>
        <v>15.664999999999999</v>
      </c>
      <c r="J136" s="2">
        <f t="shared" si="15"/>
        <v>743.75</v>
      </c>
      <c r="K136" s="2"/>
      <c r="L136" s="1">
        <f t="shared" si="10"/>
        <v>18.136500000000002</v>
      </c>
      <c r="M136" s="2">
        <f t="shared" si="11"/>
        <v>848.6</v>
      </c>
      <c r="N136" s="2"/>
      <c r="O136" s="1">
        <f t="shared" si="12"/>
        <v>18.770277777777778</v>
      </c>
      <c r="P136" s="2">
        <f t="shared" si="13"/>
        <v>859.80555555555554</v>
      </c>
    </row>
    <row r="137" spans="1:16" x14ac:dyDescent="0.45">
      <c r="A137" s="12" t="s">
        <v>38</v>
      </c>
      <c r="B137" s="4">
        <v>44844</v>
      </c>
      <c r="C137" s="1">
        <v>9</v>
      </c>
      <c r="D137">
        <v>400</v>
      </c>
      <c r="E137">
        <v>0</v>
      </c>
      <c r="F137">
        <v>3571</v>
      </c>
      <c r="G137" s="2">
        <f t="shared" si="16"/>
        <v>8178</v>
      </c>
      <c r="H137" s="2"/>
      <c r="I137" s="1">
        <f t="shared" si="14"/>
        <v>13.04</v>
      </c>
      <c r="J137" s="2">
        <f t="shared" si="15"/>
        <v>590.25</v>
      </c>
      <c r="K137" s="2"/>
      <c r="L137" s="1">
        <f t="shared" ref="L137:L200" si="17">((C130)+(2*C131)+(3*C132)+(4*C133)+(4*C134)+(3*C135)+(2*C136)+(C137))/20</f>
        <v>16.819499999999998</v>
      </c>
      <c r="M137" s="2">
        <f t="shared" ref="M137:M200" si="18">((D130)+(2*D131)+(3*D132)+(4*D133)+(4*D134)+(3*D135)+(2*D136)+(D137))/20</f>
        <v>789.4</v>
      </c>
      <c r="N137" s="2"/>
      <c r="O137" s="1">
        <f t="shared" si="12"/>
        <v>17.878888888888888</v>
      </c>
      <c r="P137" s="2">
        <f t="shared" si="13"/>
        <v>837.52777777777783</v>
      </c>
    </row>
    <row r="138" spans="1:16" x14ac:dyDescent="0.45">
      <c r="A138" s="12"/>
      <c r="B138" s="4">
        <v>44851</v>
      </c>
      <c r="C138" s="1">
        <v>0</v>
      </c>
      <c r="D138" s="2">
        <v>0</v>
      </c>
      <c r="E138" s="2">
        <v>0</v>
      </c>
      <c r="F138" s="2">
        <v>0</v>
      </c>
      <c r="G138" s="2">
        <f t="shared" si="16"/>
        <v>5015</v>
      </c>
      <c r="H138" s="2"/>
      <c r="I138" s="1">
        <f t="shared" si="14"/>
        <v>8.875</v>
      </c>
      <c r="J138" s="2">
        <f t="shared" si="15"/>
        <v>394.75</v>
      </c>
      <c r="K138" s="2"/>
      <c r="L138" s="1">
        <f t="shared" si="17"/>
        <v>14.706999999999999</v>
      </c>
      <c r="M138" s="2">
        <f t="shared" si="18"/>
        <v>683.3</v>
      </c>
      <c r="N138" s="2"/>
      <c r="O138" s="1">
        <f t="shared" si="12"/>
        <v>17.237499999999997</v>
      </c>
      <c r="P138" s="2">
        <f t="shared" si="13"/>
        <v>794.41666666666663</v>
      </c>
    </row>
    <row r="139" spans="1:16" x14ac:dyDescent="0.45">
      <c r="A139" s="12"/>
      <c r="B139" s="4">
        <v>44858</v>
      </c>
      <c r="C139" s="1">
        <v>0</v>
      </c>
      <c r="D139" s="2">
        <v>0</v>
      </c>
      <c r="E139" s="2">
        <v>0</v>
      </c>
      <c r="F139" s="2">
        <v>0</v>
      </c>
      <c r="G139" s="2">
        <f t="shared" si="16"/>
        <v>2987.5</v>
      </c>
      <c r="H139" s="2"/>
      <c r="I139" s="1">
        <f t="shared" si="14"/>
        <v>6</v>
      </c>
      <c r="J139" s="2">
        <f t="shared" si="15"/>
        <v>287.5</v>
      </c>
      <c r="K139" s="2"/>
      <c r="L139" s="1">
        <f t="shared" si="17"/>
        <v>12.0365</v>
      </c>
      <c r="M139" s="2">
        <f t="shared" si="18"/>
        <v>558.95000000000005</v>
      </c>
      <c r="N139" s="2"/>
      <c r="O139" s="1">
        <f t="shared" si="12"/>
        <v>14.74888888888889</v>
      </c>
      <c r="P139" s="2">
        <f t="shared" si="13"/>
        <v>701.30555555555554</v>
      </c>
    </row>
    <row r="140" spans="1:16" x14ac:dyDescent="0.45">
      <c r="A140" s="12" t="s">
        <v>39</v>
      </c>
      <c r="B140" s="4">
        <v>44865</v>
      </c>
      <c r="C140" s="1">
        <f>10+51/60</f>
        <v>10.85</v>
      </c>
      <c r="D140" s="2">
        <v>455</v>
      </c>
      <c r="E140" s="2">
        <v>2</v>
      </c>
      <c r="F140" s="2">
        <v>8912</v>
      </c>
      <c r="G140" s="2">
        <f t="shared" si="16"/>
        <v>3120.75</v>
      </c>
      <c r="H140" s="2"/>
      <c r="I140" s="1">
        <f t="shared" si="14"/>
        <v>4.9625000000000004</v>
      </c>
      <c r="J140" s="2">
        <f t="shared" si="15"/>
        <v>213.75</v>
      </c>
      <c r="K140" s="2"/>
      <c r="L140" s="1">
        <f t="shared" si="17"/>
        <v>9.708499999999999</v>
      </c>
      <c r="M140" s="2">
        <f t="shared" si="18"/>
        <v>446</v>
      </c>
      <c r="N140" s="2"/>
      <c r="O140" s="1">
        <f t="shared" si="12"/>
        <v>12.874166666666667</v>
      </c>
      <c r="P140" s="2">
        <f t="shared" si="13"/>
        <v>610.13888888888891</v>
      </c>
    </row>
    <row r="141" spans="1:16" x14ac:dyDescent="0.45">
      <c r="A141" s="12"/>
      <c r="B141" s="4">
        <v>44872</v>
      </c>
      <c r="C141" s="1">
        <v>17.75</v>
      </c>
      <c r="D141" s="2">
        <v>724</v>
      </c>
      <c r="E141" s="2">
        <v>2</v>
      </c>
      <c r="F141" s="2">
        <v>13721</v>
      </c>
      <c r="G141" s="2">
        <f t="shared" si="16"/>
        <v>5658.25</v>
      </c>
      <c r="H141" s="2"/>
      <c r="I141" s="1">
        <f t="shared" si="14"/>
        <v>7.15</v>
      </c>
      <c r="J141" s="2">
        <f t="shared" si="15"/>
        <v>294.75</v>
      </c>
      <c r="K141" s="2"/>
      <c r="L141" s="1">
        <f t="shared" si="17"/>
        <v>8.0054999999999996</v>
      </c>
      <c r="M141" s="2">
        <f t="shared" si="18"/>
        <v>356.2</v>
      </c>
      <c r="N141" s="2"/>
      <c r="O141" s="1">
        <f t="shared" ref="O141:O204" si="19">((C141)+(C140*2)+(C139*3)+(C138*4)+(C137*5)+(C136*6)+(C135*7)+(C134*8))/36</f>
        <v>10.784166666666668</v>
      </c>
      <c r="P141" s="2">
        <f t="shared" ref="P141:P204" si="20">((D141)+(D140*2)+(D139*3)+(D138*4)+(D137*5)+(D136*6)+(D135*7)+(D134*8))/36</f>
        <v>483.13888888888891</v>
      </c>
    </row>
    <row r="142" spans="1:16" x14ac:dyDescent="0.45">
      <c r="A142" s="12"/>
      <c r="B142" s="4">
        <v>44879</v>
      </c>
      <c r="C142" s="1">
        <f>19+24/60</f>
        <v>19.399999999999999</v>
      </c>
      <c r="D142" s="2">
        <v>918</v>
      </c>
      <c r="E142" s="2">
        <v>2</v>
      </c>
      <c r="F142" s="2">
        <v>16713</v>
      </c>
      <c r="G142" s="2">
        <f t="shared" si="16"/>
        <v>9836.5</v>
      </c>
      <c r="H142" s="2"/>
      <c r="I142" s="1">
        <f t="shared" si="14"/>
        <v>12</v>
      </c>
      <c r="J142" s="2">
        <f t="shared" si="15"/>
        <v>524.25</v>
      </c>
      <c r="K142" s="2"/>
      <c r="L142" s="1">
        <f t="shared" si="17"/>
        <v>7.7975000000000012</v>
      </c>
      <c r="M142" s="2">
        <f t="shared" si="18"/>
        <v>343</v>
      </c>
      <c r="N142" s="2"/>
      <c r="O142" s="1">
        <f t="shared" si="19"/>
        <v>9.4013888888888886</v>
      </c>
      <c r="P142" s="2">
        <f t="shared" si="20"/>
        <v>411.47222222222223</v>
      </c>
    </row>
    <row r="143" spans="1:16" x14ac:dyDescent="0.45">
      <c r="A143" s="12"/>
      <c r="B143" s="4">
        <v>44886</v>
      </c>
      <c r="C143" s="1">
        <f>23+24/60</f>
        <v>23.4</v>
      </c>
      <c r="D143" s="2">
        <v>1056</v>
      </c>
      <c r="E143" s="2">
        <v>1</v>
      </c>
      <c r="F143" s="2">
        <v>19423</v>
      </c>
      <c r="G143" s="2">
        <f t="shared" si="16"/>
        <v>14692.25</v>
      </c>
      <c r="H143" s="2"/>
      <c r="I143" s="1">
        <f t="shared" si="14"/>
        <v>17.850000000000001</v>
      </c>
      <c r="J143" s="2">
        <f t="shared" si="15"/>
        <v>788.25</v>
      </c>
      <c r="K143" s="2"/>
      <c r="L143" s="1">
        <f t="shared" si="17"/>
        <v>9.5924999999999994</v>
      </c>
      <c r="M143" s="2">
        <f t="shared" si="18"/>
        <v>421.7</v>
      </c>
      <c r="N143" s="2"/>
      <c r="O143" s="1">
        <f t="shared" si="19"/>
        <v>9.4958333333333336</v>
      </c>
      <c r="P143" s="2">
        <f t="shared" si="20"/>
        <v>435.66666666666669</v>
      </c>
    </row>
    <row r="144" spans="1:16" x14ac:dyDescent="0.45">
      <c r="A144" s="12"/>
      <c r="B144" s="4">
        <v>44893</v>
      </c>
      <c r="C144" s="1">
        <v>21.75</v>
      </c>
      <c r="D144" s="2">
        <v>967</v>
      </c>
      <c r="E144" s="2">
        <v>2</v>
      </c>
      <c r="F144" s="2">
        <v>17876</v>
      </c>
      <c r="G144" s="2">
        <f t="shared" si="16"/>
        <v>16933.25</v>
      </c>
      <c r="H144" s="2"/>
      <c r="I144" s="1">
        <f t="shared" si="14"/>
        <v>20.574999999999999</v>
      </c>
      <c r="J144" s="2">
        <f t="shared" si="15"/>
        <v>916.25</v>
      </c>
      <c r="K144" s="2"/>
      <c r="L144" s="1">
        <f t="shared" si="17"/>
        <v>12.507499999999999</v>
      </c>
      <c r="M144" s="2">
        <f t="shared" si="18"/>
        <v>547.45000000000005</v>
      </c>
      <c r="N144" s="2"/>
      <c r="O144" s="1">
        <f t="shared" si="19"/>
        <v>9</v>
      </c>
      <c r="P144" s="2">
        <f t="shared" si="20"/>
        <v>394.55555555555554</v>
      </c>
    </row>
    <row r="145" spans="1:16" x14ac:dyDescent="0.45">
      <c r="A145" s="15"/>
      <c r="B145" s="4">
        <v>44900</v>
      </c>
      <c r="C145" s="1">
        <v>18</v>
      </c>
      <c r="D145" s="2">
        <v>746</v>
      </c>
      <c r="E145" s="2">
        <v>2</v>
      </c>
      <c r="F145" s="2">
        <v>12634</v>
      </c>
      <c r="G145" s="2">
        <f t="shared" si="16"/>
        <v>16661.5</v>
      </c>
      <c r="H145" s="2"/>
      <c r="I145" s="1">
        <f t="shared" si="14"/>
        <v>20.637499999999999</v>
      </c>
      <c r="J145" s="2">
        <f t="shared" si="15"/>
        <v>921.75</v>
      </c>
      <c r="K145" s="2"/>
      <c r="L145" s="1">
        <f t="shared" si="17"/>
        <v>15.642499999999998</v>
      </c>
      <c r="M145" s="2">
        <f t="shared" si="18"/>
        <v>689.05</v>
      </c>
      <c r="N145" s="2"/>
      <c r="O145" s="1">
        <f t="shared" si="19"/>
        <v>10.087499999999999</v>
      </c>
      <c r="P145" s="2">
        <f t="shared" si="20"/>
        <v>440.83333333333331</v>
      </c>
    </row>
    <row r="146" spans="1:16" x14ac:dyDescent="0.45">
      <c r="A146" s="12"/>
      <c r="B146" s="4">
        <v>44907</v>
      </c>
      <c r="C146" s="1">
        <v>17.25</v>
      </c>
      <c r="D146" s="2">
        <v>798</v>
      </c>
      <c r="E146" s="2">
        <v>1</v>
      </c>
      <c r="F146" s="2">
        <v>10270</v>
      </c>
      <c r="G146" s="2">
        <f t="shared" si="16"/>
        <v>15050.75</v>
      </c>
      <c r="H146" s="2"/>
      <c r="I146" s="1">
        <f t="shared" si="14"/>
        <v>20.100000000000001</v>
      </c>
      <c r="J146" s="2">
        <f t="shared" si="15"/>
        <v>891.75</v>
      </c>
      <c r="K146" s="2"/>
      <c r="L146" s="1">
        <f t="shared" si="17"/>
        <v>18.232499999999998</v>
      </c>
      <c r="M146" s="2">
        <f t="shared" si="18"/>
        <v>808.45</v>
      </c>
      <c r="N146" s="2"/>
      <c r="O146" s="1">
        <f t="shared" si="19"/>
        <v>13.654166666666667</v>
      </c>
      <c r="P146" s="2">
        <f t="shared" si="20"/>
        <v>598.16666666666663</v>
      </c>
    </row>
    <row r="147" spans="1:16" x14ac:dyDescent="0.45">
      <c r="A147" s="12"/>
      <c r="B147" s="4">
        <v>44914</v>
      </c>
      <c r="C147" s="1">
        <f>15+5/60</f>
        <v>15.083333333333334</v>
      </c>
      <c r="D147" s="2">
        <v>638</v>
      </c>
      <c r="E147" s="2">
        <v>2</v>
      </c>
      <c r="F147" s="2">
        <v>12052</v>
      </c>
      <c r="G147" s="2">
        <f t="shared" si="16"/>
        <v>13208</v>
      </c>
      <c r="H147" s="2"/>
      <c r="I147" s="1">
        <f t="shared" si="14"/>
        <v>18.020833333333332</v>
      </c>
      <c r="J147" s="2">
        <f t="shared" si="15"/>
        <v>787.25</v>
      </c>
      <c r="K147" s="2"/>
      <c r="L147" s="1">
        <f t="shared" si="17"/>
        <v>19.436666666666664</v>
      </c>
      <c r="M147" s="2">
        <f t="shared" si="18"/>
        <v>861.05</v>
      </c>
      <c r="N147" s="2"/>
      <c r="O147" s="1">
        <f t="shared" si="19"/>
        <v>17.639814814814812</v>
      </c>
      <c r="P147" s="2">
        <f t="shared" si="20"/>
        <v>773.22222222222217</v>
      </c>
    </row>
    <row r="148" spans="1:16" x14ac:dyDescent="0.45">
      <c r="A148" s="12"/>
      <c r="B148" s="4">
        <v>44921</v>
      </c>
      <c r="C148" s="1">
        <v>22.5</v>
      </c>
      <c r="D148" s="2">
        <v>1036</v>
      </c>
      <c r="E148" s="2">
        <v>2</v>
      </c>
      <c r="F148" s="2">
        <v>17640</v>
      </c>
      <c r="G148" s="2">
        <f t="shared" si="16"/>
        <v>13149</v>
      </c>
      <c r="H148" s="2"/>
      <c r="I148" s="1">
        <f t="shared" si="14"/>
        <v>18.208333333333336</v>
      </c>
      <c r="J148" s="2">
        <f t="shared" si="15"/>
        <v>804.5</v>
      </c>
      <c r="K148" s="2"/>
      <c r="L148" s="1">
        <f t="shared" si="17"/>
        <v>19.508333333333333</v>
      </c>
      <c r="M148" s="2">
        <f t="shared" si="18"/>
        <v>864.3</v>
      </c>
      <c r="N148" s="2"/>
      <c r="O148" s="1">
        <f t="shared" si="19"/>
        <v>19.537962962962965</v>
      </c>
      <c r="P148" s="2">
        <f t="shared" si="20"/>
        <v>863.30555555555554</v>
      </c>
    </row>
    <row r="149" spans="1:16" x14ac:dyDescent="0.45">
      <c r="A149" s="12" t="s">
        <v>40</v>
      </c>
      <c r="B149" s="4">
        <v>44928</v>
      </c>
      <c r="C149" s="1">
        <v>19</v>
      </c>
      <c r="D149" s="2">
        <v>976</v>
      </c>
      <c r="E149" s="2">
        <v>2</v>
      </c>
      <c r="F149" s="2">
        <v>13555</v>
      </c>
      <c r="G149" s="2">
        <f t="shared" si="16"/>
        <v>13379.25</v>
      </c>
      <c r="H149" s="2"/>
      <c r="I149" s="1">
        <f t="shared" si="14"/>
        <v>18.458333333333336</v>
      </c>
      <c r="J149" s="2">
        <f t="shared" si="15"/>
        <v>862</v>
      </c>
      <c r="K149" s="2"/>
      <c r="L149" s="1">
        <f t="shared" si="17"/>
        <v>19.085000000000001</v>
      </c>
      <c r="M149" s="2">
        <f t="shared" si="18"/>
        <v>853.45</v>
      </c>
      <c r="N149" s="2"/>
      <c r="O149" s="1">
        <f t="shared" si="19"/>
        <v>19.9375</v>
      </c>
      <c r="P149" s="2">
        <f t="shared" si="20"/>
        <v>900.61111111111109</v>
      </c>
    </row>
    <row r="150" spans="1:16" x14ac:dyDescent="0.45">
      <c r="A150" s="12"/>
      <c r="B150" s="4">
        <v>44935</v>
      </c>
      <c r="C150" s="1">
        <v>17.75</v>
      </c>
      <c r="D150" s="2">
        <v>706</v>
      </c>
      <c r="E150" s="2">
        <v>1</v>
      </c>
      <c r="F150" s="2">
        <v>12346</v>
      </c>
      <c r="G150" s="2">
        <f t="shared" si="16"/>
        <v>13898.25</v>
      </c>
      <c r="H150" s="2"/>
      <c r="I150" s="1">
        <f t="shared" si="14"/>
        <v>18.583333333333336</v>
      </c>
      <c r="J150" s="2">
        <f t="shared" si="15"/>
        <v>839</v>
      </c>
      <c r="K150" s="2"/>
      <c r="L150" s="1">
        <f t="shared" si="17"/>
        <v>18.674166666666668</v>
      </c>
      <c r="M150" s="2">
        <f t="shared" si="18"/>
        <v>836.9</v>
      </c>
      <c r="N150" s="2"/>
      <c r="O150" s="1">
        <f t="shared" si="19"/>
        <v>19.924537037037037</v>
      </c>
      <c r="P150" s="2">
        <f t="shared" si="20"/>
        <v>888.91666666666663</v>
      </c>
    </row>
    <row r="151" spans="1:16" x14ac:dyDescent="0.45">
      <c r="A151" s="12" t="s">
        <v>41</v>
      </c>
      <c r="B151" s="4">
        <v>44942</v>
      </c>
      <c r="C151" s="1">
        <v>21</v>
      </c>
      <c r="D151" s="2">
        <v>1266</v>
      </c>
      <c r="E151" s="2">
        <v>0</v>
      </c>
      <c r="F151" s="2">
        <v>17045</v>
      </c>
      <c r="G151" s="2">
        <f t="shared" si="16"/>
        <v>15146.5</v>
      </c>
      <c r="H151" s="2"/>
      <c r="I151" s="1">
        <f t="shared" si="14"/>
        <v>20.0625</v>
      </c>
      <c r="J151" s="2">
        <f t="shared" si="15"/>
        <v>996</v>
      </c>
      <c r="K151" s="2"/>
      <c r="L151" s="1">
        <f t="shared" si="17"/>
        <v>18.666666666666668</v>
      </c>
      <c r="M151" s="2">
        <f t="shared" si="18"/>
        <v>857.75</v>
      </c>
      <c r="N151" s="2"/>
      <c r="O151" s="1">
        <f t="shared" si="19"/>
        <v>18.956018518518519</v>
      </c>
      <c r="P151" s="2">
        <f t="shared" si="20"/>
        <v>852.38888888888891</v>
      </c>
    </row>
    <row r="152" spans="1:16" x14ac:dyDescent="0.45">
      <c r="A152" s="12" t="s">
        <v>42</v>
      </c>
      <c r="B152" s="4">
        <v>44949</v>
      </c>
      <c r="C152" s="1">
        <v>16</v>
      </c>
      <c r="D152" s="2">
        <v>708</v>
      </c>
      <c r="E152" s="2">
        <v>1</v>
      </c>
      <c r="F152" s="2">
        <v>11723</v>
      </c>
      <c r="G152" s="2">
        <f t="shared" si="16"/>
        <v>13667.25</v>
      </c>
      <c r="H152" s="2"/>
      <c r="I152" s="1">
        <f t="shared" si="14"/>
        <v>18.4375</v>
      </c>
      <c r="J152" s="2">
        <f t="shared" si="15"/>
        <v>914</v>
      </c>
      <c r="K152" s="2"/>
      <c r="L152" s="1">
        <f t="shared" si="17"/>
        <v>18.75</v>
      </c>
      <c r="M152" s="2">
        <f t="shared" si="18"/>
        <v>883.1</v>
      </c>
      <c r="N152" s="2"/>
      <c r="O152" s="1">
        <f t="shared" si="19"/>
        <v>18.194444444444443</v>
      </c>
      <c r="P152" s="2">
        <f t="shared" si="20"/>
        <v>828.44444444444446</v>
      </c>
    </row>
    <row r="153" spans="1:16" x14ac:dyDescent="0.45">
      <c r="A153" s="12"/>
      <c r="B153" s="4">
        <v>44956</v>
      </c>
      <c r="C153" s="1">
        <v>18.5</v>
      </c>
      <c r="D153" s="2">
        <v>789</v>
      </c>
      <c r="E153" s="2">
        <v>0</v>
      </c>
      <c r="F153" s="2">
        <v>14092</v>
      </c>
      <c r="G153" s="2">
        <f t="shared" si="16"/>
        <v>13801.5</v>
      </c>
      <c r="H153" s="2"/>
      <c r="I153" s="1">
        <f t="shared" si="14"/>
        <v>18.3125</v>
      </c>
      <c r="J153" s="2">
        <f t="shared" si="15"/>
        <v>867.25</v>
      </c>
      <c r="K153" s="2"/>
      <c r="L153" s="1">
        <f t="shared" si="17"/>
        <v>18.770833333333336</v>
      </c>
      <c r="M153" s="2">
        <f t="shared" si="18"/>
        <v>895.65</v>
      </c>
      <c r="N153" s="2"/>
      <c r="O153" s="1">
        <f t="shared" si="19"/>
        <v>18.280092592592595</v>
      </c>
      <c r="P153" s="2">
        <f t="shared" si="20"/>
        <v>854.80555555555554</v>
      </c>
    </row>
    <row r="154" spans="1:16" x14ac:dyDescent="0.45">
      <c r="A154" s="12" t="s">
        <v>43</v>
      </c>
      <c r="B154" s="4">
        <v>44963</v>
      </c>
      <c r="C154" s="1">
        <f>17+34/60</f>
        <v>17.566666666666666</v>
      </c>
      <c r="D154" s="2">
        <v>876</v>
      </c>
      <c r="E154" s="2">
        <v>2</v>
      </c>
      <c r="F154" s="2">
        <v>13199</v>
      </c>
      <c r="G154" s="2">
        <f t="shared" si="16"/>
        <v>14014.75</v>
      </c>
      <c r="H154" s="2"/>
      <c r="I154" s="1">
        <f t="shared" si="14"/>
        <v>18.266666666666666</v>
      </c>
      <c r="J154" s="2">
        <f t="shared" si="15"/>
        <v>909.75</v>
      </c>
      <c r="K154" s="2"/>
      <c r="L154" s="1">
        <f t="shared" si="17"/>
        <v>18.732500000000002</v>
      </c>
      <c r="M154" s="2">
        <f t="shared" si="18"/>
        <v>905.2</v>
      </c>
      <c r="N154" s="2"/>
      <c r="O154" s="1">
        <f t="shared" si="19"/>
        <v>18.541203703703701</v>
      </c>
      <c r="P154" s="2">
        <f t="shared" si="20"/>
        <v>871.77777777777783</v>
      </c>
    </row>
    <row r="155" spans="1:16" x14ac:dyDescent="0.45">
      <c r="A155" s="15"/>
      <c r="B155" s="4">
        <v>44970</v>
      </c>
      <c r="C155" s="1">
        <f>16+37/60</f>
        <v>16.616666666666667</v>
      </c>
      <c r="D155" s="2">
        <v>621</v>
      </c>
      <c r="E155" s="2">
        <v>2</v>
      </c>
      <c r="F155" s="2">
        <v>11458</v>
      </c>
      <c r="G155" s="2">
        <f t="shared" si="16"/>
        <v>12618</v>
      </c>
      <c r="H155" s="2"/>
      <c r="I155" s="1">
        <f t="shared" si="14"/>
        <v>17.170833333333334</v>
      </c>
      <c r="J155" s="2">
        <f t="shared" si="15"/>
        <v>748.5</v>
      </c>
      <c r="K155" s="2"/>
      <c r="L155" s="1">
        <f t="shared" si="17"/>
        <v>18.45</v>
      </c>
      <c r="M155" s="2">
        <f t="shared" si="18"/>
        <v>887.1</v>
      </c>
      <c r="N155" s="2"/>
      <c r="O155" s="1">
        <f t="shared" si="19"/>
        <v>19.326388888888889</v>
      </c>
      <c r="P155" s="2">
        <f t="shared" si="20"/>
        <v>923.83333333333337</v>
      </c>
    </row>
    <row r="156" spans="1:16" x14ac:dyDescent="0.45">
      <c r="A156" s="12" t="s">
        <v>44</v>
      </c>
      <c r="B156" s="4">
        <v>44977</v>
      </c>
      <c r="C156" s="1">
        <v>9.5</v>
      </c>
      <c r="D156" s="2">
        <v>500</v>
      </c>
      <c r="E156" s="2">
        <v>0</v>
      </c>
      <c r="F156" s="2">
        <v>7000</v>
      </c>
      <c r="G156" s="2">
        <f t="shared" si="16"/>
        <v>11437.25</v>
      </c>
      <c r="H156" s="2"/>
      <c r="I156" s="1">
        <f t="shared" si="14"/>
        <v>15.545833333333333</v>
      </c>
      <c r="J156" s="2">
        <f t="shared" si="15"/>
        <v>696.5</v>
      </c>
      <c r="K156" s="2"/>
      <c r="L156" s="1">
        <f t="shared" si="17"/>
        <v>17.546666666666667</v>
      </c>
      <c r="M156" s="2">
        <f t="shared" si="18"/>
        <v>827.2</v>
      </c>
      <c r="N156" s="2"/>
      <c r="O156" s="1">
        <f t="shared" si="19"/>
        <v>18.102314814814818</v>
      </c>
      <c r="P156" s="2">
        <f t="shared" si="20"/>
        <v>872.55555555555554</v>
      </c>
    </row>
    <row r="157" spans="1:16" x14ac:dyDescent="0.45">
      <c r="A157" s="12" t="s">
        <v>45</v>
      </c>
      <c r="B157" s="4">
        <v>44984</v>
      </c>
      <c r="C157" s="1">
        <v>9.5</v>
      </c>
      <c r="D157" s="2">
        <v>272</v>
      </c>
      <c r="E157" s="2">
        <v>0</v>
      </c>
      <c r="F157" s="2">
        <v>5855</v>
      </c>
      <c r="G157" s="2">
        <f t="shared" si="16"/>
        <v>9378</v>
      </c>
      <c r="H157" s="2"/>
      <c r="I157" s="1">
        <f t="shared" si="14"/>
        <v>13.295833333333334</v>
      </c>
      <c r="J157" s="2">
        <f t="shared" si="15"/>
        <v>567.25</v>
      </c>
      <c r="K157" s="2"/>
      <c r="L157" s="1">
        <f t="shared" si="17"/>
        <v>16.518333333333334</v>
      </c>
      <c r="M157" s="2">
        <f t="shared" si="18"/>
        <v>757.85</v>
      </c>
      <c r="N157" s="2"/>
      <c r="O157" s="1">
        <f t="shared" si="19"/>
        <v>17.392129629629629</v>
      </c>
      <c r="P157" s="2">
        <f t="shared" si="20"/>
        <v>815.05555555555554</v>
      </c>
    </row>
    <row r="158" spans="1:16" x14ac:dyDescent="0.45">
      <c r="A158" s="12"/>
      <c r="B158" s="4">
        <v>44991</v>
      </c>
      <c r="C158" s="1">
        <v>18</v>
      </c>
      <c r="D158" s="2">
        <v>746</v>
      </c>
      <c r="E158" s="2">
        <v>2</v>
      </c>
      <c r="F158" s="2">
        <v>12634</v>
      </c>
      <c r="G158" s="2">
        <f t="shared" si="16"/>
        <v>9236.75</v>
      </c>
      <c r="H158" s="2"/>
      <c r="I158" s="1">
        <f t="shared" si="14"/>
        <v>13.404166666666667</v>
      </c>
      <c r="J158" s="2">
        <f t="shared" si="15"/>
        <v>534.75</v>
      </c>
      <c r="K158" s="2"/>
      <c r="L158" s="1">
        <f t="shared" si="17"/>
        <v>15.536666666666667</v>
      </c>
      <c r="M158" s="2">
        <f t="shared" si="18"/>
        <v>691.35</v>
      </c>
      <c r="N158" s="2"/>
      <c r="O158" s="1">
        <f t="shared" si="19"/>
        <v>16.966666666666665</v>
      </c>
      <c r="P158" s="2">
        <f t="shared" si="20"/>
        <v>818.66666666666663</v>
      </c>
    </row>
    <row r="159" spans="1:16" x14ac:dyDescent="0.45">
      <c r="A159" s="12"/>
      <c r="B159" s="4">
        <v>44998</v>
      </c>
      <c r="C159" s="1">
        <f>24+52/60</f>
        <v>24.866666666666667</v>
      </c>
      <c r="D159" s="2">
        <v>1047</v>
      </c>
      <c r="E159" s="2">
        <v>2</v>
      </c>
      <c r="F159" s="2">
        <v>18311</v>
      </c>
      <c r="G159" s="2">
        <f t="shared" si="16"/>
        <v>10950</v>
      </c>
      <c r="H159" s="2"/>
      <c r="I159" s="1">
        <f t="shared" si="14"/>
        <v>15.466666666666667</v>
      </c>
      <c r="J159" s="2">
        <f t="shared" si="15"/>
        <v>641.25</v>
      </c>
      <c r="K159" s="2"/>
      <c r="L159" s="1">
        <f t="shared" si="17"/>
        <v>14.976666666666668</v>
      </c>
      <c r="M159" s="2">
        <f t="shared" si="18"/>
        <v>637.65</v>
      </c>
      <c r="N159" s="2"/>
      <c r="O159" s="1">
        <f t="shared" si="19"/>
        <v>15.926388888888889</v>
      </c>
      <c r="P159" s="2">
        <f t="shared" si="20"/>
        <v>691.75</v>
      </c>
    </row>
    <row r="160" spans="1:16" x14ac:dyDescent="0.45">
      <c r="A160" s="12"/>
      <c r="B160" s="4">
        <v>45005</v>
      </c>
      <c r="C160" s="1">
        <v>21.5</v>
      </c>
      <c r="D160" s="2">
        <v>1037</v>
      </c>
      <c r="E160" s="2">
        <v>0</v>
      </c>
      <c r="F160" s="2">
        <v>16939</v>
      </c>
      <c r="G160" s="2">
        <f t="shared" si="16"/>
        <v>13434.75</v>
      </c>
      <c r="H160" s="2"/>
      <c r="I160" s="1">
        <f t="shared" si="14"/>
        <v>18.466666666666669</v>
      </c>
      <c r="J160" s="2">
        <f t="shared" si="15"/>
        <v>775.5</v>
      </c>
      <c r="K160" s="2"/>
      <c r="L160" s="1">
        <f t="shared" si="17"/>
        <v>15.235833333333336</v>
      </c>
      <c r="M160" s="2">
        <f t="shared" si="18"/>
        <v>643.04999999999995</v>
      </c>
      <c r="N160" s="2"/>
      <c r="O160" s="1">
        <f t="shared" si="19"/>
        <v>16.149999999999999</v>
      </c>
      <c r="P160" s="2">
        <f t="shared" si="20"/>
        <v>697.97222222222217</v>
      </c>
    </row>
    <row r="161" spans="1:16" x14ac:dyDescent="0.45">
      <c r="A161" s="12"/>
      <c r="B161" s="4">
        <v>45012</v>
      </c>
      <c r="C161" s="1">
        <f>21+36/60</f>
        <v>21.6</v>
      </c>
      <c r="D161" s="2">
        <v>877</v>
      </c>
      <c r="E161" s="2">
        <v>2</v>
      </c>
      <c r="F161" s="2">
        <v>15004</v>
      </c>
      <c r="G161" s="2">
        <f t="shared" si="16"/>
        <v>15722</v>
      </c>
      <c r="H161" s="2"/>
      <c r="I161" s="1">
        <f t="shared" si="14"/>
        <v>21.491666666666667</v>
      </c>
      <c r="J161" s="2">
        <f t="shared" si="15"/>
        <v>926.75</v>
      </c>
      <c r="K161" s="2"/>
      <c r="L161" s="1">
        <f t="shared" si="17"/>
        <v>16.425000000000001</v>
      </c>
      <c r="M161" s="2">
        <f t="shared" si="18"/>
        <v>689.1</v>
      </c>
      <c r="N161" s="2"/>
      <c r="O161" s="1">
        <f t="shared" si="19"/>
        <v>15.904166666666665</v>
      </c>
      <c r="P161" s="2">
        <f t="shared" si="20"/>
        <v>688.63888888888891</v>
      </c>
    </row>
    <row r="162" spans="1:16" x14ac:dyDescent="0.45">
      <c r="A162" s="12" t="s">
        <v>46</v>
      </c>
      <c r="B162" s="4">
        <v>45019</v>
      </c>
      <c r="C162" s="1">
        <f>16+47/60</f>
        <v>16.783333333333335</v>
      </c>
      <c r="D162" s="2">
        <v>695</v>
      </c>
      <c r="E162" s="2">
        <v>0</v>
      </c>
      <c r="F162" s="2">
        <v>11828</v>
      </c>
      <c r="G162" s="2">
        <f t="shared" si="16"/>
        <v>15520.5</v>
      </c>
      <c r="H162" s="2"/>
      <c r="I162" s="1">
        <f t="shared" si="14"/>
        <v>21.1875</v>
      </c>
      <c r="J162" s="2">
        <f t="shared" si="15"/>
        <v>914</v>
      </c>
      <c r="K162" s="2"/>
      <c r="L162" s="1">
        <f t="shared" si="17"/>
        <v>18.003333333333337</v>
      </c>
      <c r="M162" s="2">
        <f t="shared" si="18"/>
        <v>758.45</v>
      </c>
      <c r="N162" s="2"/>
      <c r="O162" s="1">
        <f t="shared" si="19"/>
        <v>15.843981481481482</v>
      </c>
      <c r="P162" s="2">
        <f t="shared" si="20"/>
        <v>654.94444444444446</v>
      </c>
    </row>
    <row r="163" spans="1:16" x14ac:dyDescent="0.45">
      <c r="A163" s="12" t="s">
        <v>47</v>
      </c>
      <c r="B163" s="4">
        <v>45026</v>
      </c>
      <c r="C163" s="1">
        <v>24.5</v>
      </c>
      <c r="D163" s="2">
        <v>1303</v>
      </c>
      <c r="E163" s="2">
        <v>0</v>
      </c>
      <c r="F163" s="2">
        <v>15514</v>
      </c>
      <c r="G163" s="2">
        <f t="shared" si="16"/>
        <v>14821.25</v>
      </c>
      <c r="H163" s="2"/>
      <c r="I163" s="1">
        <f t="shared" si="14"/>
        <v>21.095833333333335</v>
      </c>
      <c r="J163" s="2">
        <f t="shared" si="15"/>
        <v>978</v>
      </c>
      <c r="K163" s="2"/>
      <c r="L163" s="1">
        <f t="shared" si="17"/>
        <v>19.541666666666668</v>
      </c>
      <c r="M163" s="2">
        <f t="shared" si="18"/>
        <v>847.1</v>
      </c>
      <c r="N163" s="2"/>
      <c r="O163" s="1">
        <f t="shared" si="19"/>
        <v>16.213888888888889</v>
      </c>
      <c r="P163" s="2">
        <f t="shared" si="20"/>
        <v>696.86111111111109</v>
      </c>
    </row>
    <row r="164" spans="1:16" x14ac:dyDescent="0.45">
      <c r="A164" s="12"/>
      <c r="B164" s="4">
        <v>45033</v>
      </c>
      <c r="C164" s="1">
        <f>21+10/60</f>
        <v>21.166666666666668</v>
      </c>
      <c r="D164" s="2">
        <v>821</v>
      </c>
      <c r="E164" s="2">
        <v>2</v>
      </c>
      <c r="F164" s="2">
        <v>14610</v>
      </c>
      <c r="G164" s="2">
        <f t="shared" si="16"/>
        <v>14239</v>
      </c>
      <c r="H164" s="2"/>
      <c r="I164" s="1">
        <f t="shared" si="14"/>
        <v>21.012500000000003</v>
      </c>
      <c r="J164" s="2">
        <f t="shared" si="15"/>
        <v>924</v>
      </c>
      <c r="K164" s="2"/>
      <c r="L164" s="1">
        <f t="shared" si="17"/>
        <v>20.650833333333335</v>
      </c>
      <c r="M164" s="2">
        <f t="shared" si="18"/>
        <v>903.65</v>
      </c>
      <c r="N164" s="2"/>
      <c r="O164" s="1">
        <f t="shared" si="19"/>
        <v>18.48935185185185</v>
      </c>
      <c r="P164" s="2">
        <f t="shared" si="20"/>
        <v>774.58333333333337</v>
      </c>
    </row>
    <row r="165" spans="1:16" x14ac:dyDescent="0.45">
      <c r="A165" s="12"/>
      <c r="B165" s="4">
        <v>45040</v>
      </c>
      <c r="C165" s="1">
        <v>18</v>
      </c>
      <c r="D165" s="2">
        <v>716</v>
      </c>
      <c r="E165" s="2">
        <v>0</v>
      </c>
      <c r="F165" s="2">
        <v>12667</v>
      </c>
      <c r="G165" s="2">
        <f t="shared" si="16"/>
        <v>13654.75</v>
      </c>
      <c r="H165" s="2"/>
      <c r="I165" s="1">
        <f t="shared" si="14"/>
        <v>20.112500000000001</v>
      </c>
      <c r="J165" s="2">
        <f t="shared" si="15"/>
        <v>883.75</v>
      </c>
      <c r="K165" s="2"/>
      <c r="L165" s="1">
        <f t="shared" si="17"/>
        <v>20.98</v>
      </c>
      <c r="M165" s="2">
        <f t="shared" si="18"/>
        <v>925.3</v>
      </c>
      <c r="N165" s="2"/>
      <c r="O165" s="1">
        <f t="shared" si="19"/>
        <v>21.000925925925927</v>
      </c>
      <c r="P165" s="2">
        <f t="shared" si="20"/>
        <v>915.30555555555554</v>
      </c>
    </row>
    <row r="166" spans="1:16" x14ac:dyDescent="0.45">
      <c r="A166" s="12" t="s">
        <v>48</v>
      </c>
      <c r="B166" s="4">
        <v>45047</v>
      </c>
      <c r="C166" s="1">
        <v>18</v>
      </c>
      <c r="D166" s="2">
        <v>792</v>
      </c>
      <c r="E166" s="2">
        <v>0</v>
      </c>
      <c r="F166" s="2">
        <v>12645</v>
      </c>
      <c r="G166" s="2">
        <f t="shared" si="16"/>
        <v>13859</v>
      </c>
      <c r="H166" s="2"/>
      <c r="I166" s="1">
        <f t="shared" si="14"/>
        <v>20.416666666666668</v>
      </c>
      <c r="J166" s="2">
        <f t="shared" si="15"/>
        <v>908</v>
      </c>
      <c r="K166" s="2"/>
      <c r="L166" s="1">
        <f t="shared" si="17"/>
        <v>20.765000000000001</v>
      </c>
      <c r="M166" s="2">
        <f t="shared" si="18"/>
        <v>921.55</v>
      </c>
      <c r="N166" s="2"/>
      <c r="O166" s="1">
        <f t="shared" si="19"/>
        <v>21.623611111111114</v>
      </c>
      <c r="P166" s="2">
        <f t="shared" si="20"/>
        <v>951.97222222222217</v>
      </c>
    </row>
    <row r="167" spans="1:16" x14ac:dyDescent="0.45">
      <c r="A167" s="12" t="s">
        <v>48</v>
      </c>
      <c r="B167" s="4">
        <v>45054</v>
      </c>
      <c r="C167" s="1">
        <f>33+49/60</f>
        <v>33.81666666666667</v>
      </c>
      <c r="D167" s="2">
        <v>1712</v>
      </c>
      <c r="E167" s="2">
        <v>0</v>
      </c>
      <c r="F167" s="2">
        <v>26230</v>
      </c>
      <c r="G167" s="2">
        <f t="shared" si="16"/>
        <v>16538</v>
      </c>
      <c r="H167" s="2"/>
      <c r="I167" s="1">
        <f t="shared" si="14"/>
        <v>22.745833333333337</v>
      </c>
      <c r="J167" s="2">
        <f t="shared" si="15"/>
        <v>1010.25</v>
      </c>
      <c r="K167" s="2"/>
      <c r="L167" s="1">
        <f t="shared" si="17"/>
        <v>21.076666666666668</v>
      </c>
      <c r="M167" s="2">
        <f t="shared" si="18"/>
        <v>940.8</v>
      </c>
      <c r="N167" s="2"/>
      <c r="O167" s="1">
        <f t="shared" si="19"/>
        <v>20.968981481481485</v>
      </c>
      <c r="P167" s="2">
        <f t="shared" si="20"/>
        <v>940.22222222222217</v>
      </c>
    </row>
    <row r="168" spans="1:16" x14ac:dyDescent="0.45">
      <c r="A168" s="12" t="s">
        <v>48</v>
      </c>
      <c r="B168" s="4">
        <v>45061</v>
      </c>
      <c r="C168" s="1">
        <f>32+34/60</f>
        <v>32.56666666666667</v>
      </c>
      <c r="D168" s="2">
        <v>1617</v>
      </c>
      <c r="E168" s="2">
        <v>0</v>
      </c>
      <c r="F168" s="2">
        <v>25066</v>
      </c>
      <c r="G168" s="2">
        <f t="shared" si="16"/>
        <v>19152</v>
      </c>
      <c r="H168" s="2"/>
      <c r="I168" s="1">
        <f t="shared" si="14"/>
        <v>25.595833333333331</v>
      </c>
      <c r="J168" s="2">
        <f t="shared" si="15"/>
        <v>1209.25</v>
      </c>
      <c r="K168" s="2"/>
      <c r="L168" s="1">
        <f t="shared" si="17"/>
        <v>21.976666666666667</v>
      </c>
      <c r="M168" s="2">
        <f t="shared" si="18"/>
        <v>987.05</v>
      </c>
      <c r="N168" s="2"/>
      <c r="O168" s="1">
        <f t="shared" si="19"/>
        <v>21.369907407407407</v>
      </c>
      <c r="P168" s="2">
        <f t="shared" si="20"/>
        <v>946.80555555555554</v>
      </c>
    </row>
    <row r="169" spans="1:16" x14ac:dyDescent="0.45">
      <c r="A169" s="12" t="s">
        <v>48</v>
      </c>
      <c r="B169" s="4">
        <v>45068</v>
      </c>
      <c r="C169" s="1">
        <f>29+32/60</f>
        <v>29.533333333333335</v>
      </c>
      <c r="D169" s="2">
        <v>1545</v>
      </c>
      <c r="E169" s="2">
        <v>0</v>
      </c>
      <c r="F169" s="2">
        <v>23795</v>
      </c>
      <c r="G169" s="2">
        <f t="shared" si="16"/>
        <v>21934</v>
      </c>
      <c r="H169" s="2"/>
      <c r="I169" s="1">
        <f t="shared" si="14"/>
        <v>28.479166666666668</v>
      </c>
      <c r="J169" s="2">
        <f t="shared" si="15"/>
        <v>1416.5</v>
      </c>
      <c r="K169" s="2"/>
      <c r="L169" s="1">
        <f t="shared" si="17"/>
        <v>23.470000000000002</v>
      </c>
      <c r="M169" s="2">
        <f t="shared" si="18"/>
        <v>1085.55</v>
      </c>
      <c r="N169" s="2"/>
      <c r="O169" s="1">
        <f t="shared" si="19"/>
        <v>21.968981481481482</v>
      </c>
      <c r="P169" s="2">
        <f t="shared" si="20"/>
        <v>1007.5</v>
      </c>
    </row>
    <row r="170" spans="1:16" x14ac:dyDescent="0.45">
      <c r="A170" s="12" t="s">
        <v>49</v>
      </c>
      <c r="B170" s="4">
        <v>45075</v>
      </c>
      <c r="C170" s="1">
        <f>14+34/60</f>
        <v>14.566666666666666</v>
      </c>
      <c r="D170" s="2">
        <v>730</v>
      </c>
      <c r="E170" s="2">
        <v>1</v>
      </c>
      <c r="F170" s="2">
        <v>9549</v>
      </c>
      <c r="G170" s="2">
        <f t="shared" si="16"/>
        <v>21160</v>
      </c>
      <c r="H170" s="2"/>
      <c r="I170" s="1">
        <f t="shared" si="14"/>
        <v>27.620833333333334</v>
      </c>
      <c r="J170" s="2">
        <f t="shared" si="15"/>
        <v>1401</v>
      </c>
      <c r="K170" s="2"/>
      <c r="L170" s="1">
        <f t="shared" si="17"/>
        <v>24.971666666666671</v>
      </c>
      <c r="M170" s="2">
        <f t="shared" si="18"/>
        <v>1189</v>
      </c>
      <c r="N170" s="2"/>
      <c r="O170" s="1">
        <f t="shared" si="19"/>
        <v>23.576851851851853</v>
      </c>
      <c r="P170" s="2">
        <f t="shared" si="20"/>
        <v>1109.6111111111111</v>
      </c>
    </row>
    <row r="171" spans="1:16" x14ac:dyDescent="0.45">
      <c r="A171" s="12" t="s">
        <v>49</v>
      </c>
      <c r="B171" s="4">
        <v>45082</v>
      </c>
      <c r="C171" s="1">
        <f>5+17/60</f>
        <v>5.2833333333333332</v>
      </c>
      <c r="D171" s="2">
        <v>250</v>
      </c>
      <c r="E171" s="2">
        <v>1</v>
      </c>
      <c r="F171" s="2">
        <v>2759</v>
      </c>
      <c r="G171" s="2">
        <f t="shared" si="16"/>
        <v>15292.25</v>
      </c>
      <c r="H171" s="2"/>
      <c r="I171" s="1">
        <f t="shared" si="14"/>
        <v>20.487500000000001</v>
      </c>
      <c r="J171" s="2">
        <f t="shared" si="15"/>
        <v>1035.5</v>
      </c>
      <c r="K171" s="2"/>
      <c r="L171" s="1">
        <f t="shared" si="17"/>
        <v>24.985833333333339</v>
      </c>
      <c r="M171" s="2">
        <f t="shared" si="18"/>
        <v>1214.5</v>
      </c>
      <c r="N171" s="2"/>
      <c r="O171" s="1">
        <f t="shared" si="19"/>
        <v>22.936111111111114</v>
      </c>
      <c r="P171" s="2">
        <f t="shared" si="20"/>
        <v>1047.3611111111111</v>
      </c>
    </row>
    <row r="172" spans="1:16" x14ac:dyDescent="0.45">
      <c r="A172" s="12"/>
      <c r="B172" s="4">
        <v>45089</v>
      </c>
      <c r="C172" s="1">
        <f>13+41/60</f>
        <v>13.683333333333334</v>
      </c>
      <c r="D172" s="2">
        <v>469</v>
      </c>
      <c r="E172" s="2">
        <v>2</v>
      </c>
      <c r="F172" s="2">
        <v>8123</v>
      </c>
      <c r="G172" s="2">
        <f t="shared" si="16"/>
        <v>11056.5</v>
      </c>
      <c r="H172" s="2"/>
      <c r="I172" s="1">
        <f t="shared" si="14"/>
        <v>15.766666666666666</v>
      </c>
      <c r="J172" s="2">
        <f t="shared" si="15"/>
        <v>748.5</v>
      </c>
      <c r="K172" s="2"/>
      <c r="L172" s="1">
        <f t="shared" si="17"/>
        <v>23.59</v>
      </c>
      <c r="M172" s="2">
        <f t="shared" si="18"/>
        <v>1162.1500000000001</v>
      </c>
      <c r="N172" s="2"/>
      <c r="O172" s="1">
        <f t="shared" si="19"/>
        <v>22.828240740740743</v>
      </c>
      <c r="P172" s="2">
        <f t="shared" si="20"/>
        <v>1082.4444444444443</v>
      </c>
    </row>
    <row r="173" spans="1:16" x14ac:dyDescent="0.45">
      <c r="A173" s="15"/>
      <c r="B173" s="4">
        <v>45096</v>
      </c>
      <c r="C173" s="1">
        <f>17+17/60</f>
        <v>17.283333333333335</v>
      </c>
      <c r="D173" s="2">
        <v>622</v>
      </c>
      <c r="E173" s="2">
        <v>2</v>
      </c>
      <c r="F173" s="2">
        <v>11988</v>
      </c>
      <c r="G173" s="2">
        <f t="shared" si="16"/>
        <v>8104.75</v>
      </c>
      <c r="H173" s="2"/>
      <c r="I173" s="1">
        <f t="shared" si="14"/>
        <v>12.704166666666666</v>
      </c>
      <c r="J173" s="2">
        <f t="shared" si="15"/>
        <v>517.75</v>
      </c>
      <c r="K173" s="2"/>
      <c r="L173" s="1">
        <f t="shared" si="17"/>
        <v>21.01166666666667</v>
      </c>
      <c r="M173" s="2">
        <f t="shared" si="18"/>
        <v>1023.85</v>
      </c>
      <c r="N173" s="2"/>
      <c r="O173" s="1">
        <f t="shared" si="19"/>
        <v>23.404166666666672</v>
      </c>
      <c r="P173" s="2">
        <f t="shared" si="20"/>
        <v>1138.25</v>
      </c>
    </row>
    <row r="174" spans="1:16" x14ac:dyDescent="0.45">
      <c r="A174" s="12"/>
      <c r="B174" s="4">
        <v>45103</v>
      </c>
      <c r="C174" s="1">
        <f>21+11/60</f>
        <v>21.183333333333334</v>
      </c>
      <c r="D174" s="2">
        <v>886</v>
      </c>
      <c r="E174" s="2">
        <v>2</v>
      </c>
      <c r="F174" s="2">
        <v>15627</v>
      </c>
      <c r="G174" s="2">
        <f t="shared" si="16"/>
        <v>9624.25</v>
      </c>
      <c r="H174" s="2"/>
      <c r="I174" s="1">
        <f t="shared" si="14"/>
        <v>14.358333333333334</v>
      </c>
      <c r="J174" s="2">
        <f t="shared" si="15"/>
        <v>556.75</v>
      </c>
      <c r="K174" s="2"/>
      <c r="L174" s="1">
        <f t="shared" si="17"/>
        <v>18.1875</v>
      </c>
      <c r="M174" s="2">
        <f t="shared" si="18"/>
        <v>851.9</v>
      </c>
      <c r="N174" s="2"/>
      <c r="O174" s="1">
        <f t="shared" si="19"/>
        <v>24.06851851851852</v>
      </c>
      <c r="P174" s="2">
        <f t="shared" si="20"/>
        <v>1179.7777777777778</v>
      </c>
    </row>
    <row r="175" spans="1:16" x14ac:dyDescent="0.45">
      <c r="A175" s="12"/>
      <c r="B175" s="4">
        <v>45110</v>
      </c>
      <c r="C175" s="1">
        <f>19+42/60</f>
        <v>19.7</v>
      </c>
      <c r="D175" s="2">
        <v>880</v>
      </c>
      <c r="E175" s="2">
        <v>2</v>
      </c>
      <c r="F175" s="2">
        <v>14288</v>
      </c>
      <c r="G175" s="2">
        <f t="shared" si="16"/>
        <v>12506.5</v>
      </c>
      <c r="H175" s="2"/>
      <c r="I175" s="1">
        <f t="shared" si="14"/>
        <v>17.962500000000002</v>
      </c>
      <c r="J175" s="2">
        <f t="shared" si="15"/>
        <v>714.25</v>
      </c>
      <c r="K175" s="2"/>
      <c r="L175" s="1">
        <f t="shared" si="17"/>
        <v>16.255833333333335</v>
      </c>
      <c r="M175" s="2">
        <f t="shared" si="18"/>
        <v>714.55</v>
      </c>
      <c r="N175" s="2"/>
      <c r="O175" s="1">
        <f t="shared" si="19"/>
        <v>20.825925925925926</v>
      </c>
      <c r="P175" s="2">
        <f t="shared" si="20"/>
        <v>993.75</v>
      </c>
    </row>
    <row r="176" spans="1:16" x14ac:dyDescent="0.45">
      <c r="A176" s="12"/>
      <c r="B176" s="4">
        <v>45117</v>
      </c>
      <c r="C176" s="1">
        <v>21</v>
      </c>
      <c r="D176" s="2">
        <v>879</v>
      </c>
      <c r="E176" s="2">
        <v>1</v>
      </c>
      <c r="F176" s="2">
        <v>14846</v>
      </c>
      <c r="G176" s="2">
        <f t="shared" si="16"/>
        <v>14187.25</v>
      </c>
      <c r="H176" s="2"/>
      <c r="I176" s="1">
        <f t="shared" si="14"/>
        <v>19.791666666666668</v>
      </c>
      <c r="J176" s="2">
        <f t="shared" si="15"/>
        <v>816.75</v>
      </c>
      <c r="K176" s="2"/>
      <c r="L176" s="1">
        <f t="shared" si="17"/>
        <v>16.116666666666667</v>
      </c>
      <c r="M176" s="2">
        <f t="shared" si="18"/>
        <v>670.8</v>
      </c>
      <c r="N176" s="2"/>
      <c r="O176" s="1">
        <f t="shared" si="19"/>
        <v>17.539814814814815</v>
      </c>
      <c r="P176" s="2">
        <f t="shared" si="20"/>
        <v>808.33333333333337</v>
      </c>
    </row>
    <row r="177" spans="1:16" x14ac:dyDescent="0.45">
      <c r="A177" s="12" t="s">
        <v>50</v>
      </c>
      <c r="B177" s="4">
        <v>45124</v>
      </c>
      <c r="C177" s="1">
        <f>(16+11/60)-0.5</f>
        <v>15.683333333333334</v>
      </c>
      <c r="D177" s="2">
        <v>679</v>
      </c>
      <c r="E177" s="2">
        <v>1</v>
      </c>
      <c r="F177" s="2">
        <v>10342</v>
      </c>
      <c r="G177" s="2">
        <f t="shared" si="16"/>
        <v>13775.75</v>
      </c>
      <c r="H177" s="2"/>
      <c r="I177" s="1">
        <f t="shared" si="14"/>
        <v>19.391666666666666</v>
      </c>
      <c r="J177" s="2">
        <f t="shared" si="15"/>
        <v>831</v>
      </c>
      <c r="K177" s="2"/>
      <c r="L177" s="1">
        <f t="shared" si="17"/>
        <v>16.841666666666665</v>
      </c>
      <c r="M177" s="2">
        <f t="shared" si="18"/>
        <v>687.3</v>
      </c>
      <c r="N177" s="2"/>
      <c r="O177" s="1">
        <f t="shared" si="19"/>
        <v>14.543055555555554</v>
      </c>
      <c r="P177" s="2">
        <f t="shared" si="20"/>
        <v>614.86111111111109</v>
      </c>
    </row>
    <row r="178" spans="1:16" x14ac:dyDescent="0.45">
      <c r="A178" s="12"/>
      <c r="B178" s="4">
        <v>45131</v>
      </c>
      <c r="C178" s="1">
        <f>12+47/60</f>
        <v>12.783333333333333</v>
      </c>
      <c r="D178" s="2">
        <v>552</v>
      </c>
      <c r="E178" s="2">
        <v>1</v>
      </c>
      <c r="F178" s="2">
        <v>8255</v>
      </c>
      <c r="G178" s="2">
        <f t="shared" si="16"/>
        <v>11932.75</v>
      </c>
      <c r="H178" s="2"/>
      <c r="I178" s="1">
        <f t="shared" si="14"/>
        <v>17.291666666666668</v>
      </c>
      <c r="J178" s="2">
        <f t="shared" si="15"/>
        <v>747.5</v>
      </c>
      <c r="K178" s="2"/>
      <c r="L178" s="1">
        <f t="shared" si="17"/>
        <v>17.759166666666669</v>
      </c>
      <c r="M178" s="2">
        <f t="shared" si="18"/>
        <v>733.25</v>
      </c>
      <c r="N178" s="2"/>
      <c r="O178" s="1">
        <f t="shared" si="19"/>
        <v>14.822685185185186</v>
      </c>
      <c r="P178" s="2">
        <f t="shared" si="20"/>
        <v>597.55555555555554</v>
      </c>
    </row>
    <row r="179" spans="1:16" x14ac:dyDescent="0.45">
      <c r="A179" s="12" t="s">
        <v>51</v>
      </c>
      <c r="B179" s="4">
        <v>45138</v>
      </c>
      <c r="C179" s="1">
        <f>15+38/60</f>
        <v>15.633333333333333</v>
      </c>
      <c r="D179" s="2">
        <v>572</v>
      </c>
      <c r="E179" s="2">
        <v>0</v>
      </c>
      <c r="F179" s="2">
        <v>8677</v>
      </c>
      <c r="G179" s="2">
        <f t="shared" si="16"/>
        <v>10530</v>
      </c>
      <c r="H179" s="2"/>
      <c r="I179" s="1">
        <f t="shared" si="14"/>
        <v>16.274999999999999</v>
      </c>
      <c r="J179" s="2">
        <f t="shared" si="15"/>
        <v>670.5</v>
      </c>
      <c r="K179" s="2"/>
      <c r="L179" s="1">
        <f t="shared" si="17"/>
        <v>18.142500000000002</v>
      </c>
      <c r="M179" s="2">
        <f t="shared" si="18"/>
        <v>756</v>
      </c>
      <c r="N179" s="2"/>
      <c r="O179" s="1">
        <f t="shared" si="19"/>
        <v>17.452777777777779</v>
      </c>
      <c r="P179" s="2">
        <f t="shared" si="20"/>
        <v>695.86111111111109</v>
      </c>
    </row>
    <row r="180" spans="1:16" x14ac:dyDescent="0.45">
      <c r="A180" s="12" t="s">
        <v>52</v>
      </c>
      <c r="B180" s="4">
        <v>45145</v>
      </c>
      <c r="C180" s="1">
        <v>12.33</v>
      </c>
      <c r="D180" s="2">
        <v>451</v>
      </c>
      <c r="E180" s="2">
        <v>0</v>
      </c>
      <c r="F180" s="2">
        <v>7972</v>
      </c>
      <c r="G180" s="2">
        <f t="shared" si="16"/>
        <v>8811.5</v>
      </c>
      <c r="H180" s="2"/>
      <c r="I180" s="1">
        <f t="shared" si="14"/>
        <v>14.1075</v>
      </c>
      <c r="J180" s="2">
        <f t="shared" si="15"/>
        <v>563.5</v>
      </c>
      <c r="K180" s="2"/>
      <c r="L180" s="1">
        <f t="shared" si="17"/>
        <v>17.371500000000001</v>
      </c>
      <c r="M180" s="2">
        <f t="shared" si="18"/>
        <v>725.85</v>
      </c>
      <c r="N180" s="2"/>
      <c r="O180" s="1">
        <f t="shared" si="19"/>
        <v>18.17861111111111</v>
      </c>
      <c r="P180" s="2">
        <f t="shared" si="20"/>
        <v>745</v>
      </c>
    </row>
    <row r="181" spans="1:16" x14ac:dyDescent="0.45">
      <c r="A181" s="12"/>
      <c r="B181" s="4">
        <v>45152</v>
      </c>
      <c r="C181" s="1">
        <f>23+32/60</f>
        <v>23.533333333333335</v>
      </c>
      <c r="D181" s="2">
        <v>881</v>
      </c>
      <c r="E181" s="2">
        <v>0</v>
      </c>
      <c r="F181" s="2">
        <v>16367</v>
      </c>
      <c r="G181" s="2">
        <f t="shared" si="16"/>
        <v>10317.75</v>
      </c>
      <c r="H181" s="2"/>
      <c r="I181" s="1">
        <f t="shared" si="14"/>
        <v>16.07</v>
      </c>
      <c r="J181" s="2">
        <f t="shared" si="15"/>
        <v>614</v>
      </c>
      <c r="K181" s="2"/>
      <c r="L181" s="1">
        <f t="shared" si="17"/>
        <v>16.627166666666668</v>
      </c>
      <c r="M181" s="2">
        <f t="shared" si="18"/>
        <v>685.3</v>
      </c>
      <c r="N181" s="2"/>
      <c r="O181" s="1">
        <f t="shared" si="19"/>
        <v>18.278055555555554</v>
      </c>
      <c r="P181" s="2">
        <f t="shared" si="20"/>
        <v>767.33333333333337</v>
      </c>
    </row>
    <row r="182" spans="1:16" x14ac:dyDescent="0.45">
      <c r="A182" s="12"/>
      <c r="B182" s="4">
        <v>45159</v>
      </c>
      <c r="C182" s="1">
        <f>19+37/60</f>
        <v>19.616666666666667</v>
      </c>
      <c r="D182" s="2">
        <v>1035</v>
      </c>
      <c r="E182" s="2">
        <v>0</v>
      </c>
      <c r="F182" s="2">
        <v>14996</v>
      </c>
      <c r="G182" s="2">
        <f t="shared" si="16"/>
        <v>12003</v>
      </c>
      <c r="H182" s="2"/>
      <c r="I182" s="1">
        <f t="shared" si="14"/>
        <v>17.778333333333336</v>
      </c>
      <c r="J182" s="2">
        <f t="shared" si="15"/>
        <v>734.75</v>
      </c>
      <c r="K182" s="2"/>
      <c r="L182" s="1">
        <f t="shared" si="17"/>
        <v>16.304499999999997</v>
      </c>
      <c r="M182" s="2">
        <f t="shared" si="18"/>
        <v>666.05</v>
      </c>
      <c r="N182" s="2"/>
      <c r="O182" s="1">
        <f t="shared" si="19"/>
        <v>17.467314814814817</v>
      </c>
      <c r="P182" s="2">
        <f t="shared" si="20"/>
        <v>735.13888888888891</v>
      </c>
    </row>
    <row r="183" spans="1:16" x14ac:dyDescent="0.45">
      <c r="A183" s="12"/>
      <c r="B183" s="4">
        <v>45166</v>
      </c>
      <c r="C183" s="1">
        <f>17+18/60</f>
        <v>17.3</v>
      </c>
      <c r="D183" s="2">
        <v>640</v>
      </c>
      <c r="E183" s="2">
        <v>2</v>
      </c>
      <c r="F183" s="2">
        <v>11481</v>
      </c>
      <c r="G183" s="2">
        <f t="shared" si="16"/>
        <v>12704</v>
      </c>
      <c r="H183" s="2"/>
      <c r="I183" s="1">
        <f t="shared" si="14"/>
        <v>18.195</v>
      </c>
      <c r="J183" s="2">
        <f t="shared" si="15"/>
        <v>751.75</v>
      </c>
      <c r="K183" s="2"/>
      <c r="L183" s="1">
        <f t="shared" si="17"/>
        <v>16.485166666666668</v>
      </c>
      <c r="M183" s="2">
        <f t="shared" si="18"/>
        <v>666.9</v>
      </c>
      <c r="N183" s="2"/>
      <c r="O183" s="1">
        <f t="shared" si="19"/>
        <v>16.919537037037038</v>
      </c>
      <c r="P183" s="2">
        <f t="shared" si="20"/>
        <v>697.61111111111109</v>
      </c>
    </row>
    <row r="184" spans="1:16" x14ac:dyDescent="0.45">
      <c r="A184" s="12"/>
      <c r="B184" s="4">
        <v>45173</v>
      </c>
      <c r="C184" s="1">
        <f>19+25/60</f>
        <v>19.416666666666668</v>
      </c>
      <c r="D184" s="2">
        <v>828</v>
      </c>
      <c r="E184" s="2">
        <v>2</v>
      </c>
      <c r="F184" s="2">
        <v>10729</v>
      </c>
      <c r="G184" s="2">
        <f t="shared" si="16"/>
        <v>13393.25</v>
      </c>
      <c r="H184" s="2"/>
      <c r="I184" s="1">
        <f t="shared" si="14"/>
        <v>19.966666666666669</v>
      </c>
      <c r="J184" s="2">
        <f t="shared" si="15"/>
        <v>846</v>
      </c>
      <c r="K184" s="2"/>
      <c r="L184" s="1">
        <f t="shared" si="17"/>
        <v>17.223500000000005</v>
      </c>
      <c r="M184" s="2">
        <f t="shared" si="18"/>
        <v>702</v>
      </c>
      <c r="N184" s="2"/>
      <c r="O184" s="1">
        <f t="shared" si="19"/>
        <v>16.038888888888888</v>
      </c>
      <c r="P184" s="2">
        <f t="shared" si="20"/>
        <v>658.88888888888891</v>
      </c>
    </row>
    <row r="185" spans="1:16" x14ac:dyDescent="0.45">
      <c r="A185" s="15"/>
      <c r="B185" s="4">
        <v>45180</v>
      </c>
      <c r="C185" s="1">
        <f>20+17/60</f>
        <v>20.283333333333335</v>
      </c>
      <c r="D185" s="2">
        <v>1047</v>
      </c>
      <c r="E185" s="2">
        <v>0</v>
      </c>
      <c r="F185" s="2">
        <v>13859</v>
      </c>
      <c r="G185" s="2">
        <f t="shared" si="16"/>
        <v>12766.25</v>
      </c>
      <c r="H185" s="2"/>
      <c r="I185" s="1">
        <f t="shared" si="14"/>
        <v>19.154166666666669</v>
      </c>
      <c r="J185" s="2">
        <f t="shared" si="15"/>
        <v>887.5</v>
      </c>
      <c r="K185" s="2"/>
      <c r="L185" s="1">
        <f t="shared" si="17"/>
        <v>18.232833333333335</v>
      </c>
      <c r="M185" s="2">
        <f t="shared" si="18"/>
        <v>766.8</v>
      </c>
      <c r="N185" s="2"/>
      <c r="O185" s="1">
        <f t="shared" si="19"/>
        <v>16.467500000000001</v>
      </c>
      <c r="P185" s="2">
        <f t="shared" si="20"/>
        <v>674.83333333333337</v>
      </c>
    </row>
    <row r="186" spans="1:16" x14ac:dyDescent="0.45">
      <c r="A186" s="12" t="s">
        <v>53</v>
      </c>
      <c r="B186" s="4">
        <v>45187</v>
      </c>
      <c r="C186" s="1">
        <f>13+19/60</f>
        <v>13.316666666666666</v>
      </c>
      <c r="D186">
        <v>390</v>
      </c>
      <c r="E186">
        <v>0</v>
      </c>
      <c r="F186">
        <v>8255</v>
      </c>
      <c r="G186" s="2">
        <f t="shared" si="16"/>
        <v>11081</v>
      </c>
      <c r="H186" s="2"/>
      <c r="I186" s="1">
        <f t="shared" si="14"/>
        <v>17.579166666666666</v>
      </c>
      <c r="J186" s="2">
        <f t="shared" si="15"/>
        <v>726.25</v>
      </c>
      <c r="K186" s="2"/>
      <c r="L186" s="1">
        <f t="shared" si="17"/>
        <v>18.534666666666666</v>
      </c>
      <c r="M186" s="2">
        <f t="shared" si="18"/>
        <v>789.25</v>
      </c>
      <c r="N186" s="2"/>
      <c r="O186" s="1">
        <f t="shared" si="19"/>
        <v>17.555370370370369</v>
      </c>
      <c r="P186" s="2">
        <f t="shared" si="20"/>
        <v>714.5</v>
      </c>
    </row>
    <row r="187" spans="1:16" x14ac:dyDescent="0.45">
      <c r="A187" s="12" t="s">
        <v>54</v>
      </c>
      <c r="B187" s="10">
        <v>45194</v>
      </c>
      <c r="C187" s="1">
        <f>25+20/60</f>
        <v>25.333333333333332</v>
      </c>
      <c r="D187" s="1">
        <v>1259</v>
      </c>
      <c r="E187" s="2">
        <v>0</v>
      </c>
      <c r="F187" s="1">
        <v>18415</v>
      </c>
      <c r="G187" s="2">
        <f t="shared" si="16"/>
        <v>12814.5</v>
      </c>
      <c r="H187" s="2"/>
      <c r="I187" s="1">
        <f t="shared" si="14"/>
        <v>19.587499999999999</v>
      </c>
      <c r="J187" s="2">
        <f t="shared" si="15"/>
        <v>881</v>
      </c>
      <c r="K187" s="2"/>
      <c r="L187" s="1">
        <f t="shared" si="17"/>
        <v>18.8965</v>
      </c>
      <c r="M187" s="2">
        <f t="shared" si="18"/>
        <v>818.5</v>
      </c>
      <c r="N187" s="2"/>
      <c r="O187" s="1">
        <f t="shared" si="19"/>
        <v>18.279351851851853</v>
      </c>
      <c r="P187" s="2">
        <f t="shared" si="20"/>
        <v>768.80555555555554</v>
      </c>
    </row>
    <row r="188" spans="1:16" x14ac:dyDescent="0.45">
      <c r="A188" s="12" t="s">
        <v>55</v>
      </c>
      <c r="B188" s="10">
        <v>45201</v>
      </c>
      <c r="C188" s="1">
        <f>3+3/60</f>
        <v>3.05</v>
      </c>
      <c r="D188" s="2">
        <v>168</v>
      </c>
      <c r="E188" s="2">
        <v>0</v>
      </c>
      <c r="F188" s="2">
        <v>2260</v>
      </c>
      <c r="G188" s="2">
        <f t="shared" si="16"/>
        <v>10697.25</v>
      </c>
      <c r="H188" s="2"/>
      <c r="I188" s="1">
        <f t="shared" si="14"/>
        <v>15.495833333333334</v>
      </c>
      <c r="J188" s="2">
        <f t="shared" si="15"/>
        <v>716</v>
      </c>
      <c r="K188" s="2"/>
      <c r="L188" s="1">
        <f t="shared" si="17"/>
        <v>18.356666666666669</v>
      </c>
      <c r="M188" s="2">
        <f t="shared" si="18"/>
        <v>811.35</v>
      </c>
      <c r="N188" s="2"/>
      <c r="O188" s="1">
        <f t="shared" si="19"/>
        <v>19.479629629629628</v>
      </c>
      <c r="P188" s="2">
        <f t="shared" si="20"/>
        <v>842.13888888888891</v>
      </c>
    </row>
    <row r="189" spans="1:16" x14ac:dyDescent="0.45">
      <c r="A189" s="12"/>
      <c r="B189" s="10">
        <v>45208</v>
      </c>
      <c r="C189" s="1">
        <v>0</v>
      </c>
      <c r="D189" s="1">
        <v>0</v>
      </c>
      <c r="E189" s="2">
        <v>0</v>
      </c>
      <c r="F189" s="1">
        <v>0</v>
      </c>
      <c r="G189" s="2">
        <f t="shared" si="16"/>
        <v>7232.5</v>
      </c>
      <c r="H189" s="2"/>
      <c r="I189" s="1">
        <f t="shared" si="14"/>
        <v>10.424999999999999</v>
      </c>
      <c r="J189" s="2">
        <f t="shared" si="15"/>
        <v>454.25</v>
      </c>
      <c r="K189" s="2"/>
      <c r="L189" s="1">
        <f t="shared" si="17"/>
        <v>16.448333333333334</v>
      </c>
      <c r="M189" s="2">
        <f t="shared" si="18"/>
        <v>733</v>
      </c>
      <c r="N189" s="2"/>
      <c r="O189" s="1">
        <f t="shared" si="19"/>
        <v>17.536574074074075</v>
      </c>
      <c r="P189" s="2">
        <f t="shared" si="20"/>
        <v>795.44444444444446</v>
      </c>
    </row>
    <row r="190" spans="1:16" x14ac:dyDescent="0.45">
      <c r="A190" s="12"/>
      <c r="B190" s="10">
        <v>45215</v>
      </c>
      <c r="C190" s="1">
        <f>1+48/60</f>
        <v>1.8</v>
      </c>
      <c r="D190" s="2">
        <v>54</v>
      </c>
      <c r="E190" s="2">
        <v>0</v>
      </c>
      <c r="F190" s="2">
        <v>1030</v>
      </c>
      <c r="G190" s="2">
        <f t="shared" si="16"/>
        <v>5426.25</v>
      </c>
      <c r="H190" s="2"/>
      <c r="I190" s="1">
        <f t="shared" si="14"/>
        <v>7.5458333333333334</v>
      </c>
      <c r="J190" s="2">
        <f t="shared" si="15"/>
        <v>370.25</v>
      </c>
      <c r="K190" s="2"/>
      <c r="L190" s="1">
        <f t="shared" si="17"/>
        <v>14.126666666666665</v>
      </c>
      <c r="M190" s="2">
        <f t="shared" si="18"/>
        <v>629.54999999999995</v>
      </c>
      <c r="N190" s="2"/>
      <c r="O190" s="1">
        <f t="shared" si="19"/>
        <v>15.968981481481485</v>
      </c>
      <c r="P190" s="2">
        <f t="shared" si="20"/>
        <v>687.27777777777783</v>
      </c>
    </row>
    <row r="191" spans="1:16" x14ac:dyDescent="0.45">
      <c r="A191" s="12"/>
      <c r="B191" s="4">
        <v>45222</v>
      </c>
      <c r="C191" s="1">
        <f>13+50/60</f>
        <v>13.833333333333334</v>
      </c>
      <c r="D191" s="2">
        <v>472</v>
      </c>
      <c r="E191" s="2">
        <v>2</v>
      </c>
      <c r="F191" s="2">
        <v>8961</v>
      </c>
      <c r="G191" s="2">
        <f t="shared" si="16"/>
        <v>3062.75</v>
      </c>
      <c r="H191" s="2"/>
      <c r="I191" s="1">
        <f t="shared" si="14"/>
        <v>4.6708333333333334</v>
      </c>
      <c r="J191" s="2">
        <f t="shared" si="15"/>
        <v>173.5</v>
      </c>
      <c r="K191" s="2"/>
      <c r="L191" s="1">
        <f t="shared" si="17"/>
        <v>11.544999999999998</v>
      </c>
      <c r="M191" s="2">
        <f t="shared" si="18"/>
        <v>519</v>
      </c>
      <c r="N191" s="2"/>
      <c r="O191" s="1">
        <f t="shared" si="19"/>
        <v>14.819907407407406</v>
      </c>
      <c r="P191" s="2">
        <f t="shared" si="20"/>
        <v>662.22222222222217</v>
      </c>
    </row>
    <row r="192" spans="1:16" x14ac:dyDescent="0.45">
      <c r="A192" s="12"/>
      <c r="B192" s="4">
        <v>45229</v>
      </c>
      <c r="C192" s="1">
        <f>16+24/60</f>
        <v>16.399999999999999</v>
      </c>
      <c r="D192" s="2">
        <v>644</v>
      </c>
      <c r="E192" s="2">
        <v>2</v>
      </c>
      <c r="F192" s="2">
        <v>12584</v>
      </c>
      <c r="G192" s="2">
        <f t="shared" si="16"/>
        <v>5643.75</v>
      </c>
      <c r="H192" s="2"/>
      <c r="I192" s="1">
        <f t="shared" si="14"/>
        <v>8.0083333333333329</v>
      </c>
      <c r="J192" s="2">
        <f t="shared" si="15"/>
        <v>292.5</v>
      </c>
      <c r="K192" s="2"/>
      <c r="L192" s="1">
        <f t="shared" si="17"/>
        <v>9.2291666666666679</v>
      </c>
      <c r="M192" s="2">
        <f t="shared" si="18"/>
        <v>401.3</v>
      </c>
      <c r="N192" s="2"/>
      <c r="O192" s="1">
        <f t="shared" si="19"/>
        <v>13.116666666666667</v>
      </c>
      <c r="P192" s="2">
        <f t="shared" si="20"/>
        <v>590.27777777777783</v>
      </c>
    </row>
    <row r="193" spans="1:16" x14ac:dyDescent="0.45">
      <c r="A193" s="12"/>
      <c r="B193" s="4">
        <v>45236</v>
      </c>
      <c r="C193" s="1">
        <f>19+26/60</f>
        <v>19.433333333333334</v>
      </c>
      <c r="D193" s="2">
        <v>683</v>
      </c>
      <c r="E193" s="2">
        <v>2</v>
      </c>
      <c r="F193" s="2">
        <v>14279</v>
      </c>
      <c r="G193" s="2">
        <f t="shared" si="16"/>
        <v>9213.5</v>
      </c>
      <c r="H193" s="2"/>
      <c r="I193" s="1">
        <f t="shared" si="14"/>
        <v>12.866666666666667</v>
      </c>
      <c r="J193" s="2">
        <f t="shared" si="15"/>
        <v>463.25</v>
      </c>
      <c r="K193" s="2"/>
      <c r="L193" s="1">
        <f t="shared" si="17"/>
        <v>8.7033333333333331</v>
      </c>
      <c r="M193" s="2">
        <f t="shared" si="18"/>
        <v>350.75</v>
      </c>
      <c r="N193" s="2"/>
      <c r="O193" s="1">
        <f t="shared" si="19"/>
        <v>11.197222222222223</v>
      </c>
      <c r="P193" s="2">
        <f t="shared" si="20"/>
        <v>459.55555555555554</v>
      </c>
    </row>
    <row r="194" spans="1:16" x14ac:dyDescent="0.45">
      <c r="A194" s="12"/>
      <c r="B194" s="4">
        <v>45243</v>
      </c>
      <c r="C194" s="1">
        <f>19+14/60</f>
        <v>19.233333333333334</v>
      </c>
      <c r="D194" s="2">
        <v>692</v>
      </c>
      <c r="E194" s="2">
        <v>2</v>
      </c>
      <c r="F194" s="2">
        <v>12824</v>
      </c>
      <c r="G194" s="2">
        <f t="shared" si="16"/>
        <v>12162</v>
      </c>
      <c r="H194" s="2"/>
      <c r="I194" s="1">
        <f t="shared" si="14"/>
        <v>17.225000000000001</v>
      </c>
      <c r="J194" s="2">
        <f t="shared" si="15"/>
        <v>622.75</v>
      </c>
      <c r="K194" s="2"/>
      <c r="L194" s="1">
        <f t="shared" si="17"/>
        <v>10.063333333333333</v>
      </c>
      <c r="M194" s="2">
        <f t="shared" si="18"/>
        <v>384.45</v>
      </c>
      <c r="N194" s="2"/>
      <c r="O194" s="1">
        <f t="shared" si="19"/>
        <v>10.990277777777777</v>
      </c>
      <c r="P194" s="2">
        <f t="shared" si="20"/>
        <v>483.22222222222223</v>
      </c>
    </row>
    <row r="195" spans="1:16" x14ac:dyDescent="0.45">
      <c r="A195" s="12"/>
      <c r="B195" s="10">
        <v>45250</v>
      </c>
      <c r="C195" s="1">
        <f>20+16/60</f>
        <v>20.266666666666666</v>
      </c>
      <c r="D195" s="2">
        <v>796</v>
      </c>
      <c r="E195" s="2">
        <v>2</v>
      </c>
      <c r="F195" s="2">
        <v>14645</v>
      </c>
      <c r="G195" s="2">
        <f t="shared" si="16"/>
        <v>13583</v>
      </c>
      <c r="H195" s="2"/>
      <c r="I195" s="1">
        <f t="shared" si="14"/>
        <v>18.833333333333332</v>
      </c>
      <c r="J195" s="2">
        <f t="shared" si="15"/>
        <v>703.75</v>
      </c>
      <c r="K195" s="2"/>
      <c r="L195" s="1">
        <f t="shared" si="17"/>
        <v>12.320833333333335</v>
      </c>
      <c r="M195" s="2">
        <f t="shared" si="18"/>
        <v>451.15</v>
      </c>
      <c r="N195" s="2"/>
      <c r="O195" s="1">
        <f t="shared" si="19"/>
        <v>7.9722222222222223</v>
      </c>
      <c r="P195" s="2">
        <f t="shared" si="20"/>
        <v>300.91666666666669</v>
      </c>
    </row>
    <row r="196" spans="1:16" x14ac:dyDescent="0.45">
      <c r="A196" s="12"/>
      <c r="B196" s="10">
        <v>45257</v>
      </c>
      <c r="C196" s="1">
        <f>24+35/60</f>
        <v>24.583333333333332</v>
      </c>
      <c r="D196" s="2">
        <v>1078</v>
      </c>
      <c r="E196" s="2">
        <v>2</v>
      </c>
      <c r="F196" s="2">
        <v>17573</v>
      </c>
      <c r="G196" s="2">
        <f t="shared" si="16"/>
        <v>14830.25</v>
      </c>
      <c r="H196" s="2"/>
      <c r="I196" s="1">
        <f t="shared" si="14"/>
        <v>20.879166666666666</v>
      </c>
      <c r="J196" s="2">
        <f t="shared" si="15"/>
        <v>812.25</v>
      </c>
      <c r="K196" s="2"/>
      <c r="L196" s="1">
        <f t="shared" si="17"/>
        <v>15.562499999999996</v>
      </c>
      <c r="M196" s="2">
        <f t="shared" si="18"/>
        <v>578.9</v>
      </c>
      <c r="N196" s="2"/>
      <c r="O196" s="1">
        <f t="shared" si="19"/>
        <v>10.504166666666668</v>
      </c>
      <c r="P196" s="2">
        <f t="shared" si="20"/>
        <v>386.33333333333331</v>
      </c>
    </row>
    <row r="197" spans="1:16" x14ac:dyDescent="0.45">
      <c r="A197" s="12"/>
      <c r="B197" s="10">
        <v>45264</v>
      </c>
      <c r="C197" s="1">
        <f>23+22/60</f>
        <v>23.366666666666667</v>
      </c>
      <c r="D197" s="2">
        <v>1058</v>
      </c>
      <c r="E197" s="2">
        <v>2</v>
      </c>
      <c r="F197" s="2">
        <v>16668</v>
      </c>
      <c r="G197" s="2">
        <f t="shared" si="16"/>
        <v>15427.5</v>
      </c>
      <c r="H197" s="2"/>
      <c r="I197" s="1">
        <f t="shared" ref="I197:I244" si="21">AVERAGE(C194:C197)</f>
        <v>21.862499999999997</v>
      </c>
      <c r="J197" s="2">
        <f t="shared" ref="J197:J244" si="22">AVERAGE(D194:D197)</f>
        <v>906</v>
      </c>
      <c r="K197" s="2"/>
      <c r="L197" s="1">
        <f t="shared" si="17"/>
        <v>18.333333333333336</v>
      </c>
      <c r="M197" s="2">
        <f t="shared" si="18"/>
        <v>701.6</v>
      </c>
      <c r="N197" s="2"/>
      <c r="O197" s="1">
        <f t="shared" si="19"/>
        <v>14.36296296296296</v>
      </c>
      <c r="P197" s="2">
        <f t="shared" si="20"/>
        <v>538.47222222222217</v>
      </c>
    </row>
    <row r="198" spans="1:16" x14ac:dyDescent="0.45">
      <c r="A198" s="12"/>
      <c r="B198" s="10">
        <v>45271</v>
      </c>
      <c r="C198" s="1">
        <f>17+26/60</f>
        <v>17.433333333333334</v>
      </c>
      <c r="D198" s="2">
        <v>716</v>
      </c>
      <c r="E198" s="2">
        <v>2</v>
      </c>
      <c r="F198" s="2">
        <v>11569</v>
      </c>
      <c r="G198" s="2">
        <f t="shared" ref="G198:G261" si="23">AVERAGE(F195:F198)</f>
        <v>15113.75</v>
      </c>
      <c r="H198" s="2"/>
      <c r="I198" s="1">
        <f t="shared" si="21"/>
        <v>21.412500000000001</v>
      </c>
      <c r="J198" s="2">
        <f t="shared" si="22"/>
        <v>912</v>
      </c>
      <c r="K198" s="2"/>
      <c r="L198" s="1">
        <f t="shared" si="17"/>
        <v>20.0425</v>
      </c>
      <c r="M198" s="2">
        <f t="shared" si="18"/>
        <v>791.35</v>
      </c>
      <c r="N198" s="2"/>
      <c r="O198" s="1">
        <f t="shared" si="19"/>
        <v>18.256018518518516</v>
      </c>
      <c r="P198" s="2">
        <f t="shared" si="20"/>
        <v>697</v>
      </c>
    </row>
    <row r="199" spans="1:16" x14ac:dyDescent="0.45">
      <c r="A199" s="12"/>
      <c r="B199" s="4">
        <v>45278</v>
      </c>
      <c r="C199" s="1">
        <v>20.5</v>
      </c>
      <c r="D199" s="2">
        <v>916</v>
      </c>
      <c r="E199" s="2">
        <v>2</v>
      </c>
      <c r="F199" s="2">
        <v>14464</v>
      </c>
      <c r="G199" s="2">
        <f t="shared" si="23"/>
        <v>15068.5</v>
      </c>
      <c r="H199" s="2"/>
      <c r="I199" s="1">
        <f t="shared" si="21"/>
        <v>21.470833333333335</v>
      </c>
      <c r="J199" s="2">
        <f t="shared" si="22"/>
        <v>942</v>
      </c>
      <c r="K199" s="2"/>
      <c r="L199" s="1">
        <f t="shared" si="17"/>
        <v>20.891666666666669</v>
      </c>
      <c r="M199" s="2">
        <f t="shared" si="18"/>
        <v>855.2</v>
      </c>
      <c r="N199" s="2"/>
      <c r="O199" s="1">
        <f t="shared" si="19"/>
        <v>19.660185185185185</v>
      </c>
      <c r="P199" s="2">
        <f t="shared" si="20"/>
        <v>774.97222222222217</v>
      </c>
    </row>
    <row r="200" spans="1:16" x14ac:dyDescent="0.45">
      <c r="A200" s="12"/>
      <c r="B200" s="4">
        <v>45285</v>
      </c>
      <c r="C200" s="1">
        <v>19.5</v>
      </c>
      <c r="D200" s="2">
        <v>748</v>
      </c>
      <c r="E200" s="2">
        <v>1</v>
      </c>
      <c r="F200" s="2">
        <v>13813</v>
      </c>
      <c r="G200" s="2">
        <f t="shared" si="23"/>
        <v>14128.5</v>
      </c>
      <c r="H200" s="2"/>
      <c r="I200" s="1">
        <f t="shared" si="21"/>
        <v>20.2</v>
      </c>
      <c r="J200" s="2">
        <f t="shared" si="22"/>
        <v>859.5</v>
      </c>
      <c r="K200" s="2"/>
      <c r="L200" s="1">
        <f t="shared" si="17"/>
        <v>21.164999999999999</v>
      </c>
      <c r="M200" s="2">
        <f t="shared" si="18"/>
        <v>886.35</v>
      </c>
      <c r="N200" s="2"/>
      <c r="O200" s="1">
        <f t="shared" si="19"/>
        <v>20.580092592592592</v>
      </c>
      <c r="P200" s="2">
        <f t="shared" si="20"/>
        <v>817.61111111111109</v>
      </c>
    </row>
    <row r="201" spans="1:16" x14ac:dyDescent="0.45">
      <c r="A201" s="12"/>
      <c r="B201" s="4">
        <v>45292</v>
      </c>
      <c r="C201" s="1">
        <f>21+29/60</f>
        <v>21.483333333333334</v>
      </c>
      <c r="D201" s="2">
        <v>948</v>
      </c>
      <c r="E201" s="2">
        <v>1</v>
      </c>
      <c r="F201" s="2">
        <v>15159</v>
      </c>
      <c r="G201" s="2">
        <f t="shared" si="23"/>
        <v>13751.25</v>
      </c>
      <c r="H201" s="2"/>
      <c r="I201" s="1">
        <f t="shared" si="21"/>
        <v>19.729166666666668</v>
      </c>
      <c r="J201" s="2">
        <f t="shared" si="22"/>
        <v>832</v>
      </c>
      <c r="K201" s="2"/>
      <c r="L201" s="1">
        <f t="shared" ref="L201:L246" si="24">((C194)+(2*C195)+(3*C196)+(4*C197)+(4*C198)+(3*C199)+(2*C200)+(C201))/20</f>
        <v>20.934999999999999</v>
      </c>
      <c r="M201" s="2">
        <f t="shared" ref="M201:M246" si="25">((D194)+(2*D195)+(3*D196)+(4*D197)+(4*D198)+(3*D199)+(2*D200)+(D201))/20</f>
        <v>890.3</v>
      </c>
      <c r="N201" s="2"/>
      <c r="O201" s="1">
        <f t="shared" si="19"/>
        <v>20.882870370370373</v>
      </c>
      <c r="P201" s="2">
        <f t="shared" si="20"/>
        <v>858.94444444444446</v>
      </c>
    </row>
    <row r="202" spans="1:16" x14ac:dyDescent="0.45">
      <c r="A202" s="12"/>
      <c r="B202" s="4">
        <v>45299</v>
      </c>
      <c r="C202" s="1">
        <f>16+8/60</f>
        <v>16.133333333333333</v>
      </c>
      <c r="D202" s="2">
        <v>711</v>
      </c>
      <c r="E202" s="2">
        <v>0</v>
      </c>
      <c r="F202" s="2">
        <v>11868</v>
      </c>
      <c r="G202" s="2">
        <f t="shared" si="23"/>
        <v>13826</v>
      </c>
      <c r="H202" s="2"/>
      <c r="I202" s="1">
        <f t="shared" si="21"/>
        <v>19.404166666666669</v>
      </c>
      <c r="J202" s="2">
        <f t="shared" si="22"/>
        <v>830.75</v>
      </c>
      <c r="K202" s="2"/>
      <c r="L202" s="1">
        <f t="shared" si="24"/>
        <v>20.443333333333335</v>
      </c>
      <c r="M202" s="2">
        <f t="shared" si="25"/>
        <v>875.25</v>
      </c>
      <c r="N202" s="2"/>
      <c r="O202" s="1">
        <f t="shared" si="19"/>
        <v>21.143981481481479</v>
      </c>
      <c r="P202" s="2">
        <f t="shared" si="20"/>
        <v>898.80555555555554</v>
      </c>
    </row>
    <row r="203" spans="1:16" x14ac:dyDescent="0.45">
      <c r="A203" s="12" t="s">
        <v>41</v>
      </c>
      <c r="B203" s="10">
        <v>45306</v>
      </c>
      <c r="C203" s="1">
        <f>22+34/60</f>
        <v>22.566666666666666</v>
      </c>
      <c r="D203" s="2">
        <v>1235</v>
      </c>
      <c r="E203" s="2">
        <v>0</v>
      </c>
      <c r="F203" s="2">
        <v>18152</v>
      </c>
      <c r="G203" s="2">
        <f t="shared" si="23"/>
        <v>14748</v>
      </c>
      <c r="H203" s="2"/>
      <c r="I203" s="1">
        <f t="shared" si="21"/>
        <v>19.920833333333334</v>
      </c>
      <c r="J203" s="2">
        <f t="shared" si="22"/>
        <v>910.5</v>
      </c>
      <c r="K203" s="2"/>
      <c r="L203" s="1">
        <f t="shared" si="24"/>
        <v>20.145</v>
      </c>
      <c r="M203" s="2">
        <f t="shared" si="25"/>
        <v>874.95</v>
      </c>
      <c r="N203" s="2"/>
      <c r="O203" s="1">
        <f t="shared" si="19"/>
        <v>21.23935185185185</v>
      </c>
      <c r="P203" s="2">
        <f t="shared" si="20"/>
        <v>927.75</v>
      </c>
    </row>
    <row r="204" spans="1:16" x14ac:dyDescent="0.45">
      <c r="A204" s="12" t="s">
        <v>56</v>
      </c>
      <c r="B204" s="10">
        <v>45313</v>
      </c>
      <c r="C204" s="1">
        <f>15+57/60</f>
        <v>15.95</v>
      </c>
      <c r="D204" s="2">
        <v>752</v>
      </c>
      <c r="E204" s="2">
        <v>1</v>
      </c>
      <c r="F204" s="2">
        <v>12021</v>
      </c>
      <c r="G204" s="2">
        <f t="shared" si="23"/>
        <v>14300</v>
      </c>
      <c r="H204" s="2"/>
      <c r="I204" s="1">
        <f t="shared" si="21"/>
        <v>19.033333333333335</v>
      </c>
      <c r="J204" s="2">
        <f t="shared" si="22"/>
        <v>911.5</v>
      </c>
      <c r="K204" s="2"/>
      <c r="L204" s="1">
        <f t="shared" si="24"/>
        <v>19.657499999999999</v>
      </c>
      <c r="M204" s="2">
        <f t="shared" si="25"/>
        <v>868.85</v>
      </c>
      <c r="N204" s="2"/>
      <c r="O204" s="1">
        <f t="shared" si="19"/>
        <v>20.135648148148146</v>
      </c>
      <c r="P204" s="2">
        <f t="shared" si="20"/>
        <v>884.97222222222217</v>
      </c>
    </row>
    <row r="205" spans="1:16" x14ac:dyDescent="0.45">
      <c r="A205" s="12" t="s">
        <v>57</v>
      </c>
      <c r="B205" s="10">
        <v>45320</v>
      </c>
      <c r="C205" s="1">
        <f>13+42/60</f>
        <v>13.7</v>
      </c>
      <c r="D205" s="2">
        <v>518</v>
      </c>
      <c r="E205" s="2">
        <v>0</v>
      </c>
      <c r="F205" s="2">
        <v>8309</v>
      </c>
      <c r="G205" s="2">
        <f t="shared" si="23"/>
        <v>12587.5</v>
      </c>
      <c r="H205" s="2"/>
      <c r="I205" s="1">
        <f t="shared" si="21"/>
        <v>17.087500000000002</v>
      </c>
      <c r="J205" s="2">
        <f t="shared" si="22"/>
        <v>804</v>
      </c>
      <c r="K205" s="2"/>
      <c r="L205" s="1">
        <f t="shared" si="24"/>
        <v>19.034999999999997</v>
      </c>
      <c r="M205" s="2">
        <f t="shared" si="25"/>
        <v>857.75</v>
      </c>
      <c r="N205" s="2"/>
      <c r="O205" s="1">
        <f t="shared" ref="O205:O246" si="26">((C205)+(C204*2)+(C203*3)+(C202*4)+(C201*5)+(C200*6)+(C199*7)+(C198*8))/36</f>
        <v>19.033796296296298</v>
      </c>
      <c r="P205" s="2">
        <f t="shared" ref="P205:P246" si="27">((D205)+(D204*2)+(D203*3)+(D202*4)+(D201*5)+(D200*6)+(D199*7)+(D198*8))/36</f>
        <v>831.63888888888891</v>
      </c>
    </row>
    <row r="206" spans="1:16" x14ac:dyDescent="0.45">
      <c r="A206" s="12" t="s">
        <v>58</v>
      </c>
      <c r="B206" s="10">
        <v>45327</v>
      </c>
      <c r="C206" s="1">
        <f>19+38/60</f>
        <v>19.633333333333333</v>
      </c>
      <c r="D206" s="2">
        <v>885</v>
      </c>
      <c r="E206" s="2">
        <v>0</v>
      </c>
      <c r="F206" s="2">
        <v>13072</v>
      </c>
      <c r="G206" s="2">
        <f t="shared" si="23"/>
        <v>12888.5</v>
      </c>
      <c r="H206" s="2"/>
      <c r="I206" s="1">
        <f t="shared" si="21"/>
        <v>17.962499999999999</v>
      </c>
      <c r="J206" s="2">
        <f t="shared" si="22"/>
        <v>847.5</v>
      </c>
      <c r="K206" s="2"/>
      <c r="L206" s="1">
        <f t="shared" si="24"/>
        <v>18.681666666666665</v>
      </c>
      <c r="M206" s="2">
        <f t="shared" si="25"/>
        <v>860.85</v>
      </c>
      <c r="N206" s="2"/>
      <c r="O206" s="1">
        <f t="shared" si="26"/>
        <v>19.311574074074073</v>
      </c>
      <c r="P206" s="2">
        <f t="shared" si="27"/>
        <v>859</v>
      </c>
    </row>
    <row r="207" spans="1:16" x14ac:dyDescent="0.45">
      <c r="A207" s="12"/>
      <c r="B207" s="4">
        <v>45334</v>
      </c>
      <c r="C207" s="1">
        <f>21+3/60</f>
        <v>21.05</v>
      </c>
      <c r="D207" s="2">
        <v>934</v>
      </c>
      <c r="E207" s="2">
        <v>0</v>
      </c>
      <c r="F207" s="2">
        <v>15255</v>
      </c>
      <c r="G207" s="2">
        <f t="shared" si="23"/>
        <v>12164.25</v>
      </c>
      <c r="H207" s="2"/>
      <c r="I207" s="1">
        <f t="shared" si="21"/>
        <v>17.583333333333332</v>
      </c>
      <c r="J207" s="2">
        <f t="shared" si="22"/>
        <v>772.25</v>
      </c>
      <c r="K207" s="2"/>
      <c r="L207" s="1">
        <f t="shared" si="24"/>
        <v>18.317499999999999</v>
      </c>
      <c r="M207" s="2">
        <f t="shared" si="25"/>
        <v>849.15</v>
      </c>
      <c r="N207" s="2"/>
      <c r="O207" s="1">
        <f t="shared" si="26"/>
        <v>18.923148148148147</v>
      </c>
      <c r="P207" s="2">
        <f t="shared" si="27"/>
        <v>842.41666666666663</v>
      </c>
    </row>
    <row r="208" spans="1:16" x14ac:dyDescent="0.45">
      <c r="A208" s="12" t="s">
        <v>59</v>
      </c>
      <c r="B208" s="4">
        <v>45341</v>
      </c>
      <c r="C208" s="1">
        <f>20+4/60</f>
        <v>20.066666666666666</v>
      </c>
      <c r="D208" s="2">
        <v>1061</v>
      </c>
      <c r="E208" s="2">
        <v>0</v>
      </c>
      <c r="F208" s="2">
        <v>15863</v>
      </c>
      <c r="G208" s="2">
        <f t="shared" si="23"/>
        <v>13124.75</v>
      </c>
      <c r="H208" s="2"/>
      <c r="I208" s="1">
        <f t="shared" si="21"/>
        <v>18.612499999999997</v>
      </c>
      <c r="J208" s="2">
        <f t="shared" si="22"/>
        <v>849.5</v>
      </c>
      <c r="K208" s="2"/>
      <c r="L208" s="1">
        <f t="shared" si="24"/>
        <v>18.055833333333332</v>
      </c>
      <c r="M208" s="2">
        <f t="shared" si="25"/>
        <v>836.95</v>
      </c>
      <c r="N208" s="2"/>
      <c r="O208" s="1">
        <f t="shared" si="26"/>
        <v>18.772685185185182</v>
      </c>
      <c r="P208" s="2">
        <f t="shared" si="27"/>
        <v>871.86111111111109</v>
      </c>
    </row>
    <row r="209" spans="1:16" x14ac:dyDescent="0.45">
      <c r="A209" s="12"/>
      <c r="B209" s="4">
        <v>45348</v>
      </c>
      <c r="C209" s="1">
        <f>15+5/60</f>
        <v>15.083333333333334</v>
      </c>
      <c r="D209" s="2">
        <v>502</v>
      </c>
      <c r="E209" s="2">
        <v>0</v>
      </c>
      <c r="F209" s="2">
        <v>9751</v>
      </c>
      <c r="G209" s="2">
        <f t="shared" si="23"/>
        <v>13485.25</v>
      </c>
      <c r="H209" s="2"/>
      <c r="I209" s="1">
        <f t="shared" si="21"/>
        <v>18.958333333333332</v>
      </c>
      <c r="J209" s="2">
        <f t="shared" si="22"/>
        <v>845.5</v>
      </c>
      <c r="K209" s="2"/>
      <c r="L209" s="1">
        <f t="shared" si="24"/>
        <v>18.040833333333332</v>
      </c>
      <c r="M209" s="2">
        <f t="shared" si="25"/>
        <v>823.75</v>
      </c>
      <c r="N209" s="2"/>
      <c r="O209" s="1">
        <f t="shared" si="26"/>
        <v>18.0037037037037</v>
      </c>
      <c r="P209" s="2">
        <f t="shared" si="27"/>
        <v>844.47222222222217</v>
      </c>
    </row>
    <row r="210" spans="1:16" x14ac:dyDescent="0.45">
      <c r="A210" s="12" t="s">
        <v>60</v>
      </c>
      <c r="B210" s="4">
        <v>45355</v>
      </c>
      <c r="C210" s="1">
        <f>21+2/60</f>
        <v>21.033333333333335</v>
      </c>
      <c r="D210" s="2">
        <v>1185</v>
      </c>
      <c r="E210" s="2">
        <v>0</v>
      </c>
      <c r="F210" s="2">
        <v>16826</v>
      </c>
      <c r="G210" s="2">
        <f t="shared" si="23"/>
        <v>14423.75</v>
      </c>
      <c r="H210" s="2"/>
      <c r="I210" s="1">
        <f t="shared" si="21"/>
        <v>19.308333333333334</v>
      </c>
      <c r="J210" s="2">
        <f t="shared" si="22"/>
        <v>920.5</v>
      </c>
      <c r="K210" s="2"/>
      <c r="L210" s="1">
        <f t="shared" si="24"/>
        <v>18.485000000000003</v>
      </c>
      <c r="M210" s="2">
        <f t="shared" si="25"/>
        <v>847.05</v>
      </c>
      <c r="N210" s="2"/>
      <c r="O210" s="1">
        <f t="shared" si="26"/>
        <v>18.55972222222222</v>
      </c>
      <c r="P210" s="2">
        <f t="shared" si="27"/>
        <v>882.91666666666663</v>
      </c>
    </row>
    <row r="211" spans="1:16" x14ac:dyDescent="0.45">
      <c r="A211" s="12" t="s">
        <v>61</v>
      </c>
      <c r="B211" s="10">
        <v>45362</v>
      </c>
      <c r="C211" s="1">
        <v>10</v>
      </c>
      <c r="D211" s="2">
        <v>700</v>
      </c>
      <c r="E211" s="2">
        <v>0</v>
      </c>
      <c r="F211" s="2">
        <v>5000</v>
      </c>
      <c r="G211" s="2">
        <f t="shared" si="23"/>
        <v>11860</v>
      </c>
      <c r="H211" s="2"/>
      <c r="I211" s="1">
        <f t="shared" si="21"/>
        <v>16.545833333333334</v>
      </c>
      <c r="J211" s="2">
        <f t="shared" si="22"/>
        <v>862</v>
      </c>
      <c r="K211" s="2"/>
      <c r="L211" s="1">
        <f t="shared" si="24"/>
        <v>18.201666666666664</v>
      </c>
      <c r="M211" s="2">
        <f t="shared" si="25"/>
        <v>849.95</v>
      </c>
      <c r="N211" s="2"/>
      <c r="O211" s="1">
        <f t="shared" si="26"/>
        <v>17.337037037037035</v>
      </c>
      <c r="P211" s="2">
        <f t="shared" si="27"/>
        <v>790.05555555555554</v>
      </c>
    </row>
    <row r="212" spans="1:16" x14ac:dyDescent="0.45">
      <c r="A212" s="12" t="s">
        <v>62</v>
      </c>
      <c r="B212" s="10">
        <v>45369</v>
      </c>
      <c r="C212" s="1">
        <f>11+55/60</f>
        <v>11.916666666666666</v>
      </c>
      <c r="D212" s="2">
        <v>435</v>
      </c>
      <c r="E212" s="2">
        <v>1</v>
      </c>
      <c r="F212" s="2">
        <v>8522</v>
      </c>
      <c r="G212" s="2">
        <f t="shared" si="23"/>
        <v>10024.75</v>
      </c>
      <c r="H212" s="2"/>
      <c r="I212" s="1">
        <f t="shared" si="21"/>
        <v>14.508333333333333</v>
      </c>
      <c r="J212" s="2">
        <f t="shared" si="22"/>
        <v>705.5</v>
      </c>
      <c r="K212" s="2"/>
      <c r="L212" s="1">
        <f t="shared" si="24"/>
        <v>17.586666666666666</v>
      </c>
      <c r="M212" s="2">
        <f t="shared" si="25"/>
        <v>836.6</v>
      </c>
      <c r="N212" s="2"/>
      <c r="O212" s="1">
        <f t="shared" si="26"/>
        <v>17.472685185185188</v>
      </c>
      <c r="P212" s="2">
        <f t="shared" si="27"/>
        <v>795.72222222222217</v>
      </c>
    </row>
    <row r="213" spans="1:16" x14ac:dyDescent="0.45">
      <c r="A213" s="12"/>
      <c r="B213" s="10">
        <v>45376</v>
      </c>
      <c r="C213" s="1">
        <f>24+4/60</f>
        <v>24.066666666666666</v>
      </c>
      <c r="D213" s="2">
        <v>957</v>
      </c>
      <c r="E213" s="2">
        <v>2</v>
      </c>
      <c r="F213" s="2">
        <v>18270</v>
      </c>
      <c r="G213" s="2">
        <f t="shared" si="23"/>
        <v>12154.5</v>
      </c>
      <c r="H213" s="2"/>
      <c r="I213" s="1">
        <f t="shared" si="21"/>
        <v>16.754166666666666</v>
      </c>
      <c r="J213" s="2">
        <f t="shared" si="22"/>
        <v>819.25</v>
      </c>
      <c r="K213" s="2"/>
      <c r="L213" s="1">
        <f t="shared" si="24"/>
        <v>17.215</v>
      </c>
      <c r="M213" s="2">
        <f t="shared" si="25"/>
        <v>830.55</v>
      </c>
      <c r="N213" s="2"/>
      <c r="O213" s="1">
        <f t="shared" si="26"/>
        <v>18.396296296296295</v>
      </c>
      <c r="P213" s="2">
        <f t="shared" si="27"/>
        <v>865.58333333333337</v>
      </c>
    </row>
    <row r="214" spans="1:16" x14ac:dyDescent="0.45">
      <c r="A214" s="12" t="s">
        <v>63</v>
      </c>
      <c r="B214" s="10">
        <v>45383</v>
      </c>
      <c r="C214" s="1">
        <f>19+25/60</f>
        <v>19.416666666666668</v>
      </c>
      <c r="D214" s="2">
        <v>719</v>
      </c>
      <c r="E214" s="2">
        <v>2</v>
      </c>
      <c r="F214" s="2">
        <v>13549</v>
      </c>
      <c r="G214" s="2">
        <f t="shared" si="23"/>
        <v>11335.25</v>
      </c>
      <c r="H214" s="2"/>
      <c r="I214" s="1">
        <f t="shared" si="21"/>
        <v>16.350000000000001</v>
      </c>
      <c r="J214" s="2">
        <f t="shared" si="22"/>
        <v>702.75</v>
      </c>
      <c r="K214" s="2"/>
      <c r="L214" s="1">
        <f t="shared" si="24"/>
        <v>16.693333333333335</v>
      </c>
      <c r="M214" s="2">
        <f t="shared" si="25"/>
        <v>802</v>
      </c>
      <c r="N214" s="2"/>
      <c r="O214" s="1">
        <f t="shared" si="26"/>
        <v>17.99537037037037</v>
      </c>
      <c r="P214" s="2">
        <f t="shared" si="27"/>
        <v>849.27777777777783</v>
      </c>
    </row>
    <row r="215" spans="1:16" x14ac:dyDescent="0.45">
      <c r="A215" s="12"/>
      <c r="B215" s="4">
        <v>45390</v>
      </c>
      <c r="C215" s="1">
        <f>18+38/60</f>
        <v>18.633333333333333</v>
      </c>
      <c r="D215" s="2">
        <v>780</v>
      </c>
      <c r="E215" s="2">
        <v>1</v>
      </c>
      <c r="F215" s="2">
        <v>13741</v>
      </c>
      <c r="G215" s="2">
        <f t="shared" si="23"/>
        <v>13520.5</v>
      </c>
      <c r="H215" s="2"/>
      <c r="I215" s="1">
        <f t="shared" si="21"/>
        <v>18.508333333333333</v>
      </c>
      <c r="J215" s="2">
        <f t="shared" si="22"/>
        <v>722.75</v>
      </c>
      <c r="K215" s="2"/>
      <c r="L215" s="1">
        <f t="shared" si="24"/>
        <v>16.533333333333331</v>
      </c>
      <c r="M215" s="2">
        <f t="shared" si="25"/>
        <v>762.45</v>
      </c>
      <c r="N215" s="2"/>
      <c r="O215" s="1">
        <f t="shared" si="26"/>
        <v>17.212499999999999</v>
      </c>
      <c r="P215" s="2">
        <f t="shared" si="27"/>
        <v>817.80555555555554</v>
      </c>
    </row>
    <row r="216" spans="1:16" x14ac:dyDescent="0.45">
      <c r="A216" s="12"/>
      <c r="B216" s="4">
        <v>45397</v>
      </c>
      <c r="C216" s="1">
        <f>20+45/60</f>
        <v>20.75</v>
      </c>
      <c r="D216" s="2">
        <v>763</v>
      </c>
      <c r="E216" s="2">
        <v>2</v>
      </c>
      <c r="F216" s="2">
        <v>14871</v>
      </c>
      <c r="G216" s="2">
        <f t="shared" si="23"/>
        <v>15107.75</v>
      </c>
      <c r="H216" s="2"/>
      <c r="I216" s="1">
        <f t="shared" si="21"/>
        <v>20.716666666666669</v>
      </c>
      <c r="J216" s="2">
        <f t="shared" si="22"/>
        <v>804.75</v>
      </c>
      <c r="K216" s="2"/>
      <c r="L216" s="1">
        <f t="shared" si="24"/>
        <v>17.3675</v>
      </c>
      <c r="M216" s="2">
        <f t="shared" si="25"/>
        <v>751</v>
      </c>
      <c r="N216" s="2"/>
      <c r="O216" s="1">
        <f t="shared" si="26"/>
        <v>16.667129629629628</v>
      </c>
      <c r="P216" s="2">
        <f t="shared" si="27"/>
        <v>749.83333333333337</v>
      </c>
    </row>
    <row r="217" spans="1:16" x14ac:dyDescent="0.45">
      <c r="A217" s="12"/>
      <c r="B217" s="4">
        <v>45404</v>
      </c>
      <c r="C217" s="1">
        <f>20+46/60</f>
        <v>20.766666666666666</v>
      </c>
      <c r="D217" s="2">
        <v>760</v>
      </c>
      <c r="E217" s="2">
        <v>2</v>
      </c>
      <c r="F217" s="2">
        <v>14147</v>
      </c>
      <c r="G217" s="2">
        <f t="shared" si="23"/>
        <v>14077</v>
      </c>
      <c r="H217" s="2"/>
      <c r="I217" s="1">
        <f t="shared" si="21"/>
        <v>19.891666666666666</v>
      </c>
      <c r="J217" s="2">
        <f t="shared" si="22"/>
        <v>755.5</v>
      </c>
      <c r="K217" s="2"/>
      <c r="L217" s="1">
        <f t="shared" si="24"/>
        <v>18.444166666666668</v>
      </c>
      <c r="M217" s="2">
        <f t="shared" si="25"/>
        <v>761</v>
      </c>
      <c r="N217" s="2"/>
      <c r="O217" s="1">
        <f t="shared" si="26"/>
        <v>17.387037037037036</v>
      </c>
      <c r="P217" s="2">
        <f t="shared" si="27"/>
        <v>813.25</v>
      </c>
    </row>
    <row r="218" spans="1:16" x14ac:dyDescent="0.45">
      <c r="B218" s="4">
        <v>45411</v>
      </c>
      <c r="C218" s="1">
        <f>15+38/60</f>
        <v>15.633333333333333</v>
      </c>
      <c r="D218" s="2">
        <v>629</v>
      </c>
      <c r="E218" s="2">
        <v>1</v>
      </c>
      <c r="F218" s="2">
        <v>11021</v>
      </c>
      <c r="G218" s="2">
        <f t="shared" si="23"/>
        <v>13445</v>
      </c>
      <c r="H218" s="2"/>
      <c r="I218" s="1">
        <f t="shared" si="21"/>
        <v>18.945833333333333</v>
      </c>
      <c r="J218" s="2">
        <f t="shared" si="22"/>
        <v>733</v>
      </c>
      <c r="K218" s="2"/>
      <c r="L218" s="1">
        <f t="shared" si="24"/>
        <v>18.8825</v>
      </c>
      <c r="M218" s="2">
        <f t="shared" si="25"/>
        <v>743.75</v>
      </c>
      <c r="N218" s="2"/>
      <c r="O218" s="1">
        <f t="shared" si="26"/>
        <v>16.634722222222219</v>
      </c>
      <c r="P218" s="2">
        <f t="shared" si="27"/>
        <v>709.44444444444446</v>
      </c>
    </row>
    <row r="219" spans="1:16" x14ac:dyDescent="0.45">
      <c r="A219" s="12" t="s">
        <v>64</v>
      </c>
      <c r="B219" s="4">
        <v>45418</v>
      </c>
      <c r="C219" s="1">
        <f>9+16/60</f>
        <v>9.2666666666666675</v>
      </c>
      <c r="D219" s="2">
        <v>297</v>
      </c>
      <c r="E219" s="2">
        <v>0</v>
      </c>
      <c r="F219" s="2">
        <v>5162</v>
      </c>
      <c r="G219" s="2">
        <f t="shared" si="23"/>
        <v>11300.25</v>
      </c>
      <c r="H219" s="2"/>
      <c r="I219" s="1">
        <f t="shared" si="21"/>
        <v>16.604166666666668</v>
      </c>
      <c r="J219" s="2">
        <f t="shared" si="22"/>
        <v>612.25</v>
      </c>
      <c r="K219" s="2"/>
      <c r="L219" s="1">
        <f t="shared" si="24"/>
        <v>18.93333333333333</v>
      </c>
      <c r="M219" s="2">
        <f t="shared" si="25"/>
        <v>725.65</v>
      </c>
      <c r="N219" s="2"/>
      <c r="O219" s="1">
        <f t="shared" si="26"/>
        <v>18.31388888888889</v>
      </c>
      <c r="P219" s="2">
        <f t="shared" si="27"/>
        <v>702.22222222222217</v>
      </c>
    </row>
    <row r="220" spans="1:16" x14ac:dyDescent="0.45">
      <c r="B220" s="4">
        <v>45425</v>
      </c>
      <c r="C220" s="1">
        <f>4+15/60</f>
        <v>4.25</v>
      </c>
      <c r="D220" s="2">
        <v>138</v>
      </c>
      <c r="E220" s="2">
        <v>0</v>
      </c>
      <c r="F220" s="2">
        <v>3291</v>
      </c>
      <c r="G220" s="2">
        <f t="shared" si="23"/>
        <v>8405.25</v>
      </c>
      <c r="H220" s="2"/>
      <c r="I220" s="1">
        <f t="shared" si="21"/>
        <v>12.479166666666666</v>
      </c>
      <c r="J220" s="2">
        <f t="shared" si="22"/>
        <v>456</v>
      </c>
      <c r="K220" s="2"/>
      <c r="L220" s="1">
        <f t="shared" si="24"/>
        <v>17.727499999999999</v>
      </c>
      <c r="M220" s="2">
        <f t="shared" si="25"/>
        <v>672.3</v>
      </c>
      <c r="N220" s="2"/>
      <c r="O220" s="1">
        <f t="shared" si="26"/>
        <v>19.354166666666668</v>
      </c>
      <c r="P220" s="2">
        <f t="shared" si="27"/>
        <v>745.63888888888891</v>
      </c>
    </row>
    <row r="221" spans="1:16" x14ac:dyDescent="0.45">
      <c r="B221" s="4">
        <v>45432</v>
      </c>
      <c r="C221" s="1">
        <f>20+21/60</f>
        <v>20.350000000000001</v>
      </c>
      <c r="D221" s="2">
        <v>649</v>
      </c>
      <c r="E221" s="2">
        <v>2</v>
      </c>
      <c r="F221" s="2">
        <v>13748</v>
      </c>
      <c r="G221" s="2">
        <f t="shared" si="23"/>
        <v>8305.5</v>
      </c>
      <c r="H221" s="2"/>
      <c r="I221" s="1">
        <f t="shared" si="21"/>
        <v>12.375</v>
      </c>
      <c r="J221" s="2">
        <f t="shared" si="22"/>
        <v>428.25</v>
      </c>
      <c r="K221" s="2"/>
      <c r="L221" s="1">
        <f t="shared" si="24"/>
        <v>16.059166666666666</v>
      </c>
      <c r="M221" s="2">
        <f t="shared" si="25"/>
        <v>597</v>
      </c>
      <c r="N221" s="2"/>
      <c r="O221" s="1">
        <f t="shared" si="26"/>
        <v>17.591203703703702</v>
      </c>
      <c r="P221" s="2">
        <f t="shared" si="27"/>
        <v>664.5</v>
      </c>
    </row>
    <row r="222" spans="1:16" x14ac:dyDescent="0.45">
      <c r="B222" s="4">
        <v>45439</v>
      </c>
      <c r="C222" s="1">
        <f>22+16/60</f>
        <v>22.266666666666666</v>
      </c>
      <c r="D222" s="2">
        <v>793</v>
      </c>
      <c r="E222" s="2">
        <v>2</v>
      </c>
      <c r="F222" s="2">
        <v>15036</v>
      </c>
      <c r="G222" s="2">
        <f t="shared" si="23"/>
        <v>9309.25</v>
      </c>
      <c r="H222" s="2"/>
      <c r="I222" s="1">
        <f t="shared" si="21"/>
        <v>14.033333333333333</v>
      </c>
      <c r="J222" s="2">
        <f t="shared" si="22"/>
        <v>469.25</v>
      </c>
      <c r="K222" s="2"/>
      <c r="L222" s="1">
        <f t="shared" si="24"/>
        <v>14.887499999999999</v>
      </c>
      <c r="M222" s="2">
        <f t="shared" si="25"/>
        <v>539.75</v>
      </c>
      <c r="N222" s="2"/>
      <c r="O222" s="1">
        <f t="shared" si="26"/>
        <v>16.940740740740736</v>
      </c>
      <c r="P222" s="2">
        <f t="shared" si="27"/>
        <v>638.30555555555554</v>
      </c>
    </row>
    <row r="223" spans="1:16" x14ac:dyDescent="0.45">
      <c r="B223" s="4">
        <v>45446</v>
      </c>
      <c r="C223" s="1">
        <f>23+23/60</f>
        <v>23.383333333333333</v>
      </c>
      <c r="D223" s="2">
        <v>842</v>
      </c>
      <c r="E223" s="2">
        <v>1</v>
      </c>
      <c r="F223" s="2">
        <v>15976</v>
      </c>
      <c r="G223" s="2">
        <f t="shared" si="23"/>
        <v>12012.75</v>
      </c>
      <c r="H223" s="2"/>
      <c r="I223" s="1">
        <f t="shared" si="21"/>
        <v>17.5625</v>
      </c>
      <c r="J223" s="2">
        <f t="shared" si="22"/>
        <v>605.5</v>
      </c>
      <c r="K223" s="2"/>
      <c r="L223" s="1">
        <f t="shared" si="24"/>
        <v>14.610833333333336</v>
      </c>
      <c r="M223" s="2">
        <f t="shared" si="25"/>
        <v>514.25</v>
      </c>
      <c r="N223" s="2"/>
      <c r="O223" s="1">
        <f t="shared" si="26"/>
        <v>16.596296296296298</v>
      </c>
      <c r="P223" s="2">
        <f t="shared" si="27"/>
        <v>600.27777777777783</v>
      </c>
    </row>
    <row r="224" spans="1:16" x14ac:dyDescent="0.45">
      <c r="A224" t="s">
        <v>65</v>
      </c>
      <c r="B224" s="4">
        <v>45453</v>
      </c>
      <c r="C224" s="1">
        <f>20+22/60</f>
        <v>20.366666666666667</v>
      </c>
      <c r="D224" s="2">
        <v>894</v>
      </c>
      <c r="E224" s="2">
        <v>2</v>
      </c>
      <c r="F224" s="2">
        <v>15701</v>
      </c>
      <c r="G224" s="2">
        <f t="shared" si="23"/>
        <v>15115.25</v>
      </c>
      <c r="H224" s="2"/>
      <c r="I224" s="1">
        <f t="shared" si="21"/>
        <v>21.591666666666669</v>
      </c>
      <c r="J224" s="2">
        <f t="shared" si="22"/>
        <v>794.5</v>
      </c>
      <c r="K224" s="2"/>
      <c r="L224" s="1">
        <f t="shared" si="24"/>
        <v>15.608333333333334</v>
      </c>
      <c r="M224" s="2">
        <f t="shared" si="25"/>
        <v>550.70000000000005</v>
      </c>
      <c r="N224" s="2"/>
      <c r="O224" s="1">
        <f t="shared" si="26"/>
        <v>15.770833333333334</v>
      </c>
      <c r="P224" s="2">
        <f t="shared" si="27"/>
        <v>569.66666666666663</v>
      </c>
    </row>
    <row r="225" spans="1:16" x14ac:dyDescent="0.45">
      <c r="B225" s="4">
        <v>45460</v>
      </c>
      <c r="C225" s="1">
        <f>23+39/60</f>
        <v>23.65</v>
      </c>
      <c r="D225" s="2">
        <v>969</v>
      </c>
      <c r="E225" s="2">
        <v>2</v>
      </c>
      <c r="F225" s="2">
        <v>16615</v>
      </c>
      <c r="G225" s="2">
        <f t="shared" si="23"/>
        <v>15832</v>
      </c>
      <c r="H225" s="2"/>
      <c r="I225" s="1">
        <f t="shared" si="21"/>
        <v>22.416666666666664</v>
      </c>
      <c r="J225" s="2">
        <f t="shared" si="22"/>
        <v>874.5</v>
      </c>
      <c r="K225" s="2"/>
      <c r="L225" s="1">
        <f t="shared" si="24"/>
        <v>17.595833333333331</v>
      </c>
      <c r="M225" s="2">
        <f t="shared" si="25"/>
        <v>634.4</v>
      </c>
      <c r="N225" s="2"/>
      <c r="O225" s="1">
        <f t="shared" si="26"/>
        <v>15.021759259259259</v>
      </c>
      <c r="P225" s="2">
        <f t="shared" si="27"/>
        <v>545.52777777777783</v>
      </c>
    </row>
    <row r="226" spans="1:16" x14ac:dyDescent="0.45">
      <c r="B226" s="4">
        <v>45467</v>
      </c>
      <c r="C226" s="1">
        <f>18+49/60</f>
        <v>18.816666666666666</v>
      </c>
      <c r="D226" s="2">
        <v>725</v>
      </c>
      <c r="E226" s="2">
        <v>1</v>
      </c>
      <c r="F226" s="2">
        <v>13347</v>
      </c>
      <c r="G226" s="2">
        <f t="shared" si="23"/>
        <v>15409.75</v>
      </c>
      <c r="H226" s="2"/>
      <c r="I226" s="1">
        <f t="shared" si="21"/>
        <v>21.554166666666667</v>
      </c>
      <c r="J226" s="2">
        <f t="shared" si="22"/>
        <v>857.5</v>
      </c>
      <c r="K226" s="2"/>
      <c r="L226" s="1">
        <f t="shared" si="24"/>
        <v>19.431666666666665</v>
      </c>
      <c r="M226" s="2">
        <f t="shared" si="25"/>
        <v>720.25</v>
      </c>
      <c r="N226" s="2"/>
      <c r="O226" s="1">
        <f t="shared" si="26"/>
        <v>15.501851851851853</v>
      </c>
      <c r="P226" s="2">
        <f t="shared" si="27"/>
        <v>553.16666666666663</v>
      </c>
    </row>
    <row r="227" spans="1:16" x14ac:dyDescent="0.45">
      <c r="B227" s="4">
        <v>45474</v>
      </c>
      <c r="C227" s="1">
        <f>25+43/60</f>
        <v>25.716666666666665</v>
      </c>
      <c r="D227" s="2">
        <v>1082</v>
      </c>
      <c r="E227" s="2">
        <v>2</v>
      </c>
      <c r="F227" s="2">
        <v>17900</v>
      </c>
      <c r="G227" s="2">
        <f t="shared" si="23"/>
        <v>15890.75</v>
      </c>
      <c r="H227" s="2"/>
      <c r="I227" s="1">
        <f t="shared" si="21"/>
        <v>22.137499999999999</v>
      </c>
      <c r="J227" s="2">
        <f t="shared" si="22"/>
        <v>917.5</v>
      </c>
      <c r="K227" s="2"/>
      <c r="L227" s="1">
        <f t="shared" si="24"/>
        <v>21.052499999999998</v>
      </c>
      <c r="M227" s="2">
        <f t="shared" si="25"/>
        <v>809.9</v>
      </c>
      <c r="N227" s="2"/>
      <c r="O227" s="1">
        <f t="shared" si="26"/>
        <v>17.853703703703705</v>
      </c>
      <c r="P227" s="2">
        <f t="shared" si="27"/>
        <v>656.38888888888891</v>
      </c>
    </row>
    <row r="228" spans="1:16" x14ac:dyDescent="0.45">
      <c r="B228" s="4">
        <v>45481</v>
      </c>
      <c r="C228" s="1">
        <f>14+56/60</f>
        <v>14.933333333333334</v>
      </c>
      <c r="D228" s="2">
        <v>519</v>
      </c>
      <c r="E228" s="2">
        <v>2</v>
      </c>
      <c r="F228" s="2">
        <v>9364</v>
      </c>
      <c r="G228" s="2">
        <f t="shared" si="23"/>
        <v>14306.5</v>
      </c>
      <c r="H228" s="2"/>
      <c r="I228" s="1">
        <f t="shared" si="21"/>
        <v>20.779166666666669</v>
      </c>
      <c r="J228" s="2">
        <f t="shared" si="22"/>
        <v>823.75</v>
      </c>
      <c r="K228" s="2"/>
      <c r="L228" s="1">
        <f t="shared" si="24"/>
        <v>21.695833333333333</v>
      </c>
      <c r="M228" s="2">
        <f t="shared" si="25"/>
        <v>853.55</v>
      </c>
      <c r="N228" s="2"/>
      <c r="O228" s="1">
        <f t="shared" si="26"/>
        <v>21.61712962962963</v>
      </c>
      <c r="P228" s="2">
        <f t="shared" si="27"/>
        <v>805.52777777777783</v>
      </c>
    </row>
    <row r="229" spans="1:16" x14ac:dyDescent="0.45">
      <c r="A229" t="s">
        <v>66</v>
      </c>
      <c r="B229" s="4">
        <v>45488</v>
      </c>
      <c r="C229" s="1">
        <f>19+53/60</f>
        <v>19.883333333333333</v>
      </c>
      <c r="D229" s="2">
        <v>838</v>
      </c>
      <c r="E229" s="2">
        <v>2</v>
      </c>
      <c r="F229" s="2">
        <v>12813</v>
      </c>
      <c r="G229" s="2">
        <f t="shared" si="23"/>
        <v>13356</v>
      </c>
      <c r="H229" s="2"/>
      <c r="I229" s="1">
        <f t="shared" si="21"/>
        <v>19.837499999999999</v>
      </c>
      <c r="J229" s="2">
        <f t="shared" si="22"/>
        <v>791</v>
      </c>
      <c r="K229" s="2"/>
      <c r="L229" s="1">
        <f t="shared" si="24"/>
        <v>21.344999999999999</v>
      </c>
      <c r="M229" s="2">
        <f t="shared" si="25"/>
        <v>852.85</v>
      </c>
      <c r="N229" s="2"/>
      <c r="O229" s="1">
        <f t="shared" si="26"/>
        <v>21.789814814814815</v>
      </c>
      <c r="P229" s="2">
        <f t="shared" si="27"/>
        <v>846.36111111111109</v>
      </c>
    </row>
    <row r="230" spans="1:16" x14ac:dyDescent="0.45">
      <c r="B230" s="4">
        <v>45495</v>
      </c>
      <c r="C230" s="1">
        <f>16+35/60</f>
        <v>16.583333333333332</v>
      </c>
      <c r="D230" s="2">
        <v>613</v>
      </c>
      <c r="E230" s="2">
        <v>1</v>
      </c>
      <c r="F230" s="2">
        <v>10533</v>
      </c>
      <c r="G230" s="2">
        <f t="shared" si="23"/>
        <v>12652.5</v>
      </c>
      <c r="H230" s="2"/>
      <c r="I230" s="1">
        <f t="shared" si="21"/>
        <v>19.279166666666665</v>
      </c>
      <c r="J230" s="2">
        <f t="shared" si="22"/>
        <v>763</v>
      </c>
      <c r="K230" s="2"/>
      <c r="L230" s="1">
        <f t="shared" si="24"/>
        <v>20.717499999999998</v>
      </c>
      <c r="M230" s="2">
        <f t="shared" si="25"/>
        <v>830.55</v>
      </c>
      <c r="N230" s="2"/>
      <c r="O230" s="1">
        <f t="shared" si="26"/>
        <v>21.3787037037037</v>
      </c>
      <c r="P230" s="2">
        <f t="shared" si="27"/>
        <v>850.19444444444446</v>
      </c>
    </row>
    <row r="231" spans="1:16" x14ac:dyDescent="0.45">
      <c r="B231" s="4">
        <v>45502</v>
      </c>
      <c r="C231" s="1">
        <f>17+36/60</f>
        <v>17.600000000000001</v>
      </c>
      <c r="D231" s="2">
        <v>647</v>
      </c>
      <c r="E231" s="2">
        <v>1</v>
      </c>
      <c r="F231" s="2">
        <v>10368</v>
      </c>
      <c r="G231" s="2">
        <f t="shared" si="23"/>
        <v>10769.5</v>
      </c>
      <c r="H231" s="2"/>
      <c r="I231" s="1">
        <f t="shared" si="21"/>
        <v>17.25</v>
      </c>
      <c r="J231" s="2">
        <f t="shared" si="22"/>
        <v>654.25</v>
      </c>
      <c r="K231" s="2"/>
      <c r="L231" s="1">
        <f t="shared" si="24"/>
        <v>19.856666666666666</v>
      </c>
      <c r="M231" s="2">
        <f t="shared" si="25"/>
        <v>789.9</v>
      </c>
      <c r="N231" s="2"/>
      <c r="O231" s="1">
        <f t="shared" si="26"/>
        <v>20.558796296296293</v>
      </c>
      <c r="P231" s="2">
        <f t="shared" si="27"/>
        <v>837.72222222222217</v>
      </c>
    </row>
    <row r="232" spans="1:16" x14ac:dyDescent="0.45">
      <c r="A232" t="s">
        <v>67</v>
      </c>
      <c r="B232" s="4">
        <v>45509</v>
      </c>
      <c r="C232" s="1">
        <f>14+12/60</f>
        <v>14.2</v>
      </c>
      <c r="D232" s="2">
        <v>534</v>
      </c>
      <c r="E232" s="2">
        <v>0</v>
      </c>
      <c r="F232" s="2">
        <v>8454</v>
      </c>
      <c r="G232" s="2">
        <f t="shared" si="23"/>
        <v>10542</v>
      </c>
      <c r="H232" s="2"/>
      <c r="I232" s="1">
        <f t="shared" si="21"/>
        <v>17.066666666666666</v>
      </c>
      <c r="J232" s="2">
        <f t="shared" si="22"/>
        <v>658</v>
      </c>
      <c r="K232" s="2"/>
      <c r="L232" s="1">
        <f t="shared" si="24"/>
        <v>18.842500000000001</v>
      </c>
      <c r="M232" s="2">
        <f t="shared" si="25"/>
        <v>738</v>
      </c>
      <c r="N232" s="2"/>
      <c r="O232" s="1">
        <f t="shared" si="26"/>
        <v>20.23796296296296</v>
      </c>
      <c r="P232" s="2">
        <f t="shared" si="27"/>
        <v>803.69444444444446</v>
      </c>
    </row>
    <row r="233" spans="1:16" x14ac:dyDescent="0.45">
      <c r="B233" s="4">
        <v>45516</v>
      </c>
      <c r="C233" s="1">
        <f>7+55/60</f>
        <v>7.916666666666667</v>
      </c>
      <c r="D233" s="2">
        <v>245</v>
      </c>
      <c r="E233" s="2">
        <v>0</v>
      </c>
      <c r="F233" s="2">
        <v>5166</v>
      </c>
      <c r="G233" s="2">
        <f t="shared" si="23"/>
        <v>8630.25</v>
      </c>
      <c r="H233" s="2"/>
      <c r="I233" s="1">
        <f t="shared" si="21"/>
        <v>14.075000000000001</v>
      </c>
      <c r="J233" s="2">
        <f t="shared" si="22"/>
        <v>509.75</v>
      </c>
      <c r="K233" s="2"/>
      <c r="L233" s="1">
        <f t="shared" si="24"/>
        <v>17.501666666666665</v>
      </c>
      <c r="M233" s="2">
        <f t="shared" si="25"/>
        <v>675.2</v>
      </c>
      <c r="N233" s="2"/>
      <c r="O233" s="1">
        <f t="shared" si="26"/>
        <v>18.750462962962963</v>
      </c>
      <c r="P233" s="2">
        <f t="shared" si="27"/>
        <v>732.88888888888891</v>
      </c>
    </row>
    <row r="234" spans="1:16" x14ac:dyDescent="0.45">
      <c r="B234" s="4">
        <v>45523</v>
      </c>
      <c r="C234" s="1">
        <f>18+50/60</f>
        <v>18.833333333333332</v>
      </c>
      <c r="D234" s="2">
        <v>687</v>
      </c>
      <c r="E234" s="2">
        <v>0</v>
      </c>
      <c r="F234" s="2">
        <v>12965</v>
      </c>
      <c r="G234" s="2">
        <f t="shared" si="23"/>
        <v>9238.25</v>
      </c>
      <c r="H234" s="2"/>
      <c r="I234" s="1">
        <f t="shared" si="21"/>
        <v>14.637499999999999</v>
      </c>
      <c r="J234" s="2">
        <f t="shared" si="22"/>
        <v>528.25</v>
      </c>
      <c r="K234" s="2"/>
      <c r="L234" s="1">
        <f t="shared" si="24"/>
        <v>16.461666666666666</v>
      </c>
      <c r="M234" s="2">
        <f t="shared" si="25"/>
        <v>622.65</v>
      </c>
      <c r="N234" s="2"/>
      <c r="O234" s="1">
        <f t="shared" si="26"/>
        <v>18.337499999999999</v>
      </c>
      <c r="P234" s="2">
        <f t="shared" si="27"/>
        <v>715.25</v>
      </c>
    </row>
    <row r="235" spans="1:16" x14ac:dyDescent="0.45">
      <c r="A235" t="s">
        <v>68</v>
      </c>
      <c r="B235" s="4">
        <v>45530</v>
      </c>
      <c r="C235" s="1">
        <f>19+38/60</f>
        <v>19.633333333333333</v>
      </c>
      <c r="D235" s="2">
        <v>994</v>
      </c>
      <c r="E235" s="2">
        <v>0</v>
      </c>
      <c r="F235" s="2">
        <v>15129</v>
      </c>
      <c r="G235" s="2">
        <f t="shared" si="23"/>
        <v>10428.5</v>
      </c>
      <c r="H235" s="2"/>
      <c r="I235" s="1">
        <f t="shared" si="21"/>
        <v>15.145833333333334</v>
      </c>
      <c r="J235" s="2">
        <f t="shared" si="22"/>
        <v>615</v>
      </c>
      <c r="K235" s="2"/>
      <c r="L235" s="1">
        <f t="shared" si="24"/>
        <v>15.635000000000002</v>
      </c>
      <c r="M235" s="2">
        <f t="shared" si="25"/>
        <v>593.04999999999995</v>
      </c>
      <c r="N235" s="2"/>
      <c r="O235" s="1">
        <f t="shared" si="26"/>
        <v>16.222222222222221</v>
      </c>
      <c r="P235" s="2">
        <f t="shared" si="27"/>
        <v>615.83333333333337</v>
      </c>
    </row>
    <row r="236" spans="1:16" x14ac:dyDescent="0.45">
      <c r="B236" s="4">
        <v>45537</v>
      </c>
      <c r="C236" s="1">
        <f>18+31/60</f>
        <v>18.516666666666666</v>
      </c>
      <c r="D236" s="2">
        <v>743</v>
      </c>
      <c r="E236" s="2">
        <v>0</v>
      </c>
      <c r="F236" s="2">
        <v>12206</v>
      </c>
      <c r="G236" s="2">
        <f t="shared" si="23"/>
        <v>11366.5</v>
      </c>
      <c r="H236" s="2"/>
      <c r="I236" s="1">
        <f t="shared" si="21"/>
        <v>16.225000000000001</v>
      </c>
      <c r="J236" s="2">
        <f t="shared" si="22"/>
        <v>667.25</v>
      </c>
      <c r="K236" s="2"/>
      <c r="L236" s="1">
        <f t="shared" si="24"/>
        <v>15.429999999999998</v>
      </c>
      <c r="M236" s="2">
        <f t="shared" si="25"/>
        <v>595.65</v>
      </c>
      <c r="N236" s="2"/>
      <c r="O236" s="1">
        <f t="shared" si="26"/>
        <v>16.602777777777778</v>
      </c>
      <c r="P236" s="2">
        <f t="shared" si="27"/>
        <v>647.75</v>
      </c>
    </row>
    <row r="237" spans="1:16" x14ac:dyDescent="0.45">
      <c r="A237" t="s">
        <v>69</v>
      </c>
      <c r="B237" s="4">
        <v>45544</v>
      </c>
      <c r="C237" s="1">
        <f>17+28/60</f>
        <v>17.466666666666665</v>
      </c>
      <c r="D237" s="2">
        <v>655</v>
      </c>
      <c r="E237" s="2">
        <v>1</v>
      </c>
      <c r="F237" s="2">
        <v>12363</v>
      </c>
      <c r="G237" s="2">
        <f t="shared" si="23"/>
        <v>13165.75</v>
      </c>
      <c r="H237" s="2"/>
      <c r="I237" s="1">
        <f t="shared" si="21"/>
        <v>18.612500000000001</v>
      </c>
      <c r="J237" s="2">
        <f t="shared" si="22"/>
        <v>769.75</v>
      </c>
      <c r="K237" s="2"/>
      <c r="L237" s="1">
        <f t="shared" si="24"/>
        <v>15.739166666666662</v>
      </c>
      <c r="M237" s="2">
        <f t="shared" si="25"/>
        <v>618</v>
      </c>
      <c r="N237" s="2"/>
      <c r="O237" s="1">
        <f t="shared" si="26"/>
        <v>15.816203703703703</v>
      </c>
      <c r="P237" s="2">
        <f t="shared" si="27"/>
        <v>603.69444444444446</v>
      </c>
    </row>
    <row r="238" spans="1:16" x14ac:dyDescent="0.45">
      <c r="B238" s="4">
        <v>45551</v>
      </c>
      <c r="C238" s="1">
        <f>17+16/60</f>
        <v>17.266666666666666</v>
      </c>
      <c r="D238" s="2">
        <v>734</v>
      </c>
      <c r="E238" s="2">
        <v>0</v>
      </c>
      <c r="F238" s="2">
        <v>12801</v>
      </c>
      <c r="G238" s="2">
        <f t="shared" si="23"/>
        <v>13124.75</v>
      </c>
      <c r="H238" s="2"/>
      <c r="I238" s="1">
        <f t="shared" si="21"/>
        <v>18.220833333333331</v>
      </c>
      <c r="J238" s="2">
        <f t="shared" si="22"/>
        <v>781.5</v>
      </c>
      <c r="K238" s="2"/>
      <c r="L238" s="1">
        <f t="shared" si="24"/>
        <v>16.568333333333332</v>
      </c>
      <c r="M238" s="2">
        <f t="shared" si="25"/>
        <v>672.35</v>
      </c>
      <c r="N238" s="2"/>
      <c r="O238" s="1">
        <f t="shared" si="26"/>
        <v>15.781944444444443</v>
      </c>
      <c r="P238" s="2">
        <f t="shared" si="27"/>
        <v>613</v>
      </c>
    </row>
    <row r="239" spans="1:16" x14ac:dyDescent="0.45">
      <c r="B239" s="4">
        <v>45558</v>
      </c>
      <c r="C239" s="1">
        <f>15+19/60</f>
        <v>15.316666666666666</v>
      </c>
      <c r="D239" s="2">
        <v>567</v>
      </c>
      <c r="E239" s="2">
        <v>0</v>
      </c>
      <c r="F239" s="2">
        <v>11036</v>
      </c>
      <c r="G239" s="2">
        <f t="shared" si="23"/>
        <v>12101.5</v>
      </c>
      <c r="H239" s="2"/>
      <c r="I239" s="1">
        <f t="shared" si="21"/>
        <v>17.141666666666666</v>
      </c>
      <c r="J239" s="2">
        <f t="shared" si="22"/>
        <v>674.75</v>
      </c>
      <c r="K239" s="2"/>
      <c r="L239" s="1">
        <f t="shared" si="24"/>
        <v>17.069166666666664</v>
      </c>
      <c r="M239" s="2">
        <f t="shared" si="25"/>
        <v>701.65</v>
      </c>
      <c r="N239" s="2"/>
      <c r="O239" s="1">
        <f t="shared" si="26"/>
        <v>15.458333333333334</v>
      </c>
      <c r="P239" s="2">
        <f t="shared" si="27"/>
        <v>612.52777777777783</v>
      </c>
    </row>
    <row r="240" spans="1:16" x14ac:dyDescent="0.45">
      <c r="A240" t="s">
        <v>54</v>
      </c>
      <c r="B240" s="4">
        <v>45565</v>
      </c>
      <c r="C240" s="1">
        <f>19+54/60</f>
        <v>19.899999999999999</v>
      </c>
      <c r="D240" s="2">
        <v>1100</v>
      </c>
      <c r="E240" s="2">
        <v>0</v>
      </c>
      <c r="F240" s="2">
        <v>14802</v>
      </c>
      <c r="G240" s="2">
        <f t="shared" si="23"/>
        <v>12750.5</v>
      </c>
      <c r="H240" s="2"/>
      <c r="I240" s="1">
        <f t="shared" si="21"/>
        <v>17.487499999999997</v>
      </c>
      <c r="J240" s="2">
        <f t="shared" si="22"/>
        <v>764</v>
      </c>
      <c r="K240" s="2"/>
      <c r="L240" s="1">
        <f t="shared" si="24"/>
        <v>17.537499999999998</v>
      </c>
      <c r="M240" s="2">
        <f t="shared" si="25"/>
        <v>731.45</v>
      </c>
      <c r="N240" s="2"/>
      <c r="O240" s="1">
        <f t="shared" si="26"/>
        <v>16.048611111111111</v>
      </c>
      <c r="P240" s="2">
        <f t="shared" si="27"/>
        <v>652.88888888888891</v>
      </c>
    </row>
    <row r="241" spans="1:18" x14ac:dyDescent="0.45">
      <c r="B241" s="4">
        <v>45572</v>
      </c>
      <c r="C241" s="1">
        <f>1+43/60</f>
        <v>1.7166666666666668</v>
      </c>
      <c r="D241" s="2">
        <v>44</v>
      </c>
      <c r="E241" s="2">
        <v>0</v>
      </c>
      <c r="F241" s="2">
        <v>1012</v>
      </c>
      <c r="G241" s="2">
        <f t="shared" si="23"/>
        <v>9912.75</v>
      </c>
      <c r="H241" s="2"/>
      <c r="I241" s="1">
        <f t="shared" si="21"/>
        <v>13.549999999999999</v>
      </c>
      <c r="J241" s="2">
        <f t="shared" si="22"/>
        <v>611.25</v>
      </c>
      <c r="K241" s="2"/>
      <c r="L241" s="1">
        <f t="shared" si="24"/>
        <v>17.002499999999998</v>
      </c>
      <c r="M241" s="2">
        <f t="shared" si="25"/>
        <v>720.25</v>
      </c>
      <c r="N241" s="2"/>
      <c r="O241" s="1">
        <f t="shared" si="26"/>
        <v>17.862962962962964</v>
      </c>
      <c r="P241" s="2">
        <f t="shared" si="27"/>
        <v>751.88888888888891</v>
      </c>
    </row>
    <row r="242" spans="1:18" x14ac:dyDescent="0.45">
      <c r="A242" t="s">
        <v>70</v>
      </c>
      <c r="B242" s="4">
        <v>45579</v>
      </c>
      <c r="C242" s="1">
        <f>1+49/60</f>
        <v>1.8166666666666667</v>
      </c>
      <c r="D242" s="2">
        <v>28</v>
      </c>
      <c r="E242" s="2">
        <v>0</v>
      </c>
      <c r="F242" s="2">
        <v>869</v>
      </c>
      <c r="G242" s="2">
        <f t="shared" si="23"/>
        <v>6929.75</v>
      </c>
      <c r="H242" s="2"/>
      <c r="I242" s="1">
        <f t="shared" si="21"/>
        <v>9.6875000000000018</v>
      </c>
      <c r="J242" s="2">
        <f t="shared" si="22"/>
        <v>434.75</v>
      </c>
      <c r="K242" s="2"/>
      <c r="L242" s="1">
        <f t="shared" si="24"/>
        <v>15.217499999999998</v>
      </c>
      <c r="M242" s="2">
        <f t="shared" si="25"/>
        <v>653.25</v>
      </c>
      <c r="N242" s="2"/>
      <c r="O242" s="1">
        <f t="shared" si="26"/>
        <v>16.778703703703702</v>
      </c>
      <c r="P242" s="2">
        <f t="shared" si="27"/>
        <v>734.36111111111109</v>
      </c>
    </row>
    <row r="243" spans="1:18" x14ac:dyDescent="0.45">
      <c r="A243" t="s">
        <v>71</v>
      </c>
      <c r="B243" s="4">
        <v>45586</v>
      </c>
      <c r="C243" s="1">
        <v>0</v>
      </c>
      <c r="D243" s="2">
        <v>0</v>
      </c>
      <c r="E243" s="2">
        <v>0</v>
      </c>
      <c r="F243" s="2">
        <v>0</v>
      </c>
      <c r="G243" s="2">
        <f t="shared" si="23"/>
        <v>4170.75</v>
      </c>
      <c r="H243" s="2"/>
      <c r="I243" s="1">
        <f t="shared" si="21"/>
        <v>5.8583333333333334</v>
      </c>
      <c r="J243" s="2">
        <f t="shared" si="22"/>
        <v>293</v>
      </c>
      <c r="K243" s="2"/>
      <c r="L243" s="1">
        <f t="shared" si="24"/>
        <v>12.744999999999999</v>
      </c>
      <c r="M243" s="2">
        <f t="shared" si="25"/>
        <v>555.54999999999995</v>
      </c>
      <c r="N243" s="2"/>
      <c r="O243" s="1">
        <f t="shared" si="26"/>
        <v>14.971296296296295</v>
      </c>
      <c r="P243" s="2">
        <f t="shared" si="27"/>
        <v>621</v>
      </c>
    </row>
    <row r="244" spans="1:18" x14ac:dyDescent="0.45">
      <c r="B244" s="4">
        <v>45593</v>
      </c>
      <c r="C244" s="1">
        <f>15+28/60</f>
        <v>15.466666666666667</v>
      </c>
      <c r="D244" s="2">
        <v>637</v>
      </c>
      <c r="E244" s="2">
        <v>1</v>
      </c>
      <c r="F244" s="2">
        <v>11699</v>
      </c>
      <c r="G244" s="2">
        <f t="shared" si="23"/>
        <v>3395</v>
      </c>
      <c r="H244" s="2"/>
      <c r="I244" s="1">
        <f t="shared" si="21"/>
        <v>4.75</v>
      </c>
      <c r="J244" s="2">
        <f t="shared" si="22"/>
        <v>177.25</v>
      </c>
      <c r="K244" s="2"/>
      <c r="L244" s="1">
        <f t="shared" si="24"/>
        <v>10.266666666666667</v>
      </c>
      <c r="M244" s="2">
        <f t="shared" si="25"/>
        <v>456.05</v>
      </c>
      <c r="N244" s="2"/>
      <c r="O244" s="1">
        <f t="shared" si="26"/>
        <v>13.327314814814814</v>
      </c>
      <c r="P244" s="2">
        <f t="shared" si="27"/>
        <v>560.47222222222217</v>
      </c>
    </row>
    <row r="245" spans="1:18" x14ac:dyDescent="0.45">
      <c r="B245" s="4">
        <v>45600</v>
      </c>
      <c r="C245" s="1">
        <f>20+49/60</f>
        <v>20.816666666666666</v>
      </c>
      <c r="D245" s="2">
        <v>878</v>
      </c>
      <c r="E245" s="2">
        <v>1</v>
      </c>
      <c r="F245" s="2">
        <v>15759</v>
      </c>
      <c r="G245" s="2">
        <f t="shared" si="23"/>
        <v>7081.75</v>
      </c>
      <c r="H245" s="2"/>
      <c r="I245" s="1">
        <f t="shared" ref="I245:I247" si="28">AVERAGE(C242:C245)</f>
        <v>9.5250000000000004</v>
      </c>
      <c r="J245" s="2">
        <f t="shared" ref="J245:J247" si="29">AVERAGE(D242:D245)</f>
        <v>385.75</v>
      </c>
      <c r="K245" s="2"/>
      <c r="L245" s="1">
        <f t="shared" si="24"/>
        <v>8.6741666666666664</v>
      </c>
      <c r="M245" s="2">
        <f t="shared" si="25"/>
        <v>380.4</v>
      </c>
      <c r="N245" s="2"/>
      <c r="O245" s="1">
        <f t="shared" si="26"/>
        <v>12.009722222222223</v>
      </c>
      <c r="P245" s="2">
        <f t="shared" si="27"/>
        <v>525.69444444444446</v>
      </c>
    </row>
    <row r="246" spans="1:18" x14ac:dyDescent="0.45">
      <c r="B246" s="4">
        <v>45607</v>
      </c>
      <c r="C246" s="1">
        <f>21+33/60</f>
        <v>21.55</v>
      </c>
      <c r="D246" s="2">
        <v>891</v>
      </c>
      <c r="E246" s="2">
        <v>1</v>
      </c>
      <c r="F246" s="2">
        <v>17678</v>
      </c>
      <c r="G246" s="2">
        <f t="shared" si="23"/>
        <v>11284</v>
      </c>
      <c r="H246" s="2"/>
      <c r="I246" s="1">
        <f t="shared" si="28"/>
        <v>14.458333333333332</v>
      </c>
      <c r="J246" s="2">
        <f t="shared" si="29"/>
        <v>601.5</v>
      </c>
      <c r="K246" s="2"/>
      <c r="L246" s="1">
        <f t="shared" si="24"/>
        <v>8.855833333333333</v>
      </c>
      <c r="M246" s="2">
        <f t="shared" si="25"/>
        <v>378.45</v>
      </c>
      <c r="N246" s="2"/>
      <c r="O246" s="1">
        <f t="shared" si="26"/>
        <v>10.855555555555554</v>
      </c>
      <c r="P246" s="2">
        <f t="shared" si="27"/>
        <v>477.72222222222223</v>
      </c>
    </row>
    <row r="247" spans="1:18" x14ac:dyDescent="0.45">
      <c r="B247" s="4">
        <v>45614</v>
      </c>
      <c r="C247">
        <f>19+21/60</f>
        <v>19.350000000000001</v>
      </c>
      <c r="D247" s="2">
        <v>760</v>
      </c>
      <c r="E247" s="2">
        <v>0</v>
      </c>
      <c r="F247" s="2">
        <v>15166</v>
      </c>
      <c r="G247" s="2">
        <f t="shared" si="23"/>
        <v>15075.5</v>
      </c>
      <c r="H247" s="2"/>
      <c r="I247" s="1">
        <f t="shared" si="28"/>
        <v>19.295833333333334</v>
      </c>
      <c r="J247" s="2">
        <f t="shared" si="29"/>
        <v>791.5</v>
      </c>
      <c r="K247" s="2"/>
      <c r="L247" s="1">
        <f t="shared" ref="L247:L272" si="30">((C240)+(2*C241)+(3*C242)+(4*C243)+(4*C244)+(3*C245)+(2*C246)+(C247))/20</f>
        <v>10.7775</v>
      </c>
      <c r="M247" s="2">
        <f t="shared" ref="M247:M272" si="31">((D240)+(2*D241)+(3*D242)+(4*D243)+(4*D244)+(3*D245)+(2*D246)+(D247))/20</f>
        <v>449.8</v>
      </c>
      <c r="N247" s="2"/>
      <c r="O247" s="1">
        <f t="shared" ref="O247:O272" si="32">((C247)+(C246*2)+(C245*3)+(C244*4)+(C243*5)+(C242*6)+(C241*7)+(C240*8))/36</f>
        <v>10.246759259259258</v>
      </c>
      <c r="P247" s="2">
        <f t="shared" ref="P247:P272" si="33">((D247)+(D246*2)+(D245*3)+(D244*4)+(D243*5)+(D242*6)+(D241*7)+(D240*8))/36</f>
        <v>472.22222222222223</v>
      </c>
    </row>
    <row r="248" spans="1:18" x14ac:dyDescent="0.45">
      <c r="B248" s="4">
        <v>45621</v>
      </c>
      <c r="C248" s="1">
        <f>24+32/60</f>
        <v>24.533333333333335</v>
      </c>
      <c r="D248" s="2">
        <v>1041</v>
      </c>
      <c r="E248" s="2">
        <v>2</v>
      </c>
      <c r="F248" s="2">
        <v>19747</v>
      </c>
      <c r="G248" s="2">
        <f t="shared" si="23"/>
        <v>17087.5</v>
      </c>
      <c r="H248" s="2"/>
      <c r="I248" s="1">
        <f t="shared" ref="I248:I272" si="34">AVERAGE(C245:C248)</f>
        <v>21.5625</v>
      </c>
      <c r="J248" s="2">
        <f t="shared" ref="J248:J272" si="35">AVERAGE(D245:D248)</f>
        <v>892.5</v>
      </c>
      <c r="K248" s="2"/>
      <c r="L248" s="1">
        <f t="shared" si="30"/>
        <v>13.918333333333337</v>
      </c>
      <c r="M248" s="2">
        <f t="shared" si="31"/>
        <v>569.70000000000005</v>
      </c>
      <c r="N248" s="2"/>
      <c r="O248" s="1">
        <f t="shared" si="32"/>
        <v>8.7481481481481485</v>
      </c>
      <c r="P248" s="2">
        <f t="shared" si="33"/>
        <v>346.63888888888891</v>
      </c>
    </row>
    <row r="249" spans="1:18" x14ac:dyDescent="0.45">
      <c r="B249" s="4">
        <v>45628</v>
      </c>
      <c r="C249" s="1">
        <f>17+32/60</f>
        <v>17.533333333333335</v>
      </c>
      <c r="D249" s="2">
        <v>829</v>
      </c>
      <c r="E249" s="2">
        <v>2</v>
      </c>
      <c r="F249" s="2">
        <v>14105</v>
      </c>
      <c r="G249" s="2">
        <f t="shared" si="23"/>
        <v>16674</v>
      </c>
      <c r="H249" s="2"/>
      <c r="I249" s="1">
        <f t="shared" si="34"/>
        <v>20.741666666666667</v>
      </c>
      <c r="J249" s="2">
        <f t="shared" si="35"/>
        <v>880.25</v>
      </c>
      <c r="K249" s="2"/>
      <c r="L249" s="1">
        <f t="shared" si="30"/>
        <v>17.116666666666667</v>
      </c>
      <c r="M249" s="2">
        <f t="shared" si="31"/>
        <v>710.3</v>
      </c>
      <c r="N249" s="2"/>
      <c r="O249" s="1">
        <f t="shared" si="32"/>
        <v>11.729629629629631</v>
      </c>
      <c r="P249" s="2">
        <f t="shared" si="33"/>
        <v>477.52777777777777</v>
      </c>
    </row>
    <row r="250" spans="1:18" x14ac:dyDescent="0.45">
      <c r="B250" s="4">
        <v>45635</v>
      </c>
      <c r="C250" s="1">
        <f>19+39/60</f>
        <v>19.649999999999999</v>
      </c>
      <c r="D250" s="2">
        <v>875</v>
      </c>
      <c r="E250" s="2">
        <v>0</v>
      </c>
      <c r="F250" s="2">
        <v>15484</v>
      </c>
      <c r="G250" s="2">
        <f t="shared" si="23"/>
        <v>16125.5</v>
      </c>
      <c r="H250" s="2"/>
      <c r="I250" s="1">
        <f t="shared" si="34"/>
        <v>20.266666666666666</v>
      </c>
      <c r="J250" s="2">
        <f t="shared" si="35"/>
        <v>876.25</v>
      </c>
      <c r="K250" s="2"/>
      <c r="L250" s="1">
        <f t="shared" si="30"/>
        <v>19.265000000000001</v>
      </c>
      <c r="M250" s="2">
        <f t="shared" si="31"/>
        <v>808.4</v>
      </c>
      <c r="N250" s="2"/>
      <c r="O250" s="1">
        <f t="shared" si="32"/>
        <v>15.184259259259258</v>
      </c>
      <c r="P250" s="2">
        <f t="shared" si="33"/>
        <v>635.5</v>
      </c>
    </row>
    <row r="251" spans="1:18" x14ac:dyDescent="0.45">
      <c r="B251" s="4">
        <v>45642</v>
      </c>
      <c r="C251" s="1">
        <f>14+7/60</f>
        <v>14.116666666666667</v>
      </c>
      <c r="D251" s="2">
        <v>583</v>
      </c>
      <c r="E251" s="2">
        <v>0</v>
      </c>
      <c r="F251" s="2">
        <v>10778</v>
      </c>
      <c r="G251" s="2">
        <f t="shared" si="23"/>
        <v>15028.5</v>
      </c>
      <c r="H251" s="2"/>
      <c r="I251" s="1">
        <f t="shared" si="34"/>
        <v>18.958333333333336</v>
      </c>
      <c r="J251" s="2">
        <f t="shared" si="35"/>
        <v>832</v>
      </c>
      <c r="K251" s="2"/>
      <c r="L251" s="1">
        <f t="shared" si="30"/>
        <v>20.165000000000003</v>
      </c>
      <c r="M251" s="2">
        <f t="shared" si="31"/>
        <v>854.5</v>
      </c>
      <c r="N251" s="2"/>
      <c r="O251" s="1">
        <f t="shared" si="32"/>
        <v>19.434722222222224</v>
      </c>
      <c r="P251" s="2">
        <f t="shared" si="33"/>
        <v>815.88888888888891</v>
      </c>
    </row>
    <row r="252" spans="1:18" x14ac:dyDescent="0.45">
      <c r="B252" s="4">
        <v>45649</v>
      </c>
      <c r="C252" s="1">
        <f>20+13/60</f>
        <v>20.216666666666665</v>
      </c>
      <c r="D252" s="2">
        <v>949</v>
      </c>
      <c r="E252" s="2">
        <v>2</v>
      </c>
      <c r="F252" s="2">
        <v>16082</v>
      </c>
      <c r="G252" s="2">
        <f t="shared" si="23"/>
        <v>14112.25</v>
      </c>
      <c r="H252" s="2"/>
      <c r="I252" s="1">
        <f t="shared" si="34"/>
        <v>17.879166666666666</v>
      </c>
      <c r="J252" s="2">
        <f t="shared" si="35"/>
        <v>809</v>
      </c>
      <c r="K252" s="2"/>
      <c r="L252" s="1">
        <f t="shared" si="30"/>
        <v>19.881666666666668</v>
      </c>
      <c r="M252" s="2">
        <f t="shared" si="31"/>
        <v>858</v>
      </c>
      <c r="N252" s="2"/>
      <c r="O252" s="1">
        <f t="shared" si="32"/>
        <v>20.380092592592593</v>
      </c>
      <c r="P252" s="2">
        <f t="shared" si="33"/>
        <v>863.38888888888891</v>
      </c>
    </row>
    <row r="253" spans="1:18" x14ac:dyDescent="0.45">
      <c r="B253" s="4">
        <v>45656</v>
      </c>
      <c r="C253" s="1">
        <f>17+13/60</f>
        <v>17.216666666666665</v>
      </c>
      <c r="D253" s="2">
        <v>774</v>
      </c>
      <c r="E253" s="2">
        <v>2</v>
      </c>
      <c r="F253" s="2">
        <v>13569</v>
      </c>
      <c r="G253" s="2">
        <f t="shared" si="23"/>
        <v>13978.25</v>
      </c>
      <c r="H253" s="2"/>
      <c r="I253" s="1">
        <f t="shared" si="34"/>
        <v>17.8</v>
      </c>
      <c r="J253" s="2">
        <f t="shared" si="35"/>
        <v>795.25</v>
      </c>
      <c r="K253" s="2"/>
      <c r="L253" s="1">
        <f t="shared" si="30"/>
        <v>19.12916666666667</v>
      </c>
      <c r="M253" s="2">
        <f t="shared" si="31"/>
        <v>838.55</v>
      </c>
      <c r="N253" s="2"/>
      <c r="O253" s="1">
        <f t="shared" si="32"/>
        <v>20.036574074074075</v>
      </c>
      <c r="P253" s="2">
        <f t="shared" si="33"/>
        <v>854.44444444444446</v>
      </c>
    </row>
    <row r="254" spans="1:18" x14ac:dyDescent="0.45">
      <c r="B254" s="4">
        <v>45663</v>
      </c>
      <c r="C254" s="1">
        <f>18+33/60</f>
        <v>18.55</v>
      </c>
      <c r="D254" s="2">
        <v>785</v>
      </c>
      <c r="E254" s="2">
        <v>1</v>
      </c>
      <c r="F254" s="2">
        <v>14193</v>
      </c>
      <c r="G254" s="2">
        <f t="shared" si="23"/>
        <v>13655.5</v>
      </c>
      <c r="H254" s="2"/>
      <c r="I254" s="1">
        <f t="shared" si="34"/>
        <v>17.524999999999999</v>
      </c>
      <c r="J254" s="2">
        <f t="shared" si="35"/>
        <v>772.75</v>
      </c>
      <c r="K254" s="2"/>
      <c r="L254" s="1">
        <f t="shared" si="30"/>
        <v>18.485833333333336</v>
      </c>
      <c r="M254" s="2">
        <f t="shared" si="31"/>
        <v>817.05</v>
      </c>
      <c r="N254" s="2"/>
      <c r="O254" s="1">
        <f t="shared" si="32"/>
        <v>19.446759259259263</v>
      </c>
      <c r="P254" s="2">
        <f t="shared" si="33"/>
        <v>839.66666666666663</v>
      </c>
      <c r="Q254" s="2"/>
      <c r="R254" s="2"/>
    </row>
    <row r="255" spans="1:18" x14ac:dyDescent="0.45">
      <c r="B255" s="4">
        <v>45670</v>
      </c>
      <c r="C255" s="1">
        <f>16+51/60</f>
        <v>16.850000000000001</v>
      </c>
      <c r="D255" s="2">
        <v>664</v>
      </c>
      <c r="E255" s="2">
        <v>0</v>
      </c>
      <c r="F255" s="2">
        <v>12411</v>
      </c>
      <c r="G255" s="2">
        <f t="shared" si="23"/>
        <v>14063.75</v>
      </c>
      <c r="H255" s="2"/>
      <c r="I255" s="1">
        <f t="shared" si="34"/>
        <v>18.208333333333336</v>
      </c>
      <c r="J255" s="2">
        <f t="shared" si="35"/>
        <v>793</v>
      </c>
      <c r="K255" s="2"/>
      <c r="L255" s="1">
        <f t="shared" si="30"/>
        <v>18.074166666666667</v>
      </c>
      <c r="M255" s="2">
        <f t="shared" si="31"/>
        <v>800.4</v>
      </c>
      <c r="N255" s="2"/>
      <c r="O255" s="1">
        <f t="shared" si="32"/>
        <v>19.276388888888889</v>
      </c>
      <c r="P255" s="2">
        <f t="shared" si="33"/>
        <v>851.33333333333337</v>
      </c>
      <c r="Q255" s="2"/>
      <c r="R255" s="2"/>
    </row>
    <row r="256" spans="1:18" x14ac:dyDescent="0.45">
      <c r="A256" t="s">
        <v>41</v>
      </c>
      <c r="B256" s="4">
        <v>45677</v>
      </c>
      <c r="C256" s="1">
        <f>23+44/60</f>
        <v>23.733333333333334</v>
      </c>
      <c r="D256" s="2">
        <v>1381</v>
      </c>
      <c r="E256" s="2">
        <v>0</v>
      </c>
      <c r="F256" s="2">
        <v>19209</v>
      </c>
      <c r="G256" s="2">
        <f t="shared" si="23"/>
        <v>14845.5</v>
      </c>
      <c r="H256" s="2"/>
      <c r="I256" s="1">
        <f t="shared" si="34"/>
        <v>19.087499999999999</v>
      </c>
      <c r="J256" s="2">
        <f t="shared" si="35"/>
        <v>901</v>
      </c>
      <c r="K256" s="2"/>
      <c r="L256" s="1">
        <f t="shared" si="30"/>
        <v>18.100000000000001</v>
      </c>
      <c r="M256" s="2">
        <f t="shared" si="31"/>
        <v>814.2</v>
      </c>
      <c r="N256" s="2"/>
      <c r="O256" s="1">
        <f t="shared" si="32"/>
        <v>17.931944444444444</v>
      </c>
      <c r="P256" s="2">
        <f t="shared" si="33"/>
        <v>810</v>
      </c>
      <c r="Q256" s="2"/>
      <c r="R256" s="2"/>
    </row>
    <row r="257" spans="1:18" x14ac:dyDescent="0.45">
      <c r="A257" t="s">
        <v>72</v>
      </c>
      <c r="B257" s="4">
        <v>45684</v>
      </c>
      <c r="C257" s="1">
        <f>17+5/60</f>
        <v>17.083333333333332</v>
      </c>
      <c r="D257" s="2">
        <v>810</v>
      </c>
      <c r="E257" s="2">
        <v>0</v>
      </c>
      <c r="F257" s="2">
        <v>13335</v>
      </c>
      <c r="G257" s="2">
        <f t="shared" si="23"/>
        <v>14787</v>
      </c>
      <c r="H257" s="2"/>
      <c r="I257" s="1">
        <f t="shared" si="34"/>
        <v>19.054166666666667</v>
      </c>
      <c r="J257" s="2">
        <f t="shared" si="35"/>
        <v>910</v>
      </c>
      <c r="K257" s="2"/>
      <c r="L257" s="1">
        <f t="shared" si="30"/>
        <v>18.335000000000001</v>
      </c>
      <c r="M257" s="2">
        <f t="shared" si="31"/>
        <v>834.4</v>
      </c>
      <c r="N257" s="2"/>
      <c r="O257" s="1">
        <f t="shared" si="32"/>
        <v>18.130555555555553</v>
      </c>
      <c r="P257" s="2">
        <f t="shared" si="33"/>
        <v>815.25</v>
      </c>
      <c r="Q257" s="2"/>
      <c r="R257" s="2"/>
    </row>
    <row r="258" spans="1:18" x14ac:dyDescent="0.45">
      <c r="A258" t="s">
        <v>43</v>
      </c>
      <c r="B258" s="4">
        <v>45691</v>
      </c>
      <c r="C258" s="1">
        <f>12+59/60</f>
        <v>12.983333333333333</v>
      </c>
      <c r="D258" s="2">
        <v>595</v>
      </c>
      <c r="E258" s="2">
        <v>0</v>
      </c>
      <c r="F258" s="2">
        <v>10279</v>
      </c>
      <c r="G258" s="2">
        <f t="shared" si="23"/>
        <v>13808.5</v>
      </c>
      <c r="H258" s="2"/>
      <c r="I258" s="1">
        <f t="shared" si="34"/>
        <v>17.662500000000001</v>
      </c>
      <c r="J258" s="2">
        <f t="shared" si="35"/>
        <v>862.5</v>
      </c>
      <c r="K258" s="2"/>
      <c r="L258" s="1">
        <f t="shared" si="30"/>
        <v>18.307500000000001</v>
      </c>
      <c r="M258" s="2">
        <f t="shared" si="31"/>
        <v>847.85</v>
      </c>
      <c r="N258" s="2"/>
      <c r="O258" s="1">
        <f t="shared" si="32"/>
        <v>17.673611111111111</v>
      </c>
      <c r="P258" s="2">
        <f t="shared" si="33"/>
        <v>802.5</v>
      </c>
      <c r="Q258" s="2"/>
      <c r="R258" s="2"/>
    </row>
    <row r="259" spans="1:18" x14ac:dyDescent="0.45">
      <c r="A259" t="s">
        <v>73</v>
      </c>
      <c r="B259" s="4">
        <v>45698</v>
      </c>
      <c r="C259" s="1">
        <f>16+29/60</f>
        <v>16.483333333333334</v>
      </c>
      <c r="D259" s="2">
        <v>698</v>
      </c>
      <c r="E259" s="2">
        <v>0</v>
      </c>
      <c r="F259" s="2">
        <v>12364</v>
      </c>
      <c r="G259" s="2">
        <f t="shared" si="23"/>
        <v>13796.75</v>
      </c>
      <c r="H259" s="2"/>
      <c r="I259" s="1">
        <f t="shared" si="34"/>
        <v>17.570833333333333</v>
      </c>
      <c r="J259" s="2">
        <f t="shared" si="35"/>
        <v>871</v>
      </c>
      <c r="K259" s="2"/>
      <c r="L259" s="1">
        <f t="shared" si="30"/>
        <v>18.316666666666666</v>
      </c>
      <c r="M259" s="2">
        <f t="shared" si="31"/>
        <v>867.5</v>
      </c>
      <c r="N259" s="2"/>
      <c r="O259" s="1">
        <f t="shared" si="32"/>
        <v>18.512037037037036</v>
      </c>
      <c r="P259" s="2">
        <f t="shared" si="33"/>
        <v>857.83333333333337</v>
      </c>
      <c r="Q259" s="2"/>
      <c r="R259" s="2"/>
    </row>
    <row r="260" spans="1:18" x14ac:dyDescent="0.45">
      <c r="B260" s="4">
        <v>45705</v>
      </c>
      <c r="C260" s="1">
        <f>22+16/60</f>
        <v>22.266666666666666</v>
      </c>
      <c r="D260" s="2">
        <v>884</v>
      </c>
      <c r="E260" s="2">
        <v>0</v>
      </c>
      <c r="F260" s="2">
        <v>16065</v>
      </c>
      <c r="G260" s="2">
        <f t="shared" si="23"/>
        <v>13010.75</v>
      </c>
      <c r="H260" s="2"/>
      <c r="I260" s="1">
        <f t="shared" si="34"/>
        <v>17.204166666666666</v>
      </c>
      <c r="J260" s="2">
        <f t="shared" si="35"/>
        <v>746.75</v>
      </c>
      <c r="K260" s="2"/>
      <c r="L260" s="1">
        <f t="shared" si="30"/>
        <v>18.115833333333331</v>
      </c>
      <c r="M260" s="2">
        <f t="shared" si="31"/>
        <v>858.25</v>
      </c>
      <c r="N260" s="2"/>
      <c r="O260" s="1">
        <f t="shared" si="32"/>
        <v>18.05185185185185</v>
      </c>
      <c r="P260" s="2">
        <f t="shared" si="33"/>
        <v>830.02777777777783</v>
      </c>
      <c r="Q260" s="2"/>
      <c r="R260" s="2"/>
    </row>
    <row r="261" spans="1:18" x14ac:dyDescent="0.45">
      <c r="A261" t="s">
        <v>74</v>
      </c>
      <c r="B261" s="4">
        <v>45712</v>
      </c>
      <c r="C261" s="1">
        <f>20+12/60</f>
        <v>20.2</v>
      </c>
      <c r="D261" s="2">
        <v>775</v>
      </c>
      <c r="E261" s="2">
        <v>0</v>
      </c>
      <c r="F261" s="2">
        <v>12843</v>
      </c>
      <c r="G261" s="2">
        <f t="shared" si="23"/>
        <v>12887.75</v>
      </c>
      <c r="H261" s="2"/>
      <c r="I261" s="1">
        <f t="shared" si="34"/>
        <v>17.983333333333334</v>
      </c>
      <c r="J261" s="2">
        <f t="shared" si="35"/>
        <v>738</v>
      </c>
      <c r="K261" s="2"/>
      <c r="L261" s="1">
        <f t="shared" si="30"/>
        <v>17.895000000000003</v>
      </c>
      <c r="M261" s="2">
        <f t="shared" si="31"/>
        <v>825.65</v>
      </c>
      <c r="N261" s="2"/>
      <c r="O261" s="1">
        <f t="shared" si="32"/>
        <v>18.341203703703702</v>
      </c>
      <c r="P261" s="2">
        <f t="shared" si="33"/>
        <v>841.13888888888891</v>
      </c>
      <c r="Q261" s="2"/>
      <c r="R261" s="2"/>
    </row>
    <row r="262" spans="1:18" x14ac:dyDescent="0.45">
      <c r="B262" s="4">
        <v>45719</v>
      </c>
      <c r="C262" s="1">
        <f>17+26/60</f>
        <v>17.433333333333334</v>
      </c>
      <c r="D262" s="2">
        <v>759</v>
      </c>
      <c r="E262" s="2">
        <v>0</v>
      </c>
      <c r="F262" s="2">
        <v>13057</v>
      </c>
      <c r="G262" s="2">
        <f t="shared" ref="G262:G276" si="36">AVERAGE(F259:F262)</f>
        <v>13582.25</v>
      </c>
      <c r="H262" s="2"/>
      <c r="I262" s="1">
        <f t="shared" si="34"/>
        <v>19.095833333333335</v>
      </c>
      <c r="J262" s="2">
        <f t="shared" si="35"/>
        <v>779</v>
      </c>
      <c r="K262" s="2"/>
      <c r="L262" s="1">
        <f t="shared" si="30"/>
        <v>17.903333333333332</v>
      </c>
      <c r="M262" s="2">
        <f t="shared" si="31"/>
        <v>799.45</v>
      </c>
      <c r="N262" s="2"/>
      <c r="O262" s="1">
        <f t="shared" si="32"/>
        <v>18.303240740740744</v>
      </c>
      <c r="P262" s="2">
        <f t="shared" si="33"/>
        <v>849.08333333333337</v>
      </c>
      <c r="Q262" s="2"/>
      <c r="R262" s="2"/>
    </row>
    <row r="263" spans="1:18" x14ac:dyDescent="0.45">
      <c r="A263" t="s">
        <v>75</v>
      </c>
      <c r="B263" s="4">
        <v>45726</v>
      </c>
      <c r="C263" s="1">
        <f>19+7/60</f>
        <v>19.116666666666667</v>
      </c>
      <c r="D263" s="2">
        <v>651</v>
      </c>
      <c r="E263" s="2">
        <v>0</v>
      </c>
      <c r="F263" s="2">
        <v>11547</v>
      </c>
      <c r="G263" s="2">
        <f t="shared" si="36"/>
        <v>13378</v>
      </c>
      <c r="H263" s="2"/>
      <c r="I263" s="1">
        <f t="shared" si="34"/>
        <v>19.75416666666667</v>
      </c>
      <c r="J263" s="2">
        <f t="shared" si="35"/>
        <v>767.25</v>
      </c>
      <c r="K263" s="2"/>
      <c r="L263" s="1">
        <f t="shared" si="30"/>
        <v>18.321666666666665</v>
      </c>
      <c r="M263" s="2">
        <f t="shared" si="31"/>
        <v>780.4</v>
      </c>
      <c r="N263" s="2"/>
      <c r="O263" s="1">
        <f t="shared" si="32"/>
        <v>18.706018518518519</v>
      </c>
      <c r="P263" s="2">
        <f t="shared" si="33"/>
        <v>883.55555555555554</v>
      </c>
      <c r="Q263" s="2"/>
      <c r="R263" s="2"/>
    </row>
    <row r="264" spans="1:18" x14ac:dyDescent="0.45">
      <c r="A264" t="s">
        <v>76</v>
      </c>
      <c r="B264" s="4">
        <v>45733</v>
      </c>
      <c r="C264" s="1">
        <f>15+54/60</f>
        <v>15.9</v>
      </c>
      <c r="D264" s="2">
        <v>832</v>
      </c>
      <c r="E264" s="2">
        <v>0</v>
      </c>
      <c r="F264" s="2">
        <v>10303</v>
      </c>
      <c r="G264" s="2">
        <f t="shared" si="36"/>
        <v>11937.5</v>
      </c>
      <c r="H264" s="2"/>
      <c r="I264" s="1">
        <f t="shared" si="34"/>
        <v>18.162500000000001</v>
      </c>
      <c r="J264" s="2">
        <f t="shared" si="35"/>
        <v>754.25</v>
      </c>
      <c r="K264" s="2"/>
      <c r="L264" s="1">
        <f t="shared" si="30"/>
        <v>18.440000000000001</v>
      </c>
      <c r="M264" s="2">
        <f t="shared" si="31"/>
        <v>757.05</v>
      </c>
      <c r="N264" s="2"/>
      <c r="O264" s="1">
        <f t="shared" si="32"/>
        <v>17.361574074074074</v>
      </c>
      <c r="P264" s="2">
        <f t="shared" si="33"/>
        <v>743.44444444444446</v>
      </c>
      <c r="Q264" s="2"/>
      <c r="R264" s="2"/>
    </row>
    <row r="265" spans="1:18" x14ac:dyDescent="0.45">
      <c r="A265" t="s">
        <v>77</v>
      </c>
      <c r="B265" s="4">
        <v>45740</v>
      </c>
      <c r="C265" s="1">
        <f>22+50/60</f>
        <v>22.833333333333332</v>
      </c>
      <c r="D265" s="2">
        <v>1112</v>
      </c>
      <c r="E265" s="2">
        <v>0</v>
      </c>
      <c r="F265" s="2">
        <v>17736</v>
      </c>
      <c r="G265" s="2">
        <f t="shared" si="36"/>
        <v>13160.75</v>
      </c>
      <c r="H265" s="2"/>
      <c r="I265" s="1">
        <f t="shared" si="34"/>
        <v>18.820833333333333</v>
      </c>
      <c r="J265" s="2">
        <f t="shared" si="35"/>
        <v>838.5</v>
      </c>
      <c r="K265" s="2"/>
      <c r="L265" s="1">
        <f t="shared" si="30"/>
        <v>18.763333333333335</v>
      </c>
      <c r="M265" s="2">
        <f t="shared" si="31"/>
        <v>775.4</v>
      </c>
      <c r="N265" s="2"/>
      <c r="O265" s="1">
        <f t="shared" si="32"/>
        <v>17.654629629629632</v>
      </c>
      <c r="P265" s="2">
        <f t="shared" si="33"/>
        <v>738.61111111111109</v>
      </c>
      <c r="Q265" s="2"/>
      <c r="R265" s="2"/>
    </row>
    <row r="266" spans="1:18" x14ac:dyDescent="0.45">
      <c r="A266" t="s">
        <v>78</v>
      </c>
      <c r="B266" s="4">
        <v>45747</v>
      </c>
      <c r="C266" s="1">
        <f>22+58/60</f>
        <v>22.966666666666665</v>
      </c>
      <c r="D266" s="2">
        <v>1261</v>
      </c>
      <c r="E266" s="2">
        <v>0</v>
      </c>
      <c r="F266" s="2">
        <v>19462</v>
      </c>
      <c r="G266" s="2">
        <f t="shared" si="36"/>
        <v>14762</v>
      </c>
      <c r="H266" s="2"/>
      <c r="I266" s="1">
        <f t="shared" si="34"/>
        <v>20.204166666666666</v>
      </c>
      <c r="J266" s="2">
        <f t="shared" si="35"/>
        <v>964</v>
      </c>
      <c r="K266" s="2"/>
      <c r="L266" s="1">
        <f t="shared" si="30"/>
        <v>19.2075</v>
      </c>
      <c r="M266" s="2">
        <f t="shared" si="31"/>
        <v>820.6</v>
      </c>
      <c r="N266" s="2"/>
      <c r="O266" s="1">
        <f t="shared" si="32"/>
        <v>19.136111111111109</v>
      </c>
      <c r="P266" s="2">
        <f t="shared" si="33"/>
        <v>800.05555555555554</v>
      </c>
      <c r="Q266" s="2"/>
      <c r="R266" s="2"/>
    </row>
    <row r="267" spans="1:18" x14ac:dyDescent="0.45">
      <c r="A267" t="s">
        <v>79</v>
      </c>
      <c r="B267" s="4">
        <v>45754</v>
      </c>
      <c r="C267" s="1">
        <f>13+29/60</f>
        <v>13.483333333333333</v>
      </c>
      <c r="D267" s="2">
        <v>563</v>
      </c>
      <c r="E267" s="2">
        <v>0</v>
      </c>
      <c r="F267" s="2">
        <v>9870</v>
      </c>
      <c r="G267" s="2">
        <f t="shared" si="36"/>
        <v>14342.75</v>
      </c>
      <c r="H267" s="2"/>
      <c r="I267" s="1">
        <f t="shared" si="34"/>
        <v>18.795833333333334</v>
      </c>
      <c r="J267" s="2">
        <f t="shared" si="35"/>
        <v>942</v>
      </c>
      <c r="K267" s="2"/>
      <c r="L267" s="1">
        <f t="shared" si="30"/>
        <v>19.147500000000001</v>
      </c>
      <c r="M267" s="2">
        <f t="shared" si="31"/>
        <v>853.2</v>
      </c>
      <c r="N267" s="2"/>
      <c r="O267" s="1">
        <f t="shared" si="32"/>
        <v>19.756481481481483</v>
      </c>
      <c r="P267" s="2">
        <f t="shared" si="33"/>
        <v>834.86111111111109</v>
      </c>
      <c r="Q267" s="2"/>
      <c r="R267" s="2"/>
    </row>
    <row r="268" spans="1:18" x14ac:dyDescent="0.45">
      <c r="B268" s="4">
        <v>45761</v>
      </c>
      <c r="C268" s="1">
        <f>22+39/60</f>
        <v>22.65</v>
      </c>
      <c r="D268" s="2">
        <v>1010</v>
      </c>
      <c r="E268" s="2">
        <v>0</v>
      </c>
      <c r="F268" s="2">
        <v>17096</v>
      </c>
      <c r="G268" s="2">
        <f t="shared" si="36"/>
        <v>16041</v>
      </c>
      <c r="H268" s="2"/>
      <c r="I268" s="1">
        <f t="shared" si="34"/>
        <v>20.483333333333334</v>
      </c>
      <c r="J268" s="2">
        <f t="shared" si="35"/>
        <v>986.5</v>
      </c>
      <c r="K268" s="2"/>
      <c r="L268" s="1">
        <f t="shared" si="30"/>
        <v>19.293333333333329</v>
      </c>
      <c r="M268" s="2">
        <f t="shared" si="31"/>
        <v>897.05</v>
      </c>
      <c r="N268" s="2"/>
      <c r="O268" s="1">
        <f t="shared" si="32"/>
        <v>19.102314814814815</v>
      </c>
      <c r="P268" s="2">
        <f t="shared" si="33"/>
        <v>831.83333333333337</v>
      </c>
      <c r="Q268" s="2"/>
      <c r="R268" s="2"/>
    </row>
    <row r="269" spans="1:18" x14ac:dyDescent="0.45">
      <c r="B269" s="4">
        <v>45768</v>
      </c>
      <c r="C269" s="1">
        <f>16+16/60</f>
        <v>16.266666666666666</v>
      </c>
      <c r="D269" s="2">
        <v>700</v>
      </c>
      <c r="E269" s="2">
        <v>0</v>
      </c>
      <c r="F269" s="2">
        <v>12031</v>
      </c>
      <c r="G269" s="2">
        <f t="shared" si="36"/>
        <v>14614.75</v>
      </c>
      <c r="H269" s="2"/>
      <c r="I269" s="1">
        <f t="shared" si="34"/>
        <v>18.841666666666665</v>
      </c>
      <c r="J269" s="2">
        <f t="shared" si="35"/>
        <v>883.5</v>
      </c>
      <c r="K269" s="2"/>
      <c r="L269" s="1">
        <f t="shared" si="30"/>
        <v>19.429166666666667</v>
      </c>
      <c r="M269" s="2">
        <f t="shared" si="31"/>
        <v>922.9</v>
      </c>
      <c r="N269" s="2"/>
      <c r="O269" s="1">
        <f t="shared" si="32"/>
        <v>18.798148148148147</v>
      </c>
      <c r="P269" s="2">
        <f t="shared" si="33"/>
        <v>850.94444444444446</v>
      </c>
      <c r="Q269" s="2"/>
      <c r="R269" s="2"/>
    </row>
    <row r="270" spans="1:18" x14ac:dyDescent="0.45">
      <c r="A270" t="s">
        <v>80</v>
      </c>
      <c r="B270" s="4">
        <v>45775</v>
      </c>
      <c r="C270" s="1">
        <f>18+9/60</f>
        <v>18.149999999999999</v>
      </c>
      <c r="D270" s="2">
        <v>1085</v>
      </c>
      <c r="E270" s="2">
        <v>0</v>
      </c>
      <c r="F270" s="2">
        <v>15525</v>
      </c>
      <c r="G270" s="2">
        <f t="shared" si="36"/>
        <v>13630.5</v>
      </c>
      <c r="H270" s="2"/>
      <c r="I270" s="1">
        <f t="shared" si="34"/>
        <v>17.637499999999999</v>
      </c>
      <c r="J270" s="2">
        <f t="shared" si="35"/>
        <v>839.5</v>
      </c>
      <c r="K270" s="2"/>
      <c r="L270" s="1">
        <f t="shared" si="30"/>
        <v>19.192499999999995</v>
      </c>
      <c r="M270" s="2">
        <f t="shared" si="31"/>
        <v>923.1</v>
      </c>
      <c r="N270" s="2"/>
      <c r="O270" s="1">
        <f t="shared" si="32"/>
        <v>19.1287037037037</v>
      </c>
      <c r="P270" s="2">
        <f t="shared" si="33"/>
        <v>882.66666666666663</v>
      </c>
      <c r="Q270" s="2"/>
      <c r="R270" s="2"/>
    </row>
    <row r="271" spans="1:18" x14ac:dyDescent="0.45">
      <c r="A271" t="s">
        <v>81</v>
      </c>
      <c r="B271" s="4">
        <v>45782</v>
      </c>
      <c r="C271" s="1">
        <f>3+32/60</f>
        <v>3.5333333333333332</v>
      </c>
      <c r="D271" s="2">
        <v>100</v>
      </c>
      <c r="E271" s="2">
        <v>0</v>
      </c>
      <c r="F271" s="2">
        <v>2312</v>
      </c>
      <c r="G271" s="2">
        <f t="shared" si="36"/>
        <v>11741</v>
      </c>
      <c r="H271" s="2"/>
      <c r="I271" s="1">
        <f t="shared" si="34"/>
        <v>15.149999999999999</v>
      </c>
      <c r="J271" s="2">
        <f t="shared" si="35"/>
        <v>723.75</v>
      </c>
      <c r="K271" s="2"/>
      <c r="L271" s="1">
        <f t="shared" si="30"/>
        <v>18.181666666666668</v>
      </c>
      <c r="M271" s="2">
        <f t="shared" si="31"/>
        <v>875.05</v>
      </c>
      <c r="N271" s="2"/>
      <c r="O271" s="1">
        <f t="shared" si="32"/>
        <v>18.652314814814815</v>
      </c>
      <c r="P271" s="2">
        <f t="shared" si="33"/>
        <v>923.08333333333337</v>
      </c>
      <c r="Q271" s="2"/>
      <c r="R271" s="2"/>
    </row>
    <row r="272" spans="1:18" x14ac:dyDescent="0.45">
      <c r="B272" s="4">
        <v>45789</v>
      </c>
      <c r="C272" s="1">
        <v>0</v>
      </c>
      <c r="D272" s="2">
        <v>0</v>
      </c>
      <c r="E272" s="2">
        <v>2</v>
      </c>
      <c r="F272" s="2">
        <v>0</v>
      </c>
      <c r="G272" s="2">
        <f t="shared" si="36"/>
        <v>7467</v>
      </c>
      <c r="H272" s="2"/>
      <c r="I272" s="1">
        <f t="shared" si="34"/>
        <v>9.4874999999999989</v>
      </c>
      <c r="J272" s="2">
        <f t="shared" si="35"/>
        <v>471.25</v>
      </c>
      <c r="K272" s="2"/>
      <c r="L272" s="1">
        <f t="shared" si="30"/>
        <v>16.32</v>
      </c>
      <c r="M272" s="2">
        <f t="shared" si="31"/>
        <v>780.9</v>
      </c>
      <c r="N272" s="2"/>
      <c r="O272" s="1">
        <f t="shared" si="32"/>
        <v>18.449074074074073</v>
      </c>
      <c r="P272" s="2">
        <f t="shared" si="33"/>
        <v>900.16666666666663</v>
      </c>
      <c r="Q272" s="2"/>
      <c r="R272" s="2"/>
    </row>
    <row r="273" spans="1:18" x14ac:dyDescent="0.45">
      <c r="B273" s="4">
        <v>45796</v>
      </c>
      <c r="C273" s="1">
        <f>8+51/60</f>
        <v>8.85</v>
      </c>
      <c r="D273">
        <f>8+41+101+120</f>
        <v>270</v>
      </c>
      <c r="E273" s="2">
        <v>3</v>
      </c>
      <c r="F273" s="2">
        <v>5918</v>
      </c>
      <c r="G273" s="2">
        <f t="shared" si="36"/>
        <v>5938.75</v>
      </c>
      <c r="H273" s="2"/>
      <c r="I273" s="1">
        <f t="shared" ref="I273:I276" si="37">AVERAGE(C270:C273)</f>
        <v>7.6333333333333329</v>
      </c>
      <c r="J273" s="2">
        <f t="shared" ref="J273:J276" si="38">AVERAGE(D270:D273)</f>
        <v>363.75</v>
      </c>
      <c r="K273" s="2"/>
      <c r="L273" s="1">
        <f t="shared" ref="L273:L276" si="39">((C266)+(2*C267)+(3*C268)+(4*C269)+(4*C270)+(3*C271)+(2*C272)+(C273))/20</f>
        <v>13.75</v>
      </c>
      <c r="M273" s="2">
        <f t="shared" ref="M273:M276" si="40">((D266)+(2*D267)+(3*D268)+(4*D269)+(4*D270)+(3*D271)+(2*D272)+(D273))/20</f>
        <v>656.35</v>
      </c>
      <c r="N273" s="2"/>
      <c r="O273" s="1">
        <f t="shared" ref="O273:O276" si="41">((C273)+(C272*2)+(C271*3)+(C270*4)+(C269*5)+(C268*6)+(C267*7)+(C266*8))/36</f>
        <v>16.316666666666666</v>
      </c>
      <c r="P273" s="2">
        <f t="shared" ref="P273:P276" si="42">((D273)+(D272*2)+(D271*3)+(D270*4)+(D269*5)+(D268*6)+(D267*7)+(D266*8))/36</f>
        <v>791.63888888888891</v>
      </c>
      <c r="Q273" s="2"/>
      <c r="R273" s="2"/>
    </row>
    <row r="274" spans="1:18" x14ac:dyDescent="0.45">
      <c r="B274" s="4">
        <v>45803</v>
      </c>
      <c r="C274" s="1">
        <f>11+10/60</f>
        <v>11.166666666666666</v>
      </c>
      <c r="D274" s="2">
        <v>662</v>
      </c>
      <c r="E274" s="2">
        <v>2</v>
      </c>
      <c r="F274" s="2">
        <v>8064</v>
      </c>
      <c r="G274" s="2">
        <f t="shared" si="36"/>
        <v>4073.5</v>
      </c>
      <c r="H274" s="2"/>
      <c r="I274" s="1">
        <f t="shared" si="37"/>
        <v>5.8874999999999993</v>
      </c>
      <c r="J274" s="2">
        <f t="shared" si="38"/>
        <v>258</v>
      </c>
      <c r="K274" s="2"/>
      <c r="L274" s="1">
        <f t="shared" si="39"/>
        <v>11.159166666666666</v>
      </c>
      <c r="M274" s="2">
        <f t="shared" si="40"/>
        <v>531.25</v>
      </c>
      <c r="N274" s="2"/>
      <c r="O274" s="1">
        <f t="shared" si="41"/>
        <v>13.826851851851851</v>
      </c>
      <c r="P274" s="2">
        <f t="shared" si="42"/>
        <v>633.36111111111109</v>
      </c>
      <c r="Q274" s="2"/>
      <c r="R274" s="2"/>
    </row>
    <row r="275" spans="1:18" x14ac:dyDescent="0.45">
      <c r="B275" s="4">
        <v>45810</v>
      </c>
      <c r="C275" s="1">
        <f>20+49/60</f>
        <v>20.816666666666666</v>
      </c>
      <c r="D275" s="2">
        <v>913</v>
      </c>
      <c r="E275" s="2">
        <v>2</v>
      </c>
      <c r="F275" s="2">
        <v>15452</v>
      </c>
      <c r="G275" s="2">
        <f t="shared" si="36"/>
        <v>7358.5</v>
      </c>
      <c r="H275" s="2"/>
      <c r="I275" s="1">
        <f t="shared" si="37"/>
        <v>10.208333333333332</v>
      </c>
      <c r="J275" s="2">
        <f t="shared" si="38"/>
        <v>461.25</v>
      </c>
      <c r="K275" s="2"/>
      <c r="L275" s="1">
        <f t="shared" si="39"/>
        <v>9.6733333333333338</v>
      </c>
      <c r="M275" s="2">
        <f t="shared" si="40"/>
        <v>455.6</v>
      </c>
      <c r="N275" s="2"/>
      <c r="O275" s="1">
        <f t="shared" si="41"/>
        <v>13.648148148148147</v>
      </c>
      <c r="P275" s="2">
        <f t="shared" si="42"/>
        <v>639.91666666666663</v>
      </c>
      <c r="Q275" s="2"/>
      <c r="R275" s="2"/>
    </row>
    <row r="276" spans="1:18" x14ac:dyDescent="0.45">
      <c r="B276" s="4">
        <v>45817</v>
      </c>
      <c r="C276" s="1">
        <f>18+57/60</f>
        <v>18.95</v>
      </c>
      <c r="D276" s="2">
        <v>1004</v>
      </c>
      <c r="E276" s="2">
        <v>0</v>
      </c>
      <c r="F276" s="2">
        <v>16244</v>
      </c>
      <c r="G276" s="2">
        <f t="shared" si="36"/>
        <v>11419.5</v>
      </c>
      <c r="H276" s="2"/>
      <c r="I276" s="1">
        <f t="shared" si="37"/>
        <v>14.945833333333333</v>
      </c>
      <c r="J276" s="2">
        <f t="shared" si="38"/>
        <v>712.25</v>
      </c>
      <c r="K276" s="2"/>
      <c r="L276" s="1">
        <f t="shared" si="39"/>
        <v>9.6324999999999985</v>
      </c>
      <c r="M276" s="2">
        <f t="shared" si="40"/>
        <v>453.3</v>
      </c>
      <c r="N276" s="2"/>
      <c r="O276" s="1">
        <f t="shared" si="41"/>
        <v>11.329629629629629</v>
      </c>
      <c r="P276" s="2">
        <f t="shared" si="42"/>
        <v>546.97222222222217</v>
      </c>
      <c r="Q276" s="2"/>
      <c r="R276" s="2"/>
    </row>
    <row r="277" spans="1:18" x14ac:dyDescent="0.45">
      <c r="B277" s="4">
        <v>45824</v>
      </c>
      <c r="C277" s="1">
        <f>18+31/60</f>
        <v>18.516666666666666</v>
      </c>
      <c r="D277" s="2">
        <v>716</v>
      </c>
      <c r="E277" s="2">
        <v>1</v>
      </c>
      <c r="F277" s="2">
        <v>9566</v>
      </c>
      <c r="G277" s="2">
        <f t="shared" ref="G277:G278" si="43">AVERAGE(F274:F277)</f>
        <v>12331.5</v>
      </c>
      <c r="H277" s="2"/>
      <c r="I277" s="1">
        <f t="shared" ref="I277:I278" si="44">AVERAGE(C274:C277)</f>
        <v>17.362500000000001</v>
      </c>
      <c r="J277" s="2">
        <f t="shared" ref="J277:J278" si="45">AVERAGE(D274:D277)</f>
        <v>823.75</v>
      </c>
      <c r="K277" s="2"/>
      <c r="L277" s="1">
        <f t="shared" ref="L277:L278" si="46">((C270)+(2*C271)+(3*C272)+(4*C273)+(4*C274)+(3*C275)+(2*C276)+(C277))/20</f>
        <v>11.207500000000001</v>
      </c>
      <c r="M277" s="2">
        <f t="shared" ref="M277:M278" si="47">((D270)+(2*D271)+(3*D272)+(4*D273)+(4*D274)+(3*D275)+(2*D276)+(D277))/20</f>
        <v>523.79999999999995</v>
      </c>
      <c r="N277" s="2"/>
      <c r="O277" s="1">
        <f t="shared" ref="O277" si="48">((C277)+(C276*2)+(C275*3)+(C274*4)+(C273*5)+(C272*6)+(C271*7)+(C270*8))/36</f>
        <v>10.492129629629629</v>
      </c>
      <c r="P277" s="2">
        <f t="shared" ref="P277:P278" si="49">((D277)+(D276*2)+(D275*3)+(D274*4)+(D273*5)+(D272*6)+(D271*7)+(D270*8))/36</f>
        <v>523.36111111111109</v>
      </c>
      <c r="Q277" s="2"/>
      <c r="R277" s="2"/>
    </row>
    <row r="278" spans="1:18" x14ac:dyDescent="0.45">
      <c r="B278" s="4">
        <v>45831</v>
      </c>
      <c r="C278" s="1">
        <f>18+29/60</f>
        <v>18.483333333333334</v>
      </c>
      <c r="D278" s="2">
        <v>782</v>
      </c>
      <c r="E278" s="2">
        <v>2</v>
      </c>
      <c r="F278" s="2">
        <v>782</v>
      </c>
      <c r="G278" s="2">
        <f t="shared" si="43"/>
        <v>10511</v>
      </c>
      <c r="H278" s="2"/>
      <c r="I278" s="1">
        <f t="shared" si="44"/>
        <v>19.191666666666666</v>
      </c>
      <c r="J278" s="2">
        <f t="shared" si="45"/>
        <v>853.75</v>
      </c>
      <c r="K278" s="2"/>
      <c r="L278" s="1">
        <f t="shared" si="46"/>
        <v>13.519166666666667</v>
      </c>
      <c r="M278" s="2">
        <f t="shared" si="47"/>
        <v>621.79999999999995</v>
      </c>
      <c r="N278" s="2"/>
      <c r="O278" s="1">
        <f>((C278)+(C277*2)+(C276*3)+(C275*4)+(C274*5)+(C273*6)+(C272*7)+(C271*8))/36</f>
        <v>9.2453703703703685</v>
      </c>
      <c r="P278" s="2">
        <f t="shared" si="49"/>
        <v>405.77777777777777</v>
      </c>
      <c r="Q278" s="2"/>
      <c r="R278" s="2"/>
    </row>
    <row r="279" spans="1:18" x14ac:dyDescent="0.45">
      <c r="B279" s="4">
        <v>45838</v>
      </c>
      <c r="C279" s="1">
        <f>24+22/60</f>
        <v>24.366666666666667</v>
      </c>
      <c r="D279" s="2">
        <v>1049</v>
      </c>
      <c r="E279" s="2">
        <v>0</v>
      </c>
      <c r="F279" s="2">
        <v>18610</v>
      </c>
      <c r="G279" s="2">
        <f t="shared" ref="G279:G281" si="50">AVERAGE(F276:F279)</f>
        <v>11300.5</v>
      </c>
      <c r="H279" s="2"/>
      <c r="I279" s="1">
        <f t="shared" ref="I279:I281" si="51">AVERAGE(C276:C279)</f>
        <v>20.079166666666666</v>
      </c>
      <c r="J279" s="2">
        <f t="shared" ref="J279:J281" si="52">AVERAGE(D276:D279)</f>
        <v>887.75</v>
      </c>
      <c r="K279" s="2"/>
      <c r="L279" s="1">
        <f t="shared" ref="L279:L281" si="53">((C272)+(2*C273)+(3*C274)+(4*C275)+(4*C276)+(3*C277)+(2*C278)+(C279))/20</f>
        <v>16.357499999999998</v>
      </c>
      <c r="M279" s="2">
        <f t="shared" ref="M279:M281" si="54">((D272)+(2*D273)+(3*D274)+(4*D275)+(4*D276)+(3*D277)+(2*D278)+(D279))/20</f>
        <v>747.75</v>
      </c>
      <c r="N279" s="2"/>
      <c r="O279" s="1">
        <f t="shared" ref="O279:O281" si="55">((C279)+(C278*2)+(C277*3)+(C276*4)+(C275*5)+(C274*6)+(C273*7)+(C272*8))/36</f>
        <v>11.825462962962963</v>
      </c>
      <c r="P279" s="2">
        <f t="shared" ref="P279:P281" si="56">((D279)+(D278*2)+(D277*3)+(D276*4)+(D275*5)+(D274*6)+(D273*7)+(D272*8))/36</f>
        <v>533.44444444444446</v>
      </c>
      <c r="Q279" s="2"/>
      <c r="R279" s="2"/>
    </row>
    <row r="280" spans="1:18" x14ac:dyDescent="0.45">
      <c r="B280" s="4">
        <v>45845</v>
      </c>
      <c r="C280" s="1">
        <f>13+49/60</f>
        <v>13.816666666666666</v>
      </c>
      <c r="D280" s="2">
        <v>674</v>
      </c>
      <c r="E280" s="2">
        <v>2</v>
      </c>
      <c r="F280" s="2">
        <v>10275</v>
      </c>
      <c r="G280" s="2">
        <f t="shared" si="50"/>
        <v>9808.25</v>
      </c>
      <c r="H280" s="2"/>
      <c r="I280" s="1">
        <f t="shared" si="51"/>
        <v>18.795833333333334</v>
      </c>
      <c r="J280" s="2">
        <f t="shared" si="52"/>
        <v>805.25</v>
      </c>
      <c r="K280" s="2"/>
      <c r="L280" s="1">
        <f t="shared" si="53"/>
        <v>18.074999999999999</v>
      </c>
      <c r="M280" s="2">
        <f t="shared" si="54"/>
        <v>816.55</v>
      </c>
      <c r="N280" s="2"/>
      <c r="O280" s="1">
        <f t="shared" si="55"/>
        <v>15.574537037037036</v>
      </c>
      <c r="P280" s="2">
        <f t="shared" si="56"/>
        <v>702.05555555555554</v>
      </c>
      <c r="Q280" s="2"/>
      <c r="R280" s="2"/>
    </row>
    <row r="281" spans="1:18" x14ac:dyDescent="0.45">
      <c r="B281" s="4">
        <v>45852</v>
      </c>
      <c r="C281" s="1">
        <f>15+38/60</f>
        <v>15.633333333333333</v>
      </c>
      <c r="D281" s="2">
        <v>635</v>
      </c>
      <c r="E281" s="2">
        <v>0</v>
      </c>
      <c r="F281" s="2">
        <v>11392</v>
      </c>
      <c r="G281" s="2">
        <f t="shared" si="50"/>
        <v>10264.75</v>
      </c>
      <c r="H281" s="2"/>
      <c r="I281" s="1">
        <f t="shared" si="51"/>
        <v>18.075000000000003</v>
      </c>
      <c r="J281" s="2">
        <f t="shared" si="52"/>
        <v>785</v>
      </c>
      <c r="K281" s="2"/>
      <c r="L281" s="1">
        <f t="shared" si="53"/>
        <v>18.700833333333332</v>
      </c>
      <c r="M281" s="2">
        <f t="shared" si="54"/>
        <v>831.1</v>
      </c>
      <c r="N281" s="2"/>
      <c r="O281" s="1">
        <f t="shared" si="55"/>
        <v>17.545370370370371</v>
      </c>
      <c r="P281" s="2">
        <f t="shared" si="56"/>
        <v>820.80555555555554</v>
      </c>
      <c r="Q281" s="2"/>
      <c r="R281" s="2"/>
    </row>
    <row r="282" spans="1:18" x14ac:dyDescent="0.45">
      <c r="A282" t="s">
        <v>82</v>
      </c>
      <c r="B282" s="4">
        <v>45859</v>
      </c>
      <c r="C282">
        <f>19+24/60</f>
        <v>19.399999999999999</v>
      </c>
      <c r="D282" s="2">
        <v>1078</v>
      </c>
      <c r="E282" s="2">
        <v>0</v>
      </c>
      <c r="F282" s="2">
        <v>15946</v>
      </c>
      <c r="G282" s="2">
        <f t="shared" ref="G282:G284" si="57">AVERAGE(F279:F282)</f>
        <v>14055.75</v>
      </c>
      <c r="H282" s="2"/>
      <c r="I282" s="1">
        <f t="shared" ref="I282:I284" si="58">AVERAGE(C279:C282)</f>
        <v>18.304166666666667</v>
      </c>
      <c r="J282" s="2">
        <f t="shared" ref="J282:J284" si="59">AVERAGE(D279:D282)</f>
        <v>859</v>
      </c>
      <c r="K282" s="2"/>
      <c r="L282" s="1">
        <f t="shared" ref="L282:L284" si="60">((C275)+(2*C276)+(3*C277)+(4*C278)+(4*C279)+(3*C280)+(2*C281)+(C282))/20</f>
        <v>18.889166666666661</v>
      </c>
      <c r="M282" s="2">
        <f t="shared" ref="M282:M284" si="61">((D275)+(2*D276)+(3*D277)+(4*D278)+(4*D279)+(3*D280)+(2*D281)+(D282))/20</f>
        <v>838.15</v>
      </c>
      <c r="N282" s="2"/>
      <c r="O282" s="1">
        <f t="shared" ref="O282:O284" si="62">((C282)+(C281*2)+(C280*3)+(C279*4)+(C278*5)+(C277*6)+(C276*7)+(C275*8))/36</f>
        <v>19.230092592592591</v>
      </c>
      <c r="P282" s="2">
        <f t="shared" ref="P282:P284" si="63">((D282)+(D281*2)+(D280*3)+(D279*4)+(D278*5)+(D277*6)+(D276*7)+(D275*8))/36</f>
        <v>864</v>
      </c>
      <c r="Q282" s="2"/>
      <c r="R282" s="2"/>
    </row>
    <row r="283" spans="1:18" x14ac:dyDescent="0.45">
      <c r="A283" t="s">
        <v>82</v>
      </c>
      <c r="B283" s="4">
        <v>45866</v>
      </c>
      <c r="C283" s="1">
        <f>21+58/60</f>
        <v>21.966666666666665</v>
      </c>
      <c r="D283" s="2">
        <v>1407</v>
      </c>
      <c r="E283" s="2">
        <v>0</v>
      </c>
      <c r="F283" s="2">
        <v>18677</v>
      </c>
      <c r="G283" s="2">
        <f t="shared" si="57"/>
        <v>14072.5</v>
      </c>
      <c r="H283" s="2"/>
      <c r="I283" s="1">
        <f t="shared" si="58"/>
        <v>17.704166666666666</v>
      </c>
      <c r="J283" s="2">
        <f t="shared" si="59"/>
        <v>948.5</v>
      </c>
      <c r="K283" s="2"/>
      <c r="L283" s="1">
        <f t="shared" si="60"/>
        <v>18.591666666666665</v>
      </c>
      <c r="M283" s="2">
        <f t="shared" si="61"/>
        <v>857.1</v>
      </c>
      <c r="N283" s="2"/>
      <c r="O283" s="1">
        <f t="shared" si="62"/>
        <v>18.802314814814814</v>
      </c>
      <c r="P283" s="2">
        <f t="shared" si="63"/>
        <v>865.13888888888891</v>
      </c>
      <c r="Q283" s="2"/>
      <c r="R283" s="2"/>
    </row>
    <row r="284" spans="1:18" x14ac:dyDescent="0.45">
      <c r="A284" t="s">
        <v>83</v>
      </c>
      <c r="B284" s="4">
        <v>45873</v>
      </c>
      <c r="C284">
        <f>10+33/60</f>
        <v>10.55</v>
      </c>
      <c r="D284" s="2">
        <v>482</v>
      </c>
      <c r="E284" s="2">
        <v>1</v>
      </c>
      <c r="F284" s="2">
        <v>7617</v>
      </c>
      <c r="G284" s="2">
        <f t="shared" si="57"/>
        <v>13408</v>
      </c>
      <c r="H284" s="2"/>
      <c r="I284" s="1">
        <f t="shared" si="58"/>
        <v>16.887499999999999</v>
      </c>
      <c r="J284" s="2">
        <f t="shared" si="59"/>
        <v>900.5</v>
      </c>
      <c r="K284" s="2"/>
      <c r="L284" s="1">
        <f t="shared" si="60"/>
        <v>17.953333333333333</v>
      </c>
      <c r="M284" s="2">
        <f t="shared" si="61"/>
        <v>859.65</v>
      </c>
      <c r="N284" s="2"/>
      <c r="O284" s="1">
        <f t="shared" si="62"/>
        <v>18.556018518518517</v>
      </c>
      <c r="P284" s="2">
        <f t="shared" si="63"/>
        <v>831.55555555555554</v>
      </c>
      <c r="Q284" s="2"/>
      <c r="R284" s="2"/>
    </row>
    <row r="285" spans="1:18" x14ac:dyDescent="0.45">
      <c r="A285" t="s">
        <v>84</v>
      </c>
      <c r="B285" s="4">
        <v>45880</v>
      </c>
      <c r="C285" s="1">
        <f>16+10/60</f>
        <v>16.166666666666668</v>
      </c>
      <c r="D285" s="2">
        <v>660</v>
      </c>
      <c r="E285" s="2">
        <v>1</v>
      </c>
      <c r="F285" s="2">
        <v>10466</v>
      </c>
      <c r="G285" s="2">
        <f t="shared" ref="G285" si="64">AVERAGE(F282:F285)</f>
        <v>13176.5</v>
      </c>
      <c r="H285" s="2"/>
      <c r="I285" s="1">
        <f t="shared" ref="I285" si="65">AVERAGE(C282:C285)</f>
        <v>17.020833333333332</v>
      </c>
      <c r="J285" s="2">
        <f>AVERAGE(D282:D285)</f>
        <v>906.75</v>
      </c>
      <c r="K285" s="2"/>
      <c r="L285" s="1">
        <f t="shared" ref="L285" si="66">((C278)+(2*C279)+(3*C280)+(4*C281)+(4*C282)+(3*C283)+(2*C284)+(C285))/20</f>
        <v>17.598333333333336</v>
      </c>
      <c r="M285" s="2">
        <f t="shared" ref="M285" si="67">((D278)+(2*D279)+(3*D280)+(4*D281)+(4*D282)+(3*D283)+(2*D284)+(D285))/20</f>
        <v>879.95</v>
      </c>
      <c r="N285" s="2"/>
      <c r="O285" s="1">
        <f t="shared" ref="O285" si="68">((C285)+(C284*2)+(C283*3)+(C282*4)+(C281*5)+(C280*6)+(C279*7)+(C278*8))/36</f>
        <v>18.340740740740738</v>
      </c>
      <c r="P285" s="2">
        <f t="shared" ref="P285" si="69">((D285)+(D284*2)+(D283*3)+(D282*4)+(D281*5)+(D280*6)+(D279*7)+(D278*8))/36</f>
        <v>860.41666666666663</v>
      </c>
      <c r="Q285" s="2"/>
      <c r="R285" s="2"/>
    </row>
    <row r="286" spans="1:18" x14ac:dyDescent="0.45">
      <c r="B286" s="4">
        <v>45887</v>
      </c>
      <c r="C286">
        <f>23</f>
        <v>23</v>
      </c>
      <c r="D286" s="2">
        <v>1482</v>
      </c>
      <c r="E286" s="2">
        <v>0</v>
      </c>
      <c r="F286" s="2">
        <v>19504</v>
      </c>
      <c r="G286" s="2">
        <f t="shared" ref="G286:G287" si="70">AVERAGE(F283:F286)</f>
        <v>14066</v>
      </c>
      <c r="H286" s="2"/>
      <c r="I286" s="1">
        <f t="shared" ref="I286:I287" si="71">AVERAGE(C283:C286)</f>
        <v>17.920833333333334</v>
      </c>
      <c r="J286" s="2">
        <f t="shared" ref="J286:J287" si="72">AVERAGE(D283:D286)</f>
        <v>1007.75</v>
      </c>
      <c r="K286" s="2"/>
      <c r="L286" s="1">
        <f t="shared" ref="L286:L287" si="73">((C279)+(2*C280)+(3*C281)+(4*C282)+(4*C283)+(3*C284)+(2*C285)+(C286))/20</f>
        <v>17.567499999999999</v>
      </c>
      <c r="M286" s="2">
        <f t="shared" ref="M286:M287" si="74">((D279)+(2*D280)+(3*D281)+(4*D282)+(4*D283)+(3*D284)+(2*D285)+(D286))/20</f>
        <v>924.5</v>
      </c>
      <c r="N286" s="2"/>
      <c r="O286" s="1">
        <f t="shared" ref="O286:O287" si="75">((C286)+(C285*2)+(C284*3)+(C283*4)+(C282*5)+(C281*6)+(C280*7)+(C279*8))/36</f>
        <v>18.258333333333333</v>
      </c>
      <c r="P286" s="2">
        <f t="shared" ref="P286:P287" si="76">((D286)+(D285*2)+(D284*3)+(D283*4)+(D282*5)+(D281*6)+(D280*7)+(D279*8))/36</f>
        <v>894.05555555555554</v>
      </c>
      <c r="Q286" s="2"/>
      <c r="R286" s="2"/>
    </row>
    <row r="287" spans="1:18" x14ac:dyDescent="0.45">
      <c r="B287" s="4">
        <v>45894</v>
      </c>
      <c r="C287" s="1">
        <f>18+59/60</f>
        <v>18.983333333333334</v>
      </c>
      <c r="D287" s="2">
        <v>890</v>
      </c>
      <c r="E287" s="2">
        <v>1</v>
      </c>
      <c r="F287" s="2">
        <v>13913</v>
      </c>
      <c r="G287" s="2">
        <f t="shared" si="70"/>
        <v>12875</v>
      </c>
      <c r="H287" s="2"/>
      <c r="I287" s="1">
        <f t="shared" si="71"/>
        <v>17.175000000000001</v>
      </c>
      <c r="J287" s="2">
        <f t="shared" si="72"/>
        <v>878.5</v>
      </c>
      <c r="K287" s="2"/>
      <c r="L287" s="1">
        <f t="shared" si="73"/>
        <v>17.341666666666665</v>
      </c>
      <c r="M287" s="2">
        <f t="shared" si="74"/>
        <v>928.4</v>
      </c>
      <c r="N287" s="2"/>
      <c r="O287" s="1">
        <f t="shared" si="75"/>
        <v>16.718981481481482</v>
      </c>
      <c r="P287" s="2">
        <f t="shared" si="76"/>
        <v>863.94444444444446</v>
      </c>
      <c r="Q287" s="2"/>
      <c r="R287" s="2"/>
    </row>
    <row r="288" spans="1:18" x14ac:dyDescent="0.45">
      <c r="B288" s="4">
        <v>45901</v>
      </c>
      <c r="C288" s="1">
        <f>18+15/60</f>
        <v>18.25</v>
      </c>
      <c r="D288" s="2">
        <v>978</v>
      </c>
      <c r="E288" s="2">
        <v>2</v>
      </c>
      <c r="F288" s="2">
        <v>12850</v>
      </c>
      <c r="G288" s="2">
        <f t="shared" ref="G288:G290" si="77">AVERAGE(F285:F288)</f>
        <v>14183.25</v>
      </c>
      <c r="H288" s="2"/>
      <c r="I288" s="1">
        <f t="shared" ref="I288:I290" si="78">AVERAGE(C285:C288)</f>
        <v>19.100000000000001</v>
      </c>
      <c r="J288" s="2">
        <f t="shared" ref="J288:J290" si="79">AVERAGE(D285:D288)</f>
        <v>1002.5</v>
      </c>
      <c r="K288" s="2"/>
      <c r="L288" s="1">
        <f t="shared" ref="L288:L290" si="80">((C281)+(2*C282)+(3*C283)+(4*C284)+(4*C285)+(3*C286)+(2*C287)+(C288))/20</f>
        <v>17.62083333333333</v>
      </c>
      <c r="M288" s="2">
        <f t="shared" ref="M288:M290" si="81">((D281)+(2*D282)+(3*D283)+(4*D284)+(4*D285)+(3*D286)+(2*D287)+(D288))/20</f>
        <v>939.2</v>
      </c>
      <c r="N288" s="2"/>
      <c r="O288" s="1">
        <f t="shared" ref="O288:O290" si="82">((C288)+(C287*2)+(C286*3)+(C285*4)+(C284*5)+(C283*6)+(C282*7)+(C281*8))/36</f>
        <v>17.647222222222222</v>
      </c>
      <c r="P288" s="2">
        <f t="shared" ref="P288:P290" si="83">((D288)+(D287*2)+(D286*3)+(D285*4)+(D284*5)+(D283*6)+(D282*7)+(D281*8))/36</f>
        <v>925.61111111111109</v>
      </c>
    </row>
    <row r="289" spans="1:16" x14ac:dyDescent="0.45">
      <c r="A289" t="s">
        <v>290</v>
      </c>
      <c r="B289" s="4">
        <v>45908</v>
      </c>
      <c r="C289" s="1">
        <f>16+31/60</f>
        <v>16.516666666666666</v>
      </c>
      <c r="D289" s="2">
        <v>850</v>
      </c>
      <c r="E289" s="2">
        <v>1</v>
      </c>
      <c r="F289" s="2">
        <v>12453</v>
      </c>
      <c r="G289" s="2">
        <f t="shared" si="77"/>
        <v>14680</v>
      </c>
      <c r="H289" s="2"/>
      <c r="I289" s="1">
        <f t="shared" si="78"/>
        <v>19.1875</v>
      </c>
      <c r="J289" s="2">
        <f t="shared" si="79"/>
        <v>1050</v>
      </c>
      <c r="K289" s="2"/>
      <c r="L289" s="1">
        <f t="shared" si="80"/>
        <v>18.080833333333334</v>
      </c>
      <c r="M289" s="2">
        <f t="shared" si="81"/>
        <v>969.1</v>
      </c>
      <c r="N289" s="2"/>
      <c r="O289" s="1">
        <f t="shared" si="82"/>
        <v>18.196296296296296</v>
      </c>
      <c r="P289" s="2">
        <f t="shared" si="83"/>
        <v>1001.9166666666666</v>
      </c>
    </row>
    <row r="290" spans="1:16" x14ac:dyDescent="0.45">
      <c r="A290" t="s">
        <v>291</v>
      </c>
      <c r="B290" s="4">
        <v>45915</v>
      </c>
      <c r="C290" s="1">
        <f>19+37/60</f>
        <v>19.616666666666667</v>
      </c>
      <c r="D290" s="2">
        <v>1213</v>
      </c>
      <c r="E290" s="2">
        <v>0</v>
      </c>
      <c r="F290" s="2">
        <v>16434</v>
      </c>
      <c r="G290" s="2">
        <f t="shared" si="77"/>
        <v>13912.5</v>
      </c>
      <c r="H290" s="2"/>
      <c r="I290" s="1">
        <f t="shared" si="78"/>
        <v>18.341666666666669</v>
      </c>
      <c r="J290" s="2">
        <f t="shared" si="79"/>
        <v>982.75</v>
      </c>
      <c r="K290" s="2"/>
      <c r="L290" s="1">
        <f t="shared" si="80"/>
        <v>18.344999999999999</v>
      </c>
      <c r="M290" s="2">
        <f t="shared" si="81"/>
        <v>984.3</v>
      </c>
      <c r="N290" s="2"/>
      <c r="O290" s="1">
        <f t="shared" si="82"/>
        <v>17.914351851851855</v>
      </c>
      <c r="P290" s="2">
        <f t="shared" si="83"/>
        <v>983.52777777777783</v>
      </c>
    </row>
  </sheetData>
  <conditionalFormatting sqref="G5:H290">
    <cfRule type="colorScale" priority="1">
      <colorScale>
        <cfvo type="num" val="8000"/>
        <cfvo type="percentile" val="50"/>
        <cfvo type="num" val="20000"/>
        <color rgb="FFFF7C80"/>
        <color rgb="FFFFEB84"/>
        <color rgb="FF00B050"/>
      </colorScale>
    </cfRule>
  </conditionalFormatting>
  <conditionalFormatting sqref="I5:I290">
    <cfRule type="colorScale" priority="15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J5:K290">
    <cfRule type="colorScale" priority="14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L9:L290">
    <cfRule type="colorScale" priority="13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N290">
    <cfRule type="colorScale" priority="12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O13:O290">
    <cfRule type="colorScale" priority="10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3:P290">
    <cfRule type="colorScale" priority="11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20"/>
  <sheetViews>
    <sheetView zoomScale="85" zoomScaleNormal="85" workbookViewId="0">
      <pane ySplit="1" topLeftCell="A266" activePane="bottomLeft" state="frozen"/>
      <selection pane="bottomLeft" activeCell="E284" sqref="E284"/>
    </sheetView>
  </sheetViews>
  <sheetFormatPr defaultRowHeight="14.25" x14ac:dyDescent="0.45"/>
  <cols>
    <col min="1" max="1" width="29.3984375" customWidth="1"/>
    <col min="2" max="2" width="13" customWidth="1"/>
    <col min="3" max="3" width="12.265625" customWidth="1"/>
    <col min="7" max="7" width="11" customWidth="1"/>
    <col min="8" max="8" width="2" customWidth="1"/>
    <col min="9" max="9" width="11.265625" customWidth="1"/>
    <col min="10" max="10" width="9.73046875" customWidth="1"/>
    <col min="11" max="11" width="1.3984375" customWidth="1"/>
    <col min="12" max="12" width="16.3984375" customWidth="1"/>
    <col min="13" max="13" width="18.59765625" customWidth="1"/>
    <col min="14" max="14" width="1.59765625" customWidth="1"/>
    <col min="15" max="15" width="11.59765625" customWidth="1"/>
    <col min="16" max="16" width="13.73046875" customWidth="1"/>
  </cols>
  <sheetData>
    <row r="1" spans="1:16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</row>
    <row r="2" spans="1:16" x14ac:dyDescent="0.45">
      <c r="A2" s="12" t="s">
        <v>87</v>
      </c>
      <c r="B2" s="4">
        <v>43955</v>
      </c>
      <c r="C2" s="1">
        <v>13.66</v>
      </c>
      <c r="D2">
        <v>759</v>
      </c>
      <c r="E2">
        <v>0</v>
      </c>
      <c r="F2">
        <v>11369</v>
      </c>
      <c r="G2" s="5"/>
      <c r="I2" s="6"/>
      <c r="J2" s="6"/>
      <c r="K2" s="2"/>
      <c r="L2" s="6"/>
      <c r="M2" s="6"/>
      <c r="O2" s="6"/>
      <c r="P2" s="6"/>
    </row>
    <row r="3" spans="1:16" x14ac:dyDescent="0.45">
      <c r="A3" s="12"/>
      <c r="B3" s="4">
        <v>43962</v>
      </c>
      <c r="C3" s="1">
        <v>15.5</v>
      </c>
      <c r="D3">
        <v>859</v>
      </c>
      <c r="E3">
        <v>0</v>
      </c>
      <c r="F3">
        <v>8535</v>
      </c>
      <c r="L3" s="1"/>
      <c r="M3" s="2"/>
    </row>
    <row r="4" spans="1:16" x14ac:dyDescent="0.45">
      <c r="A4" s="12"/>
      <c r="B4" s="4">
        <v>43969</v>
      </c>
      <c r="C4" s="1">
        <v>11.5</v>
      </c>
      <c r="D4">
        <v>762</v>
      </c>
      <c r="E4">
        <v>0</v>
      </c>
      <c r="F4">
        <v>10052</v>
      </c>
      <c r="L4" s="1"/>
      <c r="M4" s="2"/>
    </row>
    <row r="5" spans="1:16" x14ac:dyDescent="0.45">
      <c r="A5" s="12"/>
      <c r="B5" s="4">
        <v>43976</v>
      </c>
      <c r="C5" s="1">
        <v>18.66</v>
      </c>
      <c r="D5">
        <v>1057</v>
      </c>
      <c r="E5">
        <v>0</v>
      </c>
      <c r="F5">
        <v>15364</v>
      </c>
      <c r="G5" s="2">
        <f>AVERAGE(F2:F5)</f>
        <v>11330</v>
      </c>
      <c r="I5" s="1">
        <f t="shared" ref="I5:I68" si="0">AVERAGE(C2:C5)</f>
        <v>14.829999999999998</v>
      </c>
      <c r="J5" s="2">
        <f t="shared" ref="J5:J68" si="1">AVERAGE(D2:D5)</f>
        <v>859.25</v>
      </c>
      <c r="L5" s="1"/>
      <c r="M5" s="2"/>
    </row>
    <row r="6" spans="1:16" x14ac:dyDescent="0.45">
      <c r="A6" s="12"/>
      <c r="B6" s="4">
        <v>43983</v>
      </c>
      <c r="C6" s="1">
        <v>11.33</v>
      </c>
      <c r="D6">
        <v>595</v>
      </c>
      <c r="E6">
        <v>1</v>
      </c>
      <c r="F6">
        <v>7623</v>
      </c>
      <c r="G6" s="2">
        <f t="shared" ref="G6:G69" si="2">AVERAGE(F3:F6)</f>
        <v>10393.5</v>
      </c>
      <c r="I6" s="1">
        <f t="shared" si="0"/>
        <v>14.247499999999999</v>
      </c>
      <c r="J6" s="2">
        <f t="shared" si="1"/>
        <v>818.25</v>
      </c>
      <c r="L6" s="1"/>
      <c r="M6" s="2"/>
    </row>
    <row r="7" spans="1:16" x14ac:dyDescent="0.45">
      <c r="A7" s="12"/>
      <c r="B7" s="4">
        <v>43990</v>
      </c>
      <c r="C7" s="1">
        <v>16.329999999999998</v>
      </c>
      <c r="D7">
        <v>926</v>
      </c>
      <c r="E7">
        <v>2</v>
      </c>
      <c r="F7">
        <v>14221</v>
      </c>
      <c r="G7" s="2">
        <f t="shared" si="2"/>
        <v>11815</v>
      </c>
      <c r="I7" s="1">
        <f t="shared" si="0"/>
        <v>14.455</v>
      </c>
      <c r="J7" s="2">
        <f t="shared" si="1"/>
        <v>835</v>
      </c>
      <c r="L7" s="1"/>
      <c r="M7" s="2"/>
    </row>
    <row r="8" spans="1:16" x14ac:dyDescent="0.45">
      <c r="A8" s="12"/>
      <c r="B8" s="4">
        <v>43997</v>
      </c>
      <c r="C8" s="1">
        <v>12.66</v>
      </c>
      <c r="D8">
        <v>597</v>
      </c>
      <c r="E8">
        <v>2</v>
      </c>
      <c r="F8">
        <v>10294</v>
      </c>
      <c r="G8" s="2">
        <f t="shared" si="2"/>
        <v>11875.5</v>
      </c>
      <c r="I8" s="1">
        <f t="shared" si="0"/>
        <v>14.745000000000001</v>
      </c>
      <c r="J8" s="2">
        <f t="shared" si="1"/>
        <v>793.75</v>
      </c>
      <c r="L8" s="1"/>
      <c r="M8" s="2"/>
    </row>
    <row r="9" spans="1:16" x14ac:dyDescent="0.45">
      <c r="A9" s="12"/>
      <c r="B9" s="4">
        <v>44004</v>
      </c>
      <c r="C9" s="1">
        <v>14.25</v>
      </c>
      <c r="D9">
        <v>747</v>
      </c>
      <c r="E9">
        <v>2</v>
      </c>
      <c r="F9">
        <v>12229</v>
      </c>
      <c r="G9" s="2">
        <f t="shared" si="2"/>
        <v>11091.75</v>
      </c>
      <c r="I9" s="1">
        <f t="shared" si="0"/>
        <v>13.642499999999998</v>
      </c>
      <c r="J9" s="2">
        <f t="shared" si="1"/>
        <v>716.25</v>
      </c>
      <c r="L9" s="1">
        <f t="shared" ref="L9:L72" si="3">((1*C2)+(2*C3)+(3*C4)+(4*C5)+(4*C6)+(3*C7)+(2*C8)+(C9))/20</f>
        <v>14.384</v>
      </c>
      <c r="M9" s="2">
        <f t="shared" ref="M9:M72" si="4">((1*D2)+(2*D3)+(3*D4)+(4*D5)+(4*D6)+(3*D7)+(2*D8)+(D9))/20</f>
        <v>804.5</v>
      </c>
    </row>
    <row r="10" spans="1:16" x14ac:dyDescent="0.45">
      <c r="A10" s="12"/>
      <c r="B10" s="4">
        <v>44011</v>
      </c>
      <c r="C10" s="1">
        <v>18</v>
      </c>
      <c r="D10">
        <v>982</v>
      </c>
      <c r="E10">
        <v>2</v>
      </c>
      <c r="F10">
        <v>14657</v>
      </c>
      <c r="G10" s="2">
        <f t="shared" si="2"/>
        <v>12850.25</v>
      </c>
      <c r="I10" s="1">
        <f t="shared" si="0"/>
        <v>15.309999999999999</v>
      </c>
      <c r="J10" s="2">
        <f t="shared" si="1"/>
        <v>813</v>
      </c>
      <c r="L10" s="1">
        <f t="shared" si="3"/>
        <v>14.48</v>
      </c>
      <c r="M10" s="2">
        <f t="shared" si="4"/>
        <v>795.25</v>
      </c>
    </row>
    <row r="11" spans="1:16" x14ac:dyDescent="0.45">
      <c r="A11" s="12"/>
      <c r="B11" s="4">
        <v>44018</v>
      </c>
      <c r="C11" s="1">
        <v>8.66</v>
      </c>
      <c r="D11">
        <v>978</v>
      </c>
      <c r="E11">
        <v>2</v>
      </c>
      <c r="F11">
        <v>6351</v>
      </c>
      <c r="G11" s="2">
        <f t="shared" si="2"/>
        <v>10882.75</v>
      </c>
      <c r="I11" s="1">
        <f t="shared" si="0"/>
        <v>13.392499999999998</v>
      </c>
      <c r="J11" s="2">
        <f t="shared" si="1"/>
        <v>826</v>
      </c>
      <c r="L11" s="1">
        <f t="shared" si="3"/>
        <v>14.309000000000001</v>
      </c>
      <c r="M11" s="2">
        <f t="shared" si="4"/>
        <v>796.8</v>
      </c>
    </row>
    <row r="12" spans="1:16" x14ac:dyDescent="0.45">
      <c r="A12" s="12"/>
      <c r="B12" s="4">
        <v>44025</v>
      </c>
      <c r="C12" s="1">
        <v>8.5</v>
      </c>
      <c r="D12">
        <v>515</v>
      </c>
      <c r="E12">
        <v>1</v>
      </c>
      <c r="F12">
        <v>7120</v>
      </c>
      <c r="G12" s="2">
        <f t="shared" si="2"/>
        <v>10089.25</v>
      </c>
      <c r="I12" s="1">
        <f t="shared" si="0"/>
        <v>12.352499999999999</v>
      </c>
      <c r="J12" s="2">
        <f t="shared" si="1"/>
        <v>805.5</v>
      </c>
      <c r="L12" s="1">
        <f t="shared" si="3"/>
        <v>13.888499999999999</v>
      </c>
      <c r="M12" s="2">
        <f t="shared" si="4"/>
        <v>790.9</v>
      </c>
    </row>
    <row r="13" spans="1:16" x14ac:dyDescent="0.45">
      <c r="A13" s="12"/>
      <c r="B13" s="4">
        <v>44032</v>
      </c>
      <c r="C13" s="1">
        <v>15.25</v>
      </c>
      <c r="D13">
        <v>690</v>
      </c>
      <c r="E13">
        <v>2</v>
      </c>
      <c r="F13">
        <v>10053</v>
      </c>
      <c r="G13" s="2">
        <f t="shared" si="2"/>
        <v>9545.25</v>
      </c>
      <c r="I13" s="1">
        <f t="shared" si="0"/>
        <v>12.602499999999999</v>
      </c>
      <c r="J13" s="2">
        <f t="shared" si="1"/>
        <v>791.25</v>
      </c>
      <c r="L13" s="1">
        <f t="shared" si="3"/>
        <v>13.459999999999999</v>
      </c>
      <c r="M13" s="2">
        <f t="shared" si="4"/>
        <v>790.4</v>
      </c>
      <c r="O13" s="1">
        <f t="shared" ref="O13:O76" si="5">((C13)+(C12*2)+(C11*3)+(C10*4)+(C9*5)+(C8*6)+(C7*7)+(C6*8))/36</f>
        <v>13.399722222222223</v>
      </c>
      <c r="P13" s="2">
        <f t="shared" ref="P13:P76" si="6">((D13)+(D12*2)+(D11*3)+(D10*4)+(D9*5)+(D8*6)+(D7*7)+(D6*8))/36</f>
        <v>753.91666666666663</v>
      </c>
    </row>
    <row r="14" spans="1:16" x14ac:dyDescent="0.45">
      <c r="A14" s="12"/>
      <c r="B14" s="4">
        <v>44039</v>
      </c>
      <c r="C14" s="1">
        <v>12.5</v>
      </c>
      <c r="D14">
        <v>554</v>
      </c>
      <c r="E14">
        <v>1</v>
      </c>
      <c r="F14">
        <v>8380</v>
      </c>
      <c r="G14" s="2">
        <f t="shared" si="2"/>
        <v>7976</v>
      </c>
      <c r="I14" s="1">
        <f t="shared" si="0"/>
        <v>11.227499999999999</v>
      </c>
      <c r="J14" s="2">
        <f t="shared" si="1"/>
        <v>684.25</v>
      </c>
      <c r="L14" s="1">
        <f t="shared" si="3"/>
        <v>12.977</v>
      </c>
      <c r="M14" s="2">
        <f t="shared" si="4"/>
        <v>784</v>
      </c>
      <c r="O14" s="1">
        <f t="shared" si="5"/>
        <v>13.830555555555556</v>
      </c>
      <c r="P14" s="2">
        <f t="shared" si="6"/>
        <v>788.05555555555554</v>
      </c>
    </row>
    <row r="15" spans="1:16" x14ac:dyDescent="0.45">
      <c r="A15" s="12"/>
      <c r="B15" s="4">
        <v>44046</v>
      </c>
      <c r="C15" s="1">
        <v>1.66</v>
      </c>
      <c r="D15">
        <v>29</v>
      </c>
      <c r="E15">
        <v>2</v>
      </c>
      <c r="F15">
        <v>842</v>
      </c>
      <c r="G15" s="2">
        <f t="shared" si="2"/>
        <v>6598.75</v>
      </c>
      <c r="I15" s="1">
        <f t="shared" si="0"/>
        <v>9.4774999999999991</v>
      </c>
      <c r="J15" s="2">
        <f t="shared" si="1"/>
        <v>447</v>
      </c>
      <c r="L15" s="1">
        <f t="shared" si="3"/>
        <v>11.810500000000001</v>
      </c>
      <c r="M15" s="2">
        <f t="shared" si="4"/>
        <v>710.8</v>
      </c>
      <c r="O15" s="1">
        <f t="shared" si="5"/>
        <v>12.742777777777778</v>
      </c>
      <c r="P15" s="2">
        <f t="shared" si="6"/>
        <v>723.72222222222217</v>
      </c>
    </row>
    <row r="16" spans="1:16" x14ac:dyDescent="0.45">
      <c r="A16" s="12"/>
      <c r="B16" s="4">
        <v>44053</v>
      </c>
      <c r="C16" s="1">
        <v>8.66</v>
      </c>
      <c r="D16">
        <v>328</v>
      </c>
      <c r="E16">
        <v>0</v>
      </c>
      <c r="F16">
        <v>2725</v>
      </c>
      <c r="G16" s="2">
        <f t="shared" si="2"/>
        <v>5500</v>
      </c>
      <c r="I16" s="1">
        <f t="shared" si="0"/>
        <v>9.5175000000000001</v>
      </c>
      <c r="J16" s="2">
        <f t="shared" si="1"/>
        <v>400.25</v>
      </c>
      <c r="L16" s="1">
        <f t="shared" si="3"/>
        <v>11.035500000000001</v>
      </c>
      <c r="M16" s="2">
        <f t="shared" si="4"/>
        <v>625.65</v>
      </c>
      <c r="O16" s="1">
        <f t="shared" si="5"/>
        <v>12.359444444444446</v>
      </c>
      <c r="P16" s="2">
        <f t="shared" si="6"/>
        <v>725.02777777777783</v>
      </c>
    </row>
    <row r="17" spans="1:16" x14ac:dyDescent="0.45">
      <c r="A17" s="12"/>
      <c r="B17" s="4">
        <v>44060</v>
      </c>
      <c r="C17" s="1">
        <v>6.5</v>
      </c>
      <c r="D17">
        <v>265</v>
      </c>
      <c r="E17">
        <v>0</v>
      </c>
      <c r="F17">
        <v>3749</v>
      </c>
      <c r="G17" s="2">
        <f t="shared" si="2"/>
        <v>3924</v>
      </c>
      <c r="I17" s="1">
        <f t="shared" si="0"/>
        <v>7.33</v>
      </c>
      <c r="J17" s="2">
        <f t="shared" si="1"/>
        <v>294</v>
      </c>
      <c r="L17" s="1">
        <f t="shared" si="3"/>
        <v>10.030999999999999</v>
      </c>
      <c r="M17" s="2">
        <f t="shared" si="4"/>
        <v>523.35</v>
      </c>
      <c r="O17" s="1">
        <f t="shared" si="5"/>
        <v>11.407500000000001</v>
      </c>
      <c r="P17" s="2">
        <f t="shared" si="6"/>
        <v>679.61111111111109</v>
      </c>
    </row>
    <row r="18" spans="1:16" x14ac:dyDescent="0.45">
      <c r="A18" s="12"/>
      <c r="B18" s="4">
        <v>44067</v>
      </c>
      <c r="C18" s="1">
        <v>17.5</v>
      </c>
      <c r="D18">
        <v>944</v>
      </c>
      <c r="E18">
        <v>0</v>
      </c>
      <c r="F18">
        <v>12029</v>
      </c>
      <c r="G18" s="2">
        <f t="shared" si="2"/>
        <v>4836.25</v>
      </c>
      <c r="I18" s="1">
        <f t="shared" si="0"/>
        <v>8.58</v>
      </c>
      <c r="J18" s="2">
        <f t="shared" si="1"/>
        <v>391.5</v>
      </c>
      <c r="L18" s="1">
        <f t="shared" si="3"/>
        <v>9.2264999999999979</v>
      </c>
      <c r="M18" s="2">
        <f t="shared" si="4"/>
        <v>443.4</v>
      </c>
      <c r="O18" s="1">
        <f t="shared" si="5"/>
        <v>9.6083333333333325</v>
      </c>
      <c r="P18" s="2">
        <f t="shared" si="6"/>
        <v>580.91666666666663</v>
      </c>
    </row>
    <row r="19" spans="1:16" x14ac:dyDescent="0.45">
      <c r="A19" s="12"/>
      <c r="B19" s="4">
        <v>44074</v>
      </c>
      <c r="C19" s="1">
        <v>17.329999999999998</v>
      </c>
      <c r="D19">
        <v>881</v>
      </c>
      <c r="E19">
        <v>2</v>
      </c>
      <c r="F19">
        <v>13285</v>
      </c>
      <c r="G19" s="2">
        <f t="shared" si="2"/>
        <v>7947</v>
      </c>
      <c r="I19" s="1">
        <f t="shared" si="0"/>
        <v>12.497499999999999</v>
      </c>
      <c r="J19" s="2">
        <f t="shared" si="1"/>
        <v>604.5</v>
      </c>
      <c r="L19" s="1">
        <f t="shared" si="3"/>
        <v>9.480500000000001</v>
      </c>
      <c r="M19" s="2">
        <f t="shared" si="4"/>
        <v>427.45</v>
      </c>
      <c r="O19" s="1">
        <f t="shared" si="5"/>
        <v>10.125555555555556</v>
      </c>
      <c r="P19" s="2">
        <f t="shared" si="6"/>
        <v>480.41666666666669</v>
      </c>
    </row>
    <row r="20" spans="1:16" x14ac:dyDescent="0.45">
      <c r="A20" s="12"/>
      <c r="B20" s="4">
        <v>44081</v>
      </c>
      <c r="C20" s="1">
        <v>20</v>
      </c>
      <c r="D20">
        <v>1070</v>
      </c>
      <c r="E20">
        <v>2</v>
      </c>
      <c r="F20">
        <v>17258</v>
      </c>
      <c r="G20" s="2">
        <f t="shared" si="2"/>
        <v>11580.25</v>
      </c>
      <c r="I20" s="1">
        <f t="shared" si="0"/>
        <v>15.3325</v>
      </c>
      <c r="J20" s="2">
        <f t="shared" si="1"/>
        <v>790</v>
      </c>
      <c r="L20" s="1">
        <f t="shared" si="3"/>
        <v>10.6515</v>
      </c>
      <c r="M20" s="2">
        <f t="shared" si="4"/>
        <v>496.05</v>
      </c>
      <c r="O20" s="1">
        <f t="shared" si="5"/>
        <v>10.997777777777777</v>
      </c>
      <c r="P20" s="2">
        <f t="shared" si="6"/>
        <v>498.22222222222223</v>
      </c>
    </row>
    <row r="21" spans="1:16" x14ac:dyDescent="0.45">
      <c r="A21" s="12"/>
      <c r="B21" s="4">
        <v>44088</v>
      </c>
      <c r="C21" s="1">
        <v>10.5</v>
      </c>
      <c r="D21">
        <v>591</v>
      </c>
      <c r="E21">
        <v>2</v>
      </c>
      <c r="F21">
        <v>8106</v>
      </c>
      <c r="G21" s="2">
        <f t="shared" si="2"/>
        <v>12669.5</v>
      </c>
      <c r="I21" s="1">
        <f t="shared" si="0"/>
        <v>16.3325</v>
      </c>
      <c r="J21" s="2">
        <f t="shared" si="1"/>
        <v>871.5</v>
      </c>
      <c r="L21" s="1">
        <f t="shared" si="3"/>
        <v>12.014500000000002</v>
      </c>
      <c r="M21" s="2">
        <f t="shared" si="4"/>
        <v>590.29999999999995</v>
      </c>
      <c r="O21" s="1">
        <f t="shared" si="5"/>
        <v>10.238055555555555</v>
      </c>
      <c r="P21" s="2">
        <f t="shared" si="6"/>
        <v>474.38888888888891</v>
      </c>
    </row>
    <row r="22" spans="1:16" x14ac:dyDescent="0.45">
      <c r="A22" s="12"/>
      <c r="B22" s="4">
        <v>44095</v>
      </c>
      <c r="C22" s="1">
        <v>10.5</v>
      </c>
      <c r="D22">
        <v>546</v>
      </c>
      <c r="E22">
        <v>2</v>
      </c>
      <c r="F22">
        <v>7830</v>
      </c>
      <c r="G22" s="2">
        <f t="shared" si="2"/>
        <v>11619.75</v>
      </c>
      <c r="I22" s="1">
        <f t="shared" si="0"/>
        <v>14.5825</v>
      </c>
      <c r="J22" s="2">
        <f t="shared" si="1"/>
        <v>772</v>
      </c>
      <c r="L22" s="1">
        <f t="shared" si="3"/>
        <v>13.465</v>
      </c>
      <c r="M22" s="2">
        <f t="shared" si="4"/>
        <v>685.9</v>
      </c>
      <c r="O22" s="1">
        <f t="shared" si="5"/>
        <v>10.033888888888889</v>
      </c>
      <c r="P22" s="2">
        <f t="shared" si="6"/>
        <v>480.55555555555554</v>
      </c>
    </row>
    <row r="23" spans="1:16" x14ac:dyDescent="0.45">
      <c r="A23" s="12"/>
      <c r="B23" s="4">
        <v>44102</v>
      </c>
      <c r="C23" s="1">
        <v>18</v>
      </c>
      <c r="D23">
        <v>1006</v>
      </c>
      <c r="E23">
        <v>2</v>
      </c>
      <c r="F23">
        <v>14741</v>
      </c>
      <c r="G23" s="2">
        <f t="shared" si="2"/>
        <v>11983.75</v>
      </c>
      <c r="I23" s="1">
        <f t="shared" si="0"/>
        <v>14.75</v>
      </c>
      <c r="J23" s="2">
        <f t="shared" si="1"/>
        <v>803.25</v>
      </c>
      <c r="L23" s="1">
        <f t="shared" si="3"/>
        <v>14.699000000000002</v>
      </c>
      <c r="M23" s="2">
        <f t="shared" si="4"/>
        <v>768.25</v>
      </c>
      <c r="O23" s="1">
        <f t="shared" si="5"/>
        <v>12.692499999999999</v>
      </c>
      <c r="P23" s="2">
        <f t="shared" si="6"/>
        <v>630.52777777777783</v>
      </c>
    </row>
    <row r="24" spans="1:16" x14ac:dyDescent="0.45">
      <c r="A24" s="12"/>
      <c r="B24" s="4">
        <v>44109</v>
      </c>
      <c r="C24" s="1">
        <v>20.25</v>
      </c>
      <c r="D24">
        <v>1129</v>
      </c>
      <c r="E24">
        <v>2</v>
      </c>
      <c r="F24">
        <v>17297</v>
      </c>
      <c r="G24" s="2">
        <f t="shared" si="2"/>
        <v>11993.5</v>
      </c>
      <c r="I24" s="1">
        <f t="shared" si="0"/>
        <v>14.8125</v>
      </c>
      <c r="J24" s="2">
        <f t="shared" si="1"/>
        <v>818</v>
      </c>
      <c r="L24" s="1">
        <f t="shared" si="3"/>
        <v>15.162000000000001</v>
      </c>
      <c r="M24" s="2">
        <f t="shared" si="4"/>
        <v>810.95</v>
      </c>
      <c r="O24" s="1">
        <f t="shared" si="5"/>
        <v>14.1175</v>
      </c>
      <c r="P24" s="2">
        <f t="shared" si="6"/>
        <v>736.30555555555554</v>
      </c>
    </row>
    <row r="25" spans="1:16" x14ac:dyDescent="0.45">
      <c r="A25" s="12"/>
      <c r="B25" s="4">
        <v>44116</v>
      </c>
      <c r="C25" s="1">
        <v>17</v>
      </c>
      <c r="D25">
        <v>850</v>
      </c>
      <c r="E25">
        <v>2</v>
      </c>
      <c r="F25">
        <v>12649</v>
      </c>
      <c r="G25" s="2">
        <f t="shared" si="2"/>
        <v>13129.25</v>
      </c>
      <c r="I25" s="1">
        <f t="shared" si="0"/>
        <v>16.4375</v>
      </c>
      <c r="J25" s="2">
        <f t="shared" si="1"/>
        <v>882.75</v>
      </c>
      <c r="L25" s="1">
        <f t="shared" si="3"/>
        <v>15.382999999999999</v>
      </c>
      <c r="M25" s="2">
        <f t="shared" si="4"/>
        <v>829.5</v>
      </c>
      <c r="O25" s="1">
        <f t="shared" si="5"/>
        <v>16.314166666666665</v>
      </c>
      <c r="P25" s="2">
        <f t="shared" si="6"/>
        <v>872.33333333333337</v>
      </c>
    </row>
    <row r="26" spans="1:16" x14ac:dyDescent="0.45">
      <c r="A26" s="12"/>
      <c r="B26" s="4">
        <v>44123</v>
      </c>
      <c r="C26" s="1">
        <v>12</v>
      </c>
      <c r="D26">
        <v>661</v>
      </c>
      <c r="E26">
        <v>2</v>
      </c>
      <c r="F26">
        <v>9682</v>
      </c>
      <c r="G26" s="2">
        <f t="shared" si="2"/>
        <v>13592.25</v>
      </c>
      <c r="I26" s="1">
        <f t="shared" si="0"/>
        <v>16.8125</v>
      </c>
      <c r="J26" s="2">
        <f t="shared" si="1"/>
        <v>911.5</v>
      </c>
      <c r="L26" s="1">
        <f t="shared" si="3"/>
        <v>15.478999999999999</v>
      </c>
      <c r="M26" s="2">
        <f t="shared" si="4"/>
        <v>837.5</v>
      </c>
      <c r="O26" s="1">
        <f t="shared" si="5"/>
        <v>15.913611111111111</v>
      </c>
      <c r="P26" s="2">
        <f t="shared" si="6"/>
        <v>849.61111111111109</v>
      </c>
    </row>
    <row r="27" spans="1:16" x14ac:dyDescent="0.45">
      <c r="A27" s="12"/>
      <c r="B27" s="4">
        <v>44130</v>
      </c>
      <c r="C27" s="1">
        <v>4.25</v>
      </c>
      <c r="D27">
        <v>167</v>
      </c>
      <c r="E27">
        <v>1</v>
      </c>
      <c r="F27">
        <v>3017</v>
      </c>
      <c r="G27" s="2">
        <f t="shared" si="2"/>
        <v>10661.25</v>
      </c>
      <c r="I27" s="1">
        <f t="shared" si="0"/>
        <v>13.375</v>
      </c>
      <c r="J27" s="2">
        <f t="shared" si="1"/>
        <v>701.75</v>
      </c>
      <c r="L27" s="1">
        <f t="shared" si="3"/>
        <v>15.237500000000001</v>
      </c>
      <c r="M27" s="2">
        <f t="shared" si="4"/>
        <v>823.45</v>
      </c>
      <c r="O27" s="1">
        <f t="shared" si="5"/>
        <v>15.1875</v>
      </c>
      <c r="P27" s="2">
        <f t="shared" si="6"/>
        <v>821.05555555555554</v>
      </c>
    </row>
    <row r="28" spans="1:16" x14ac:dyDescent="0.45">
      <c r="A28" s="12" t="s">
        <v>13</v>
      </c>
      <c r="B28" s="4">
        <v>44137</v>
      </c>
      <c r="C28" s="1">
        <v>21.66</v>
      </c>
      <c r="D28">
        <v>1209</v>
      </c>
      <c r="E28">
        <v>0</v>
      </c>
      <c r="F28">
        <v>16106</v>
      </c>
      <c r="G28" s="2">
        <f t="shared" si="2"/>
        <v>10363.5</v>
      </c>
      <c r="I28" s="1">
        <f t="shared" si="0"/>
        <v>13.727499999999999</v>
      </c>
      <c r="J28" s="2">
        <f t="shared" si="1"/>
        <v>721.75</v>
      </c>
      <c r="L28" s="1">
        <f t="shared" si="3"/>
        <v>15.033000000000001</v>
      </c>
      <c r="M28" s="2">
        <f t="shared" si="4"/>
        <v>807.15</v>
      </c>
      <c r="O28" s="1">
        <f t="shared" si="5"/>
        <v>13.914166666666667</v>
      </c>
      <c r="P28" s="2">
        <f t="shared" si="6"/>
        <v>754.36111111111109</v>
      </c>
    </row>
    <row r="29" spans="1:16" x14ac:dyDescent="0.45">
      <c r="A29" s="12"/>
      <c r="B29" s="4">
        <v>44144</v>
      </c>
      <c r="C29" s="1">
        <v>0.25</v>
      </c>
      <c r="D29">
        <v>10</v>
      </c>
      <c r="E29">
        <v>0</v>
      </c>
      <c r="F29">
        <v>176</v>
      </c>
      <c r="G29" s="2">
        <f t="shared" si="2"/>
        <v>7245.25</v>
      </c>
      <c r="I29" s="1">
        <f t="shared" si="0"/>
        <v>9.5399999999999991</v>
      </c>
      <c r="J29" s="2">
        <f t="shared" si="1"/>
        <v>511.75</v>
      </c>
      <c r="L29" s="1">
        <f t="shared" si="3"/>
        <v>13.9785</v>
      </c>
      <c r="M29" s="2">
        <f t="shared" si="4"/>
        <v>745.9</v>
      </c>
      <c r="O29" s="1">
        <f t="shared" si="5"/>
        <v>14.467222222222221</v>
      </c>
      <c r="P29" s="2">
        <f t="shared" si="6"/>
        <v>777.97222222222217</v>
      </c>
    </row>
    <row r="30" spans="1:16" x14ac:dyDescent="0.45">
      <c r="A30" s="12"/>
      <c r="B30" s="4">
        <v>44151</v>
      </c>
      <c r="C30" s="1">
        <v>11</v>
      </c>
      <c r="D30">
        <v>638</v>
      </c>
      <c r="E30">
        <v>0</v>
      </c>
      <c r="F30">
        <v>6389</v>
      </c>
      <c r="G30" s="2">
        <f t="shared" si="2"/>
        <v>6422</v>
      </c>
      <c r="I30" s="1">
        <f t="shared" si="0"/>
        <v>9.2899999999999991</v>
      </c>
      <c r="J30" s="2">
        <f t="shared" si="1"/>
        <v>506</v>
      </c>
      <c r="L30" s="1">
        <f t="shared" si="3"/>
        <v>12.549000000000001</v>
      </c>
      <c r="M30" s="2">
        <f t="shared" si="4"/>
        <v>670.55</v>
      </c>
      <c r="O30" s="1">
        <f t="shared" si="5"/>
        <v>15.034166666666668</v>
      </c>
      <c r="P30" s="2">
        <f t="shared" si="6"/>
        <v>814.13888888888891</v>
      </c>
    </row>
    <row r="31" spans="1:16" x14ac:dyDescent="0.45">
      <c r="A31" s="12" t="s">
        <v>14</v>
      </c>
      <c r="B31" s="4">
        <v>44158</v>
      </c>
      <c r="C31" s="1">
        <v>9.66</v>
      </c>
      <c r="D31">
        <v>344</v>
      </c>
      <c r="E31">
        <v>0</v>
      </c>
      <c r="F31">
        <v>5220</v>
      </c>
      <c r="G31" s="2">
        <f t="shared" si="2"/>
        <v>6972.75</v>
      </c>
      <c r="I31" s="1">
        <f t="shared" si="0"/>
        <v>10.642499999999998</v>
      </c>
      <c r="J31" s="2">
        <f t="shared" si="1"/>
        <v>550.25</v>
      </c>
      <c r="L31" s="1">
        <f t="shared" si="3"/>
        <v>11.315</v>
      </c>
      <c r="M31" s="2">
        <f t="shared" si="4"/>
        <v>598.29999999999995</v>
      </c>
      <c r="O31" s="1">
        <f t="shared" si="5"/>
        <v>13.702777777777778</v>
      </c>
      <c r="P31" s="2">
        <f t="shared" si="6"/>
        <v>729.69444444444446</v>
      </c>
    </row>
    <row r="32" spans="1:16" x14ac:dyDescent="0.45">
      <c r="A32" s="12" t="s">
        <v>15</v>
      </c>
      <c r="B32" s="4">
        <v>44165</v>
      </c>
      <c r="C32" s="1">
        <v>8</v>
      </c>
      <c r="D32">
        <v>422</v>
      </c>
      <c r="E32">
        <v>0</v>
      </c>
      <c r="F32">
        <v>2271</v>
      </c>
      <c r="G32" s="2">
        <f t="shared" si="2"/>
        <v>3514</v>
      </c>
      <c r="I32" s="1">
        <f t="shared" si="0"/>
        <v>7.2275</v>
      </c>
      <c r="J32" s="2">
        <f t="shared" si="1"/>
        <v>353.5</v>
      </c>
      <c r="L32" s="1">
        <f t="shared" si="3"/>
        <v>10.0855</v>
      </c>
      <c r="M32" s="2">
        <f t="shared" si="4"/>
        <v>528.65</v>
      </c>
      <c r="O32" s="1">
        <f t="shared" si="5"/>
        <v>11.531111111111111</v>
      </c>
      <c r="P32" s="2">
        <f t="shared" si="6"/>
        <v>598.27777777777783</v>
      </c>
    </row>
    <row r="33" spans="1:16" x14ac:dyDescent="0.45">
      <c r="A33" s="12"/>
      <c r="B33" s="4">
        <v>44172</v>
      </c>
      <c r="C33" s="1">
        <v>11</v>
      </c>
      <c r="D33">
        <v>515</v>
      </c>
      <c r="E33">
        <v>1</v>
      </c>
      <c r="F33">
        <v>6565</v>
      </c>
      <c r="G33" s="2">
        <f t="shared" si="2"/>
        <v>5111.25</v>
      </c>
      <c r="I33" s="1">
        <f t="shared" si="0"/>
        <v>9.9149999999999991</v>
      </c>
      <c r="J33" s="2">
        <f t="shared" si="1"/>
        <v>479.75</v>
      </c>
      <c r="L33" s="1">
        <f t="shared" si="3"/>
        <v>9.3230000000000004</v>
      </c>
      <c r="M33" s="2">
        <f t="shared" si="4"/>
        <v>480.25</v>
      </c>
      <c r="O33" s="1">
        <f t="shared" si="5"/>
        <v>9.9149999999999991</v>
      </c>
      <c r="P33" s="2">
        <f t="shared" si="6"/>
        <v>519.55555555555554</v>
      </c>
    </row>
    <row r="34" spans="1:16" x14ac:dyDescent="0.45">
      <c r="A34" s="12"/>
      <c r="B34" s="4">
        <v>44179</v>
      </c>
      <c r="C34" s="1">
        <v>15.5</v>
      </c>
      <c r="D34">
        <v>709</v>
      </c>
      <c r="E34">
        <v>0</v>
      </c>
      <c r="F34">
        <v>10006</v>
      </c>
      <c r="G34" s="2">
        <f t="shared" si="2"/>
        <v>6015.5</v>
      </c>
      <c r="I34" s="1">
        <f t="shared" si="0"/>
        <v>11.04</v>
      </c>
      <c r="J34" s="2">
        <f t="shared" si="1"/>
        <v>497.5</v>
      </c>
      <c r="L34" s="1">
        <f t="shared" si="3"/>
        <v>9.6229999999999993</v>
      </c>
      <c r="M34" s="2">
        <f t="shared" si="4"/>
        <v>477.4</v>
      </c>
      <c r="O34" s="1">
        <f t="shared" si="5"/>
        <v>9.5072222222222216</v>
      </c>
      <c r="P34" s="2">
        <f t="shared" si="6"/>
        <v>484.16666666666669</v>
      </c>
    </row>
    <row r="35" spans="1:16" x14ac:dyDescent="0.45">
      <c r="A35" s="12"/>
      <c r="B35" s="4">
        <v>44186</v>
      </c>
      <c r="C35" s="1">
        <v>17.66</v>
      </c>
      <c r="D35">
        <v>803</v>
      </c>
      <c r="E35">
        <v>0</v>
      </c>
      <c r="F35">
        <v>9215</v>
      </c>
      <c r="G35" s="2">
        <f t="shared" si="2"/>
        <v>7014.25</v>
      </c>
      <c r="I35" s="1">
        <f t="shared" si="0"/>
        <v>13.04</v>
      </c>
      <c r="J35" s="2">
        <f t="shared" si="1"/>
        <v>612.25</v>
      </c>
      <c r="L35" s="1">
        <f t="shared" si="3"/>
        <v>10.373000000000001</v>
      </c>
      <c r="M35" s="2">
        <f t="shared" si="4"/>
        <v>498.65</v>
      </c>
      <c r="O35" s="1">
        <f t="shared" si="5"/>
        <v>11.194166666666668</v>
      </c>
      <c r="P35" s="2">
        <f t="shared" si="6"/>
        <v>576.22222222222217</v>
      </c>
    </row>
    <row r="36" spans="1:16" x14ac:dyDescent="0.45">
      <c r="A36" s="12"/>
      <c r="B36" s="4">
        <v>44193</v>
      </c>
      <c r="C36" s="1">
        <v>14</v>
      </c>
      <c r="D36">
        <v>754</v>
      </c>
      <c r="E36">
        <v>0</v>
      </c>
      <c r="F36">
        <v>9471</v>
      </c>
      <c r="G36" s="2">
        <f t="shared" si="2"/>
        <v>8814.25</v>
      </c>
      <c r="I36" s="1">
        <f t="shared" si="0"/>
        <v>14.54</v>
      </c>
      <c r="J36" s="2">
        <f t="shared" si="1"/>
        <v>695.25</v>
      </c>
      <c r="L36" s="1">
        <f t="shared" si="3"/>
        <v>11.1525</v>
      </c>
      <c r="M36" s="2">
        <f t="shared" si="4"/>
        <v>527.65</v>
      </c>
      <c r="O36" s="1">
        <f t="shared" si="5"/>
        <v>8.7994444444444433</v>
      </c>
      <c r="P36" s="2">
        <f t="shared" si="6"/>
        <v>424.08333333333331</v>
      </c>
    </row>
    <row r="37" spans="1:16" x14ac:dyDescent="0.45">
      <c r="A37" s="12"/>
      <c r="B37" s="4">
        <v>44200</v>
      </c>
      <c r="C37" s="1">
        <v>15.75</v>
      </c>
      <c r="D37">
        <v>744</v>
      </c>
      <c r="E37">
        <v>0</v>
      </c>
      <c r="F37">
        <v>12383</v>
      </c>
      <c r="G37" s="2">
        <f t="shared" si="2"/>
        <v>10268.75</v>
      </c>
      <c r="I37" s="1">
        <f t="shared" si="0"/>
        <v>15.727499999999999</v>
      </c>
      <c r="J37" s="2">
        <f t="shared" si="1"/>
        <v>752.5</v>
      </c>
      <c r="L37" s="1">
        <f t="shared" si="3"/>
        <v>12.852500000000001</v>
      </c>
      <c r="M37" s="2">
        <f t="shared" si="4"/>
        <v>607.45000000000005</v>
      </c>
      <c r="O37" s="1">
        <f t="shared" si="5"/>
        <v>11.593055555555557</v>
      </c>
      <c r="P37" s="2">
        <f t="shared" si="6"/>
        <v>558.77777777777783</v>
      </c>
    </row>
    <row r="38" spans="1:16" x14ac:dyDescent="0.45">
      <c r="A38" s="12" t="s">
        <v>16</v>
      </c>
      <c r="B38" s="4">
        <v>44207</v>
      </c>
      <c r="C38" s="1">
        <v>16.329999999999998</v>
      </c>
      <c r="D38">
        <v>970</v>
      </c>
      <c r="E38">
        <v>0</v>
      </c>
      <c r="F38">
        <v>13773</v>
      </c>
      <c r="G38" s="2">
        <f t="shared" si="2"/>
        <v>11210.5</v>
      </c>
      <c r="I38" s="1">
        <f t="shared" si="0"/>
        <v>15.934999999999999</v>
      </c>
      <c r="J38" s="2">
        <f t="shared" si="1"/>
        <v>817.75</v>
      </c>
      <c r="L38" s="1">
        <f t="shared" si="3"/>
        <v>14.0565</v>
      </c>
      <c r="M38" s="2">
        <f t="shared" si="4"/>
        <v>675.05</v>
      </c>
      <c r="O38" s="1">
        <f t="shared" si="5"/>
        <v>12.145833333333334</v>
      </c>
      <c r="P38" s="2">
        <f t="shared" si="6"/>
        <v>563.13888888888891</v>
      </c>
    </row>
    <row r="39" spans="1:16" x14ac:dyDescent="0.45">
      <c r="A39" s="12"/>
      <c r="B39" s="4">
        <v>44214</v>
      </c>
      <c r="C39" s="1">
        <v>10.5</v>
      </c>
      <c r="D39">
        <v>639</v>
      </c>
      <c r="E39">
        <v>0</v>
      </c>
      <c r="F39">
        <v>7808</v>
      </c>
      <c r="G39" s="2">
        <f t="shared" si="2"/>
        <v>10858.75</v>
      </c>
      <c r="I39" s="1">
        <f t="shared" si="0"/>
        <v>14.145</v>
      </c>
      <c r="J39" s="2">
        <f t="shared" si="1"/>
        <v>776.75</v>
      </c>
      <c r="L39" s="1">
        <f t="shared" si="3"/>
        <v>14.677499999999998</v>
      </c>
      <c r="M39" s="2">
        <f t="shared" si="4"/>
        <v>730.9</v>
      </c>
      <c r="O39" s="1">
        <f t="shared" si="5"/>
        <v>13.019722222222221</v>
      </c>
      <c r="P39" s="2">
        <f t="shared" si="6"/>
        <v>641.02777777777783</v>
      </c>
    </row>
    <row r="40" spans="1:16" x14ac:dyDescent="0.45">
      <c r="A40" s="12"/>
      <c r="B40" s="4">
        <v>44221</v>
      </c>
      <c r="C40" s="1">
        <v>14.33</v>
      </c>
      <c r="D40">
        <v>600</v>
      </c>
      <c r="E40">
        <v>2</v>
      </c>
      <c r="F40">
        <v>7319</v>
      </c>
      <c r="G40" s="2">
        <f t="shared" si="2"/>
        <v>10320.75</v>
      </c>
      <c r="I40" s="1">
        <f t="shared" si="0"/>
        <v>14.227499999999999</v>
      </c>
      <c r="J40" s="2">
        <f t="shared" si="1"/>
        <v>738.25</v>
      </c>
      <c r="L40" s="1">
        <f t="shared" si="3"/>
        <v>14.915000000000001</v>
      </c>
      <c r="M40" s="2">
        <f t="shared" si="4"/>
        <v>756.1</v>
      </c>
      <c r="O40" s="1">
        <f t="shared" si="5"/>
        <v>14.438333333333333</v>
      </c>
      <c r="P40" s="2">
        <f t="shared" si="6"/>
        <v>706.52777777777783</v>
      </c>
    </row>
    <row r="41" spans="1:16" x14ac:dyDescent="0.45">
      <c r="A41" s="12"/>
      <c r="B41" s="4">
        <v>44228</v>
      </c>
      <c r="C41" s="1">
        <v>16</v>
      </c>
      <c r="D41">
        <v>894</v>
      </c>
      <c r="E41">
        <v>2</v>
      </c>
      <c r="F41">
        <v>11521</v>
      </c>
      <c r="G41" s="2">
        <f t="shared" si="2"/>
        <v>10105.25</v>
      </c>
      <c r="I41" s="1">
        <f t="shared" si="0"/>
        <v>14.29</v>
      </c>
      <c r="J41" s="2">
        <f t="shared" si="1"/>
        <v>775.75</v>
      </c>
      <c r="L41" s="1">
        <f t="shared" si="3"/>
        <v>14.865</v>
      </c>
      <c r="M41" s="2">
        <f t="shared" si="4"/>
        <v>772.2</v>
      </c>
      <c r="O41" s="1">
        <f t="shared" si="5"/>
        <v>15.329166666666667</v>
      </c>
      <c r="P41" s="2">
        <f t="shared" si="6"/>
        <v>761.88888888888891</v>
      </c>
    </row>
    <row r="42" spans="1:16" x14ac:dyDescent="0.45">
      <c r="A42" s="12" t="s">
        <v>17</v>
      </c>
      <c r="B42" s="4">
        <v>44235</v>
      </c>
      <c r="C42" s="1">
        <v>13.5</v>
      </c>
      <c r="D42">
        <v>788</v>
      </c>
      <c r="E42">
        <v>0</v>
      </c>
      <c r="F42">
        <v>11211</v>
      </c>
      <c r="G42" s="2">
        <f t="shared" si="2"/>
        <v>9464.75</v>
      </c>
      <c r="I42" s="1">
        <f t="shared" si="0"/>
        <v>13.5825</v>
      </c>
      <c r="J42" s="2">
        <f t="shared" si="1"/>
        <v>730.25</v>
      </c>
      <c r="L42" s="1">
        <f t="shared" si="3"/>
        <v>14.436000000000002</v>
      </c>
      <c r="M42" s="2">
        <f t="shared" si="4"/>
        <v>767.75</v>
      </c>
      <c r="O42" s="1">
        <f t="shared" si="5"/>
        <v>15.164444444444444</v>
      </c>
      <c r="P42" s="2">
        <f t="shared" si="6"/>
        <v>776.33333333333337</v>
      </c>
    </row>
    <row r="43" spans="1:16" x14ac:dyDescent="0.45">
      <c r="A43" s="12"/>
      <c r="B43" s="4">
        <v>44242</v>
      </c>
      <c r="C43" s="1">
        <v>6.75</v>
      </c>
      <c r="D43">
        <v>330</v>
      </c>
      <c r="E43">
        <v>1</v>
      </c>
      <c r="F43">
        <v>3731</v>
      </c>
      <c r="G43" s="2">
        <f t="shared" si="2"/>
        <v>8445.5</v>
      </c>
      <c r="I43" s="1">
        <f t="shared" si="0"/>
        <v>12.645</v>
      </c>
      <c r="J43" s="2">
        <f t="shared" si="1"/>
        <v>653</v>
      </c>
      <c r="L43" s="1">
        <f t="shared" si="3"/>
        <v>13.778</v>
      </c>
      <c r="M43" s="2">
        <f t="shared" si="4"/>
        <v>734.8</v>
      </c>
      <c r="O43" s="1">
        <f t="shared" si="5"/>
        <v>14.216666666666665</v>
      </c>
      <c r="P43" s="2">
        <f t="shared" si="6"/>
        <v>756.75</v>
      </c>
    </row>
    <row r="44" spans="1:16" x14ac:dyDescent="0.45">
      <c r="A44" s="12" t="s">
        <v>18</v>
      </c>
      <c r="B44" s="4">
        <v>44249</v>
      </c>
      <c r="C44" s="1">
        <v>4.66</v>
      </c>
      <c r="D44">
        <v>526</v>
      </c>
      <c r="E44">
        <v>0</v>
      </c>
      <c r="F44">
        <v>3206</v>
      </c>
      <c r="G44" s="2">
        <f t="shared" si="2"/>
        <v>7417.25</v>
      </c>
      <c r="I44" s="1">
        <f t="shared" si="0"/>
        <v>10.227499999999999</v>
      </c>
      <c r="J44" s="2">
        <f t="shared" si="1"/>
        <v>634.5</v>
      </c>
      <c r="L44" s="1">
        <f t="shared" si="3"/>
        <v>12.994499999999999</v>
      </c>
      <c r="M44" s="2">
        <f t="shared" si="4"/>
        <v>706.35</v>
      </c>
      <c r="O44" s="1">
        <f t="shared" si="5"/>
        <v>13.822777777777778</v>
      </c>
      <c r="P44" s="2">
        <f t="shared" si="6"/>
        <v>741.72222222222217</v>
      </c>
    </row>
    <row r="45" spans="1:16" x14ac:dyDescent="0.45">
      <c r="A45" s="12"/>
      <c r="B45" s="4">
        <v>44256</v>
      </c>
      <c r="C45" s="1">
        <v>0</v>
      </c>
      <c r="D45">
        <v>0</v>
      </c>
      <c r="E45">
        <v>0</v>
      </c>
      <c r="F45">
        <v>0</v>
      </c>
      <c r="G45" s="2">
        <f t="shared" si="2"/>
        <v>4537</v>
      </c>
      <c r="I45" s="1">
        <f t="shared" si="0"/>
        <v>6.2275</v>
      </c>
      <c r="J45" s="2">
        <f t="shared" si="1"/>
        <v>411</v>
      </c>
      <c r="L45" s="1">
        <f t="shared" si="3"/>
        <v>11.394499999999999</v>
      </c>
      <c r="M45" s="2">
        <f t="shared" si="4"/>
        <v>640.9</v>
      </c>
      <c r="O45" s="1">
        <f t="shared" si="5"/>
        <v>12.602499999999999</v>
      </c>
      <c r="P45" s="2">
        <f t="shared" si="6"/>
        <v>708.25</v>
      </c>
    </row>
    <row r="46" spans="1:16" x14ac:dyDescent="0.45">
      <c r="A46" s="12"/>
      <c r="B46" s="4">
        <v>44263</v>
      </c>
      <c r="C46" s="1">
        <v>14.25</v>
      </c>
      <c r="D46">
        <v>667</v>
      </c>
      <c r="E46">
        <v>0</v>
      </c>
      <c r="F46">
        <v>5278</v>
      </c>
      <c r="G46" s="2">
        <f t="shared" si="2"/>
        <v>3053.75</v>
      </c>
      <c r="I46" s="1">
        <f t="shared" si="0"/>
        <v>6.415</v>
      </c>
      <c r="J46" s="2">
        <f t="shared" si="1"/>
        <v>380.75</v>
      </c>
      <c r="L46" s="1">
        <f t="shared" si="3"/>
        <v>9.8194999999999997</v>
      </c>
      <c r="M46" s="2">
        <f t="shared" si="4"/>
        <v>561.9</v>
      </c>
      <c r="O46" s="1">
        <f t="shared" si="5"/>
        <v>11.195555555555556</v>
      </c>
      <c r="P46" s="2">
        <f t="shared" si="6"/>
        <v>616.13888888888891</v>
      </c>
    </row>
    <row r="47" spans="1:16" x14ac:dyDescent="0.45">
      <c r="A47" s="12"/>
      <c r="B47" s="4">
        <v>44270</v>
      </c>
      <c r="C47" s="1">
        <v>17</v>
      </c>
      <c r="D47">
        <v>751</v>
      </c>
      <c r="E47">
        <v>1</v>
      </c>
      <c r="F47">
        <v>13477</v>
      </c>
      <c r="G47" s="2">
        <f t="shared" si="2"/>
        <v>5490.25</v>
      </c>
      <c r="I47" s="1">
        <f t="shared" si="0"/>
        <v>8.9774999999999991</v>
      </c>
      <c r="J47" s="2">
        <f t="shared" si="1"/>
        <v>486</v>
      </c>
      <c r="L47" s="1">
        <f t="shared" si="3"/>
        <v>8.8985000000000003</v>
      </c>
      <c r="M47" s="2">
        <f t="shared" si="4"/>
        <v>513.04999999999995</v>
      </c>
      <c r="O47" s="1">
        <f t="shared" si="5"/>
        <v>11.264722222222222</v>
      </c>
      <c r="P47" s="2">
        <f t="shared" si="6"/>
        <v>600.69444444444446</v>
      </c>
    </row>
    <row r="48" spans="1:16" x14ac:dyDescent="0.45">
      <c r="A48" s="12"/>
      <c r="B48" s="4">
        <v>44277</v>
      </c>
      <c r="C48" s="1">
        <v>19</v>
      </c>
      <c r="D48">
        <v>974</v>
      </c>
      <c r="E48">
        <v>2</v>
      </c>
      <c r="F48">
        <v>15456</v>
      </c>
      <c r="G48" s="2">
        <f t="shared" si="2"/>
        <v>8552.75</v>
      </c>
      <c r="I48" s="1">
        <f t="shared" si="0"/>
        <v>12.5625</v>
      </c>
      <c r="J48" s="2">
        <f t="shared" si="1"/>
        <v>598</v>
      </c>
      <c r="L48" s="1">
        <f t="shared" si="3"/>
        <v>8.8819999999999997</v>
      </c>
      <c r="M48" s="2">
        <f t="shared" si="4"/>
        <v>502.05</v>
      </c>
      <c r="O48" s="1">
        <f t="shared" si="5"/>
        <v>10.612500000000001</v>
      </c>
      <c r="P48" s="2">
        <f t="shared" si="6"/>
        <v>604.30555555555554</v>
      </c>
    </row>
    <row r="49" spans="1:16" x14ac:dyDescent="0.45">
      <c r="A49" s="12" t="s">
        <v>19</v>
      </c>
      <c r="B49" s="4">
        <v>44284</v>
      </c>
      <c r="C49" s="1">
        <v>21</v>
      </c>
      <c r="D49">
        <v>1036</v>
      </c>
      <c r="E49">
        <v>1</v>
      </c>
      <c r="F49">
        <v>16628</v>
      </c>
      <c r="G49" s="2">
        <f t="shared" si="2"/>
        <v>12709.75</v>
      </c>
      <c r="I49" s="1">
        <f t="shared" si="0"/>
        <v>17.8125</v>
      </c>
      <c r="J49" s="2">
        <f t="shared" si="1"/>
        <v>857</v>
      </c>
      <c r="L49" s="1">
        <f t="shared" si="3"/>
        <v>10.399000000000001</v>
      </c>
      <c r="M49" s="2">
        <f t="shared" si="4"/>
        <v>546.54999999999995</v>
      </c>
      <c r="O49" s="1">
        <f t="shared" si="5"/>
        <v>9.7280555555555566</v>
      </c>
      <c r="P49" s="2">
        <f t="shared" si="6"/>
        <v>546.52777777777783</v>
      </c>
    </row>
    <row r="50" spans="1:16" x14ac:dyDescent="0.45">
      <c r="A50" s="12"/>
      <c r="B50" s="4">
        <v>44291</v>
      </c>
      <c r="C50" s="1">
        <v>12</v>
      </c>
      <c r="D50">
        <v>576</v>
      </c>
      <c r="E50">
        <v>2</v>
      </c>
      <c r="F50">
        <v>9623</v>
      </c>
      <c r="G50" s="2">
        <f t="shared" si="2"/>
        <v>13796</v>
      </c>
      <c r="I50" s="1">
        <f t="shared" si="0"/>
        <v>17.25</v>
      </c>
      <c r="J50" s="2">
        <f t="shared" si="1"/>
        <v>834.25</v>
      </c>
      <c r="L50" s="1">
        <f t="shared" si="3"/>
        <v>12.6035</v>
      </c>
      <c r="M50" s="2">
        <f t="shared" si="4"/>
        <v>631.20000000000005</v>
      </c>
      <c r="O50" s="1">
        <f t="shared" si="5"/>
        <v>9.3574999999999999</v>
      </c>
      <c r="P50" s="2">
        <f t="shared" si="6"/>
        <v>506.41666666666669</v>
      </c>
    </row>
    <row r="51" spans="1:16" x14ac:dyDescent="0.45">
      <c r="A51" s="12"/>
      <c r="B51" s="4">
        <v>44298</v>
      </c>
      <c r="C51" s="1">
        <v>8.33</v>
      </c>
      <c r="D51">
        <v>483</v>
      </c>
      <c r="E51">
        <v>1</v>
      </c>
      <c r="F51">
        <v>7426</v>
      </c>
      <c r="G51" s="2">
        <f t="shared" si="2"/>
        <v>12283.25</v>
      </c>
      <c r="I51" s="1">
        <f t="shared" si="0"/>
        <v>15.0825</v>
      </c>
      <c r="J51" s="2">
        <f t="shared" si="1"/>
        <v>767.25</v>
      </c>
      <c r="L51" s="1">
        <f t="shared" si="3"/>
        <v>14.336999999999998</v>
      </c>
      <c r="M51" s="2">
        <f t="shared" si="4"/>
        <v>708.5</v>
      </c>
      <c r="O51" s="1">
        <f t="shared" si="5"/>
        <v>10.530833333333334</v>
      </c>
      <c r="P51" s="2">
        <f t="shared" si="6"/>
        <v>572.33333333333337</v>
      </c>
    </row>
    <row r="52" spans="1:16" x14ac:dyDescent="0.45">
      <c r="A52" s="12"/>
      <c r="B52" s="4">
        <v>44305</v>
      </c>
      <c r="C52" s="1">
        <v>9.75</v>
      </c>
      <c r="D52">
        <v>465</v>
      </c>
      <c r="E52">
        <v>2</v>
      </c>
      <c r="F52">
        <v>7848</v>
      </c>
      <c r="G52" s="2">
        <f t="shared" si="2"/>
        <v>10381.25</v>
      </c>
      <c r="I52" s="1">
        <f t="shared" si="0"/>
        <v>12.77</v>
      </c>
      <c r="J52" s="2">
        <f t="shared" si="1"/>
        <v>640</v>
      </c>
      <c r="L52" s="1">
        <f t="shared" si="3"/>
        <v>15.095500000000001</v>
      </c>
      <c r="M52" s="2">
        <f t="shared" si="4"/>
        <v>739.3</v>
      </c>
      <c r="O52" s="1">
        <f t="shared" si="5"/>
        <v>12.309999999999999</v>
      </c>
      <c r="P52" s="2">
        <f t="shared" si="6"/>
        <v>593</v>
      </c>
    </row>
    <row r="53" spans="1:16" x14ac:dyDescent="0.45">
      <c r="A53" s="12" t="s">
        <v>20</v>
      </c>
      <c r="B53" s="4">
        <v>44312</v>
      </c>
      <c r="C53" s="1">
        <v>11.75</v>
      </c>
      <c r="D53">
        <v>677</v>
      </c>
      <c r="E53">
        <v>2</v>
      </c>
      <c r="F53">
        <v>8588</v>
      </c>
      <c r="G53" s="2">
        <f t="shared" si="2"/>
        <v>8371.25</v>
      </c>
      <c r="I53" s="1">
        <f t="shared" si="0"/>
        <v>10.4575</v>
      </c>
      <c r="J53" s="2">
        <f t="shared" si="1"/>
        <v>550.25</v>
      </c>
      <c r="L53" s="1">
        <f t="shared" si="3"/>
        <v>14.6745</v>
      </c>
      <c r="M53" s="2">
        <f t="shared" si="4"/>
        <v>729.75</v>
      </c>
      <c r="O53" s="1">
        <f t="shared" si="5"/>
        <v>15.451111111111111</v>
      </c>
      <c r="P53" s="2">
        <f t="shared" si="6"/>
        <v>749.36111111111109</v>
      </c>
    </row>
    <row r="54" spans="1:16" x14ac:dyDescent="0.45">
      <c r="A54" s="12"/>
      <c r="B54" s="4">
        <v>44319</v>
      </c>
      <c r="C54" s="1">
        <v>20.5</v>
      </c>
      <c r="D54">
        <v>1028</v>
      </c>
      <c r="E54">
        <v>1</v>
      </c>
      <c r="F54">
        <v>15620</v>
      </c>
      <c r="G54" s="2">
        <f t="shared" si="2"/>
        <v>9870.5</v>
      </c>
      <c r="I54" s="1">
        <f t="shared" si="0"/>
        <v>12.5825</v>
      </c>
      <c r="J54" s="2">
        <f t="shared" si="1"/>
        <v>663.25</v>
      </c>
      <c r="L54" s="1">
        <f t="shared" si="3"/>
        <v>13.628499999999999</v>
      </c>
      <c r="M54" s="2">
        <f t="shared" si="4"/>
        <v>691</v>
      </c>
      <c r="O54" s="1">
        <f t="shared" si="5"/>
        <v>15.599166666666665</v>
      </c>
      <c r="P54" s="2">
        <f t="shared" si="6"/>
        <v>767.52777777777783</v>
      </c>
    </row>
    <row r="55" spans="1:16" x14ac:dyDescent="0.45">
      <c r="A55" s="12"/>
      <c r="B55" s="4">
        <v>44326</v>
      </c>
      <c r="C55" s="1">
        <v>17.5</v>
      </c>
      <c r="D55">
        <v>820</v>
      </c>
      <c r="E55">
        <v>2</v>
      </c>
      <c r="F55">
        <v>12782</v>
      </c>
      <c r="G55" s="2">
        <f t="shared" si="2"/>
        <v>11209.5</v>
      </c>
      <c r="I55" s="1">
        <f t="shared" si="0"/>
        <v>14.875</v>
      </c>
      <c r="J55" s="2">
        <f t="shared" si="1"/>
        <v>747.5</v>
      </c>
      <c r="L55" s="1">
        <f t="shared" si="3"/>
        <v>13.153499999999999</v>
      </c>
      <c r="M55" s="2">
        <f t="shared" si="4"/>
        <v>673.65</v>
      </c>
      <c r="O55" s="1">
        <f t="shared" si="5"/>
        <v>15.149999999999999</v>
      </c>
      <c r="P55" s="2">
        <f t="shared" si="6"/>
        <v>768.94444444444446</v>
      </c>
    </row>
    <row r="56" spans="1:16" x14ac:dyDescent="0.45">
      <c r="A56" s="12"/>
      <c r="B56" s="4">
        <v>44333</v>
      </c>
      <c r="C56" s="1">
        <v>18.75</v>
      </c>
      <c r="D56">
        <v>868</v>
      </c>
      <c r="E56">
        <v>2</v>
      </c>
      <c r="F56">
        <v>13502</v>
      </c>
      <c r="G56" s="2">
        <f t="shared" si="2"/>
        <v>12623</v>
      </c>
      <c r="I56" s="1">
        <f t="shared" si="0"/>
        <v>17.125</v>
      </c>
      <c r="J56" s="2">
        <f t="shared" si="1"/>
        <v>848.25</v>
      </c>
      <c r="L56" s="1">
        <f t="shared" si="3"/>
        <v>13.562000000000001</v>
      </c>
      <c r="M56" s="2">
        <f t="shared" si="4"/>
        <v>689.85</v>
      </c>
      <c r="O56" s="1">
        <f t="shared" si="5"/>
        <v>14.249444444444444</v>
      </c>
      <c r="P56" s="2">
        <f t="shared" si="6"/>
        <v>717.86111111111109</v>
      </c>
    </row>
    <row r="57" spans="1:16" x14ac:dyDescent="0.45">
      <c r="A57" s="12"/>
      <c r="B57" s="4">
        <v>44340</v>
      </c>
      <c r="C57" s="1">
        <v>10</v>
      </c>
      <c r="D57">
        <v>512</v>
      </c>
      <c r="E57">
        <v>2</v>
      </c>
      <c r="F57">
        <v>7304</v>
      </c>
      <c r="G57" s="2">
        <f t="shared" si="2"/>
        <v>12302</v>
      </c>
      <c r="I57" s="1">
        <f t="shared" si="0"/>
        <v>16.6875</v>
      </c>
      <c r="J57" s="2">
        <f t="shared" si="1"/>
        <v>807</v>
      </c>
      <c r="L57" s="1">
        <f t="shared" si="3"/>
        <v>14.345499999999998</v>
      </c>
      <c r="M57" s="2">
        <f t="shared" si="4"/>
        <v>723.25</v>
      </c>
      <c r="O57" s="1">
        <f t="shared" si="5"/>
        <v>12.598888888888888</v>
      </c>
      <c r="P57" s="2">
        <f t="shared" si="6"/>
        <v>638.44444444444446</v>
      </c>
    </row>
    <row r="58" spans="1:16" x14ac:dyDescent="0.45">
      <c r="A58" s="12"/>
      <c r="B58" s="4">
        <v>44347</v>
      </c>
      <c r="C58" s="1">
        <v>13.25</v>
      </c>
      <c r="D58">
        <v>738</v>
      </c>
      <c r="E58">
        <v>2</v>
      </c>
      <c r="F58">
        <v>12027</v>
      </c>
      <c r="G58" s="2">
        <f t="shared" si="2"/>
        <v>11403.75</v>
      </c>
      <c r="I58" s="1">
        <f t="shared" si="0"/>
        <v>14.875</v>
      </c>
      <c r="J58" s="2">
        <f t="shared" si="1"/>
        <v>734.5</v>
      </c>
      <c r="L58" s="1">
        <f t="shared" si="3"/>
        <v>15.228999999999999</v>
      </c>
      <c r="M58" s="2">
        <f t="shared" si="4"/>
        <v>760.1</v>
      </c>
      <c r="O58" s="1">
        <f t="shared" si="5"/>
        <v>12.983055555555556</v>
      </c>
      <c r="P58" s="2">
        <f t="shared" si="6"/>
        <v>665.75</v>
      </c>
    </row>
    <row r="59" spans="1:16" x14ac:dyDescent="0.45">
      <c r="A59" s="12"/>
      <c r="B59" s="4">
        <v>44354</v>
      </c>
      <c r="C59" s="1">
        <v>17</v>
      </c>
      <c r="D59">
        <v>970</v>
      </c>
      <c r="E59">
        <v>2</v>
      </c>
      <c r="F59">
        <v>15169</v>
      </c>
      <c r="G59" s="2">
        <f t="shared" si="2"/>
        <v>12000.5</v>
      </c>
      <c r="I59" s="1">
        <f t="shared" si="0"/>
        <v>14.75</v>
      </c>
      <c r="J59" s="2">
        <f t="shared" si="1"/>
        <v>772</v>
      </c>
      <c r="L59" s="1">
        <f t="shared" si="3"/>
        <v>15.6625</v>
      </c>
      <c r="M59" s="2">
        <f t="shared" si="4"/>
        <v>781.85</v>
      </c>
      <c r="O59" s="1">
        <f t="shared" si="5"/>
        <v>14.423611111111111</v>
      </c>
      <c r="P59" s="2">
        <f t="shared" si="6"/>
        <v>727.25</v>
      </c>
    </row>
    <row r="60" spans="1:16" x14ac:dyDescent="0.45">
      <c r="A60" s="12"/>
      <c r="B60" s="4">
        <v>44361</v>
      </c>
      <c r="C60" s="1">
        <v>17.5</v>
      </c>
      <c r="D60">
        <v>870</v>
      </c>
      <c r="E60">
        <v>2</v>
      </c>
      <c r="F60">
        <v>13855</v>
      </c>
      <c r="G60" s="2">
        <f t="shared" si="2"/>
        <v>12088.75</v>
      </c>
      <c r="I60" s="1">
        <f t="shared" si="0"/>
        <v>14.4375</v>
      </c>
      <c r="J60" s="2">
        <f t="shared" si="1"/>
        <v>772.5</v>
      </c>
      <c r="L60" s="1">
        <f t="shared" si="3"/>
        <v>15.574999999999999</v>
      </c>
      <c r="M60" s="2">
        <f t="shared" si="4"/>
        <v>786.85</v>
      </c>
      <c r="O60" s="1">
        <f t="shared" si="5"/>
        <v>15.763888888888889</v>
      </c>
      <c r="P60" s="2">
        <f t="shared" si="6"/>
        <v>804</v>
      </c>
    </row>
    <row r="61" spans="1:16" x14ac:dyDescent="0.45">
      <c r="A61" s="12"/>
      <c r="B61" s="4">
        <v>44368</v>
      </c>
      <c r="C61" s="1">
        <v>15</v>
      </c>
      <c r="D61">
        <v>708</v>
      </c>
      <c r="E61">
        <v>2</v>
      </c>
      <c r="F61">
        <v>11763</v>
      </c>
      <c r="G61" s="2">
        <f t="shared" si="2"/>
        <v>13203.5</v>
      </c>
      <c r="I61" s="1">
        <f t="shared" si="0"/>
        <v>15.6875</v>
      </c>
      <c r="J61" s="2">
        <f t="shared" si="1"/>
        <v>821.5</v>
      </c>
      <c r="L61" s="1">
        <f t="shared" si="3"/>
        <v>15.2875</v>
      </c>
      <c r="M61" s="2">
        <f t="shared" si="4"/>
        <v>781.5</v>
      </c>
      <c r="O61" s="1">
        <f t="shared" si="5"/>
        <v>16.75</v>
      </c>
      <c r="P61" s="2">
        <f t="shared" si="6"/>
        <v>834.5</v>
      </c>
    </row>
    <row r="62" spans="1:16" x14ac:dyDescent="0.45">
      <c r="A62" s="12"/>
      <c r="B62" s="4">
        <v>44375</v>
      </c>
      <c r="C62" s="1">
        <v>18.5</v>
      </c>
      <c r="D62">
        <v>911</v>
      </c>
      <c r="E62">
        <v>2</v>
      </c>
      <c r="F62">
        <v>14945</v>
      </c>
      <c r="G62" s="2">
        <f t="shared" si="2"/>
        <v>13933</v>
      </c>
      <c r="I62" s="1">
        <f t="shared" si="0"/>
        <v>17</v>
      </c>
      <c r="J62" s="2">
        <f t="shared" si="1"/>
        <v>864.75</v>
      </c>
      <c r="L62" s="1">
        <f t="shared" si="3"/>
        <v>15.35</v>
      </c>
      <c r="M62" s="2">
        <f t="shared" si="4"/>
        <v>793.05</v>
      </c>
      <c r="O62" s="1">
        <f t="shared" si="5"/>
        <v>15.736111111111111</v>
      </c>
      <c r="P62" s="2">
        <f t="shared" si="6"/>
        <v>783.75</v>
      </c>
    </row>
    <row r="63" spans="1:16" x14ac:dyDescent="0.45">
      <c r="A63" s="12"/>
      <c r="B63" s="4">
        <v>44382</v>
      </c>
      <c r="C63" s="1">
        <v>10.75</v>
      </c>
      <c r="D63">
        <v>420</v>
      </c>
      <c r="E63">
        <v>1</v>
      </c>
      <c r="F63">
        <v>6146</v>
      </c>
      <c r="G63" s="2">
        <f t="shared" si="2"/>
        <v>11677.25</v>
      </c>
      <c r="I63" s="1">
        <f t="shared" si="0"/>
        <v>15.4375</v>
      </c>
      <c r="J63" s="2">
        <f t="shared" si="1"/>
        <v>727.25</v>
      </c>
      <c r="L63" s="1">
        <f t="shared" si="3"/>
        <v>15.4625</v>
      </c>
      <c r="M63" s="2">
        <f t="shared" si="4"/>
        <v>791.6</v>
      </c>
      <c r="O63" s="1">
        <f t="shared" si="5"/>
        <v>15.201388888888889</v>
      </c>
      <c r="P63" s="2">
        <f t="shared" si="6"/>
        <v>768.11111111111109</v>
      </c>
    </row>
    <row r="64" spans="1:16" x14ac:dyDescent="0.45">
      <c r="A64" s="12"/>
      <c r="B64" s="4">
        <v>44389</v>
      </c>
      <c r="C64" s="1">
        <v>15.5</v>
      </c>
      <c r="D64">
        <v>733</v>
      </c>
      <c r="E64">
        <v>2</v>
      </c>
      <c r="F64">
        <v>12469</v>
      </c>
      <c r="G64" s="2">
        <f t="shared" si="2"/>
        <v>11330.75</v>
      </c>
      <c r="I64" s="1">
        <f t="shared" si="0"/>
        <v>14.9375</v>
      </c>
      <c r="J64" s="2">
        <f t="shared" si="1"/>
        <v>693</v>
      </c>
      <c r="L64" s="1">
        <f t="shared" si="3"/>
        <v>15.5</v>
      </c>
      <c r="M64" s="2">
        <f t="shared" si="4"/>
        <v>775.8</v>
      </c>
      <c r="O64" s="1">
        <f t="shared" si="5"/>
        <v>14.298611111111111</v>
      </c>
      <c r="P64" s="2">
        <f t="shared" si="6"/>
        <v>738.05555555555554</v>
      </c>
    </row>
    <row r="65" spans="1:16" x14ac:dyDescent="0.45">
      <c r="A65" s="12"/>
      <c r="B65" s="4">
        <v>44396</v>
      </c>
      <c r="C65" s="1">
        <v>16.329999999999998</v>
      </c>
      <c r="D65">
        <v>820</v>
      </c>
      <c r="E65">
        <v>2</v>
      </c>
      <c r="F65">
        <v>13343</v>
      </c>
      <c r="G65" s="2">
        <f t="shared" si="2"/>
        <v>11725.75</v>
      </c>
      <c r="I65" s="1">
        <f t="shared" si="0"/>
        <v>15.27</v>
      </c>
      <c r="J65" s="2">
        <f t="shared" si="1"/>
        <v>721</v>
      </c>
      <c r="L65" s="1">
        <f t="shared" si="3"/>
        <v>15.666499999999999</v>
      </c>
      <c r="M65" s="2">
        <f t="shared" si="4"/>
        <v>765.5</v>
      </c>
      <c r="O65" s="1">
        <f t="shared" si="5"/>
        <v>15.516111111111108</v>
      </c>
      <c r="P65" s="2">
        <f t="shared" si="6"/>
        <v>795.66666666666663</v>
      </c>
    </row>
    <row r="66" spans="1:16" x14ac:dyDescent="0.45">
      <c r="A66" s="12"/>
      <c r="B66" s="4">
        <v>44403</v>
      </c>
      <c r="C66" s="1">
        <v>18.5</v>
      </c>
      <c r="D66">
        <v>822</v>
      </c>
      <c r="E66">
        <v>2</v>
      </c>
      <c r="F66">
        <v>13813</v>
      </c>
      <c r="G66" s="2">
        <f t="shared" si="2"/>
        <v>11442.75</v>
      </c>
      <c r="I66" s="1">
        <f t="shared" si="0"/>
        <v>15.27</v>
      </c>
      <c r="J66" s="2">
        <f t="shared" si="1"/>
        <v>698.75</v>
      </c>
      <c r="L66" s="1">
        <f t="shared" si="3"/>
        <v>15.582999999999998</v>
      </c>
      <c r="M66" s="2">
        <f t="shared" si="4"/>
        <v>740.95</v>
      </c>
      <c r="O66" s="1">
        <f t="shared" si="5"/>
        <v>16.15722222222222</v>
      </c>
      <c r="P66" s="2">
        <f t="shared" si="6"/>
        <v>805.38888888888891</v>
      </c>
    </row>
    <row r="67" spans="1:16" x14ac:dyDescent="0.45">
      <c r="A67" s="12"/>
      <c r="B67" s="4">
        <v>44410</v>
      </c>
      <c r="C67" s="1">
        <v>9.33</v>
      </c>
      <c r="D67">
        <v>405</v>
      </c>
      <c r="E67">
        <v>0</v>
      </c>
      <c r="F67">
        <v>6552</v>
      </c>
      <c r="G67" s="2">
        <f t="shared" si="2"/>
        <v>11544.25</v>
      </c>
      <c r="I67" s="1">
        <f t="shared" si="0"/>
        <v>14.914999999999999</v>
      </c>
      <c r="J67" s="2">
        <f t="shared" si="1"/>
        <v>695</v>
      </c>
      <c r="L67" s="1">
        <f t="shared" si="3"/>
        <v>15.166</v>
      </c>
      <c r="M67" s="2">
        <f t="shared" si="4"/>
        <v>707</v>
      </c>
      <c r="O67" s="1">
        <f t="shared" si="5"/>
        <v>15.751944444444442</v>
      </c>
      <c r="P67" s="2">
        <f t="shared" si="6"/>
        <v>747.86111111111109</v>
      </c>
    </row>
    <row r="68" spans="1:16" x14ac:dyDescent="0.45">
      <c r="A68" s="12"/>
      <c r="B68" s="4">
        <v>44417</v>
      </c>
      <c r="C68" s="1">
        <v>17</v>
      </c>
      <c r="D68">
        <v>752</v>
      </c>
      <c r="E68">
        <v>0</v>
      </c>
      <c r="F68">
        <v>10123</v>
      </c>
      <c r="G68" s="2">
        <f t="shared" si="2"/>
        <v>10957.75</v>
      </c>
      <c r="I68" s="1">
        <f t="shared" si="0"/>
        <v>15.29</v>
      </c>
      <c r="J68" s="2">
        <f t="shared" si="1"/>
        <v>699.75</v>
      </c>
      <c r="L68" s="1">
        <f t="shared" si="3"/>
        <v>15.136500000000002</v>
      </c>
      <c r="M68" s="2">
        <f t="shared" si="4"/>
        <v>701.5</v>
      </c>
      <c r="O68" s="1">
        <f t="shared" si="5"/>
        <v>15.221666666666668</v>
      </c>
      <c r="P68" s="2">
        <f t="shared" si="6"/>
        <v>709.27777777777783</v>
      </c>
    </row>
    <row r="69" spans="1:16" x14ac:dyDescent="0.45">
      <c r="A69" s="12"/>
      <c r="B69" s="4">
        <v>44424</v>
      </c>
      <c r="C69" s="1">
        <v>15</v>
      </c>
      <c r="D69">
        <v>652</v>
      </c>
      <c r="E69">
        <v>0</v>
      </c>
      <c r="F69">
        <v>12047</v>
      </c>
      <c r="G69" s="2">
        <f t="shared" si="2"/>
        <v>10633.75</v>
      </c>
      <c r="I69" s="1">
        <f t="shared" ref="I69:I132" si="7">AVERAGE(C66:C69)</f>
        <v>14.9575</v>
      </c>
      <c r="J69" s="2">
        <f t="shared" ref="J69:J132" si="8">AVERAGE(D66:D69)</f>
        <v>657.75</v>
      </c>
      <c r="L69" s="1">
        <f t="shared" si="3"/>
        <v>15.140499999999999</v>
      </c>
      <c r="M69" s="2">
        <f t="shared" si="4"/>
        <v>694.45</v>
      </c>
      <c r="O69" s="1">
        <f t="shared" si="5"/>
        <v>15.246944444444445</v>
      </c>
      <c r="P69" s="2">
        <f t="shared" si="6"/>
        <v>705.13888888888891</v>
      </c>
    </row>
    <row r="70" spans="1:16" x14ac:dyDescent="0.45">
      <c r="A70" s="12"/>
      <c r="B70" s="4">
        <v>44431</v>
      </c>
      <c r="C70" s="1">
        <v>17.75</v>
      </c>
      <c r="D70">
        <v>973</v>
      </c>
      <c r="E70">
        <v>0</v>
      </c>
      <c r="F70">
        <v>15614</v>
      </c>
      <c r="G70" s="2">
        <f t="shared" ref="G70:G133" si="9">AVERAGE(F67:F70)</f>
        <v>11084</v>
      </c>
      <c r="I70" s="1">
        <f t="shared" si="7"/>
        <v>14.77</v>
      </c>
      <c r="J70" s="2">
        <f t="shared" si="8"/>
        <v>695.5</v>
      </c>
      <c r="L70" s="1">
        <f t="shared" si="3"/>
        <v>15.0405</v>
      </c>
      <c r="M70" s="2">
        <f t="shared" si="4"/>
        <v>689.35</v>
      </c>
      <c r="O70" s="1">
        <f t="shared" si="5"/>
        <v>14.47361111111111</v>
      </c>
      <c r="P70" s="2">
        <f t="shared" si="6"/>
        <v>657.61111111111109</v>
      </c>
    </row>
    <row r="71" spans="1:16" x14ac:dyDescent="0.45">
      <c r="A71" s="12"/>
      <c r="B71" s="4">
        <v>44438</v>
      </c>
      <c r="C71" s="1">
        <v>18.66</v>
      </c>
      <c r="D71">
        <v>1025</v>
      </c>
      <c r="E71">
        <v>0</v>
      </c>
      <c r="F71">
        <v>16269</v>
      </c>
      <c r="G71" s="2">
        <f t="shared" si="9"/>
        <v>13513.25</v>
      </c>
      <c r="I71" s="1">
        <f t="shared" si="7"/>
        <v>17.102499999999999</v>
      </c>
      <c r="J71" s="2">
        <f t="shared" si="8"/>
        <v>850.5</v>
      </c>
      <c r="L71" s="1">
        <f t="shared" si="3"/>
        <v>15.407000000000002</v>
      </c>
      <c r="M71" s="2">
        <f t="shared" si="4"/>
        <v>719.7</v>
      </c>
      <c r="O71" s="1">
        <f t="shared" si="5"/>
        <v>15.642222222222223</v>
      </c>
      <c r="P71" s="2">
        <f t="shared" si="6"/>
        <v>736</v>
      </c>
    </row>
    <row r="72" spans="1:16" x14ac:dyDescent="0.45">
      <c r="A72" s="12"/>
      <c r="B72" s="4">
        <v>44445</v>
      </c>
      <c r="C72" s="1">
        <v>12</v>
      </c>
      <c r="D72">
        <v>540</v>
      </c>
      <c r="E72">
        <v>0</v>
      </c>
      <c r="F72">
        <v>9687</v>
      </c>
      <c r="G72" s="2">
        <f t="shared" si="9"/>
        <v>13404.25</v>
      </c>
      <c r="I72" s="1">
        <f t="shared" si="7"/>
        <v>15.852499999999999</v>
      </c>
      <c r="J72" s="2">
        <f t="shared" si="8"/>
        <v>797.5</v>
      </c>
      <c r="L72" s="1">
        <f t="shared" si="3"/>
        <v>15.5945</v>
      </c>
      <c r="M72" s="2">
        <f t="shared" si="4"/>
        <v>740.2</v>
      </c>
      <c r="O72" s="1">
        <f t="shared" si="5"/>
        <v>15.658055555555556</v>
      </c>
      <c r="P72" s="2">
        <f t="shared" si="6"/>
        <v>739.47222222222217</v>
      </c>
    </row>
    <row r="73" spans="1:16" x14ac:dyDescent="0.45">
      <c r="A73" s="12"/>
      <c r="B73" s="4">
        <v>44452</v>
      </c>
      <c r="C73" s="1">
        <v>11.5</v>
      </c>
      <c r="D73">
        <v>539</v>
      </c>
      <c r="E73">
        <v>0</v>
      </c>
      <c r="F73">
        <v>9356</v>
      </c>
      <c r="G73" s="2">
        <f t="shared" si="9"/>
        <v>12731.5</v>
      </c>
      <c r="I73" s="1">
        <f t="shared" si="7"/>
        <v>14.977499999999999</v>
      </c>
      <c r="J73" s="2">
        <f t="shared" si="8"/>
        <v>769.25</v>
      </c>
      <c r="L73" s="1">
        <f t="shared" ref="L73:L136" si="10">((1*C66)+(2*C67)+(3*C68)+(4*C69)+(4*C70)+(3*C71)+(2*C72)+(C73))/20</f>
        <v>15.532</v>
      </c>
      <c r="M73" s="2">
        <f t="shared" ref="M73:M136" si="11">((1*D66)+(2*D67)+(3*D68)+(4*D69)+(4*D70)+(3*D71)+(2*D72)+(D73))/20</f>
        <v>754.1</v>
      </c>
      <c r="O73" s="1">
        <f t="shared" si="5"/>
        <v>15.355277777777777</v>
      </c>
      <c r="P73" s="2">
        <f t="shared" si="6"/>
        <v>715.80555555555554</v>
      </c>
    </row>
    <row r="74" spans="1:16" x14ac:dyDescent="0.45">
      <c r="A74" s="12"/>
      <c r="B74" s="4">
        <v>44459</v>
      </c>
      <c r="C74" s="1">
        <v>27.75</v>
      </c>
      <c r="D74">
        <v>1286</v>
      </c>
      <c r="E74">
        <v>0</v>
      </c>
      <c r="F74">
        <v>20226</v>
      </c>
      <c r="G74" s="2">
        <f t="shared" si="9"/>
        <v>13884.5</v>
      </c>
      <c r="I74" s="1">
        <f t="shared" si="7"/>
        <v>17.477499999999999</v>
      </c>
      <c r="J74" s="2">
        <f t="shared" si="8"/>
        <v>847.5</v>
      </c>
      <c r="L74" s="1">
        <f t="shared" si="10"/>
        <v>16.035999999999998</v>
      </c>
      <c r="M74" s="2">
        <f t="shared" si="11"/>
        <v>792.05</v>
      </c>
      <c r="O74" s="1">
        <f t="shared" si="5"/>
        <v>14.827222222222222</v>
      </c>
      <c r="P74" s="2">
        <f t="shared" si="6"/>
        <v>704.58333333333337</v>
      </c>
    </row>
    <row r="75" spans="1:16" x14ac:dyDescent="0.45">
      <c r="A75" s="12"/>
      <c r="B75" s="4">
        <v>44466</v>
      </c>
      <c r="C75" s="1">
        <v>14.5</v>
      </c>
      <c r="D75">
        <v>741</v>
      </c>
      <c r="E75">
        <v>0</v>
      </c>
      <c r="F75">
        <v>8724</v>
      </c>
      <c r="G75" s="2">
        <f t="shared" si="9"/>
        <v>11998.25</v>
      </c>
      <c r="I75" s="1">
        <f t="shared" si="7"/>
        <v>16.4375</v>
      </c>
      <c r="J75" s="2">
        <f t="shared" si="8"/>
        <v>776.5</v>
      </c>
      <c r="L75" s="1">
        <f t="shared" si="10"/>
        <v>16.369499999999999</v>
      </c>
      <c r="M75" s="2">
        <f t="shared" si="11"/>
        <v>808.25</v>
      </c>
      <c r="O75" s="1">
        <f t="shared" si="5"/>
        <v>16.480555555555554</v>
      </c>
      <c r="P75" s="2">
        <f t="shared" si="6"/>
        <v>795.36111111111109</v>
      </c>
    </row>
    <row r="76" spans="1:16" x14ac:dyDescent="0.45">
      <c r="A76" s="12"/>
      <c r="B76" s="4">
        <v>44473</v>
      </c>
      <c r="C76" s="1">
        <v>15</v>
      </c>
      <c r="D76">
        <v>725</v>
      </c>
      <c r="E76">
        <v>0</v>
      </c>
      <c r="F76">
        <v>12126</v>
      </c>
      <c r="G76" s="2">
        <f t="shared" si="9"/>
        <v>12608</v>
      </c>
      <c r="I76" s="1">
        <f t="shared" si="7"/>
        <v>17.1875</v>
      </c>
      <c r="J76" s="2">
        <f t="shared" si="8"/>
        <v>822.75</v>
      </c>
      <c r="L76" s="1">
        <f t="shared" si="10"/>
        <v>16.386500000000002</v>
      </c>
      <c r="M76" s="2">
        <f t="shared" si="11"/>
        <v>802.7</v>
      </c>
      <c r="O76" s="1">
        <f t="shared" si="5"/>
        <v>16.373888888888889</v>
      </c>
      <c r="P76" s="2">
        <f t="shared" si="6"/>
        <v>808.27777777777783</v>
      </c>
    </row>
    <row r="77" spans="1:16" x14ac:dyDescent="0.45">
      <c r="A77" s="12"/>
      <c r="B77" s="4">
        <v>44480</v>
      </c>
      <c r="C77" s="1">
        <v>12.5</v>
      </c>
      <c r="D77">
        <v>711</v>
      </c>
      <c r="E77">
        <v>2</v>
      </c>
      <c r="F77">
        <v>10773</v>
      </c>
      <c r="G77" s="2">
        <f t="shared" si="9"/>
        <v>12962.25</v>
      </c>
      <c r="I77" s="1">
        <f t="shared" si="7"/>
        <v>17.4375</v>
      </c>
      <c r="J77" s="2">
        <f t="shared" si="8"/>
        <v>865.75</v>
      </c>
      <c r="L77" s="1">
        <f t="shared" si="10"/>
        <v>16.703499999999998</v>
      </c>
      <c r="M77" s="2">
        <f t="shared" si="11"/>
        <v>816.35</v>
      </c>
      <c r="O77" s="1">
        <f t="shared" ref="O77:O140" si="12">((C77)+(C76*2)+(C75*3)+(C74*4)+(C73*5)+(C72*6)+(C71*7)+(C70*8))/36</f>
        <v>16.642222222222223</v>
      </c>
      <c r="P77" s="2">
        <f t="shared" ref="P77:P140" si="13">((D77)+(D76*2)+(D75*3)+(D74*4)+(D73*5)+(D72*6)+(D71*7)+(D70*8))/36</f>
        <v>845.05555555555554</v>
      </c>
    </row>
    <row r="78" spans="1:16" x14ac:dyDescent="0.45">
      <c r="A78" s="12"/>
      <c r="B78" s="4">
        <v>44487</v>
      </c>
      <c r="C78" s="1">
        <v>17</v>
      </c>
      <c r="D78">
        <v>937</v>
      </c>
      <c r="E78">
        <v>2</v>
      </c>
      <c r="F78">
        <v>15144</v>
      </c>
      <c r="G78" s="2">
        <f t="shared" si="9"/>
        <v>11691.75</v>
      </c>
      <c r="I78" s="1">
        <f t="shared" si="7"/>
        <v>14.75</v>
      </c>
      <c r="J78" s="2">
        <f t="shared" si="8"/>
        <v>778.5</v>
      </c>
      <c r="L78" s="1">
        <f t="shared" si="10"/>
        <v>16.657999999999998</v>
      </c>
      <c r="M78" s="2">
        <f t="shared" si="11"/>
        <v>818.2</v>
      </c>
      <c r="O78" s="1">
        <f t="shared" si="12"/>
        <v>16.278611111111111</v>
      </c>
      <c r="P78" s="2">
        <f t="shared" si="13"/>
        <v>809.5</v>
      </c>
    </row>
    <row r="79" spans="1:16" x14ac:dyDescent="0.45">
      <c r="A79" s="12"/>
      <c r="B79" s="4">
        <v>44494</v>
      </c>
      <c r="C79" s="1">
        <v>7.66</v>
      </c>
      <c r="D79">
        <v>419</v>
      </c>
      <c r="E79">
        <v>1</v>
      </c>
      <c r="F79">
        <v>6680</v>
      </c>
      <c r="G79" s="2">
        <f t="shared" si="9"/>
        <v>11180.75</v>
      </c>
      <c r="I79" s="1">
        <f t="shared" si="7"/>
        <v>13.04</v>
      </c>
      <c r="J79" s="2">
        <f t="shared" si="8"/>
        <v>698</v>
      </c>
      <c r="L79" s="1">
        <f t="shared" si="10"/>
        <v>15.770500000000002</v>
      </c>
      <c r="M79" s="2">
        <f t="shared" si="11"/>
        <v>788.3</v>
      </c>
      <c r="O79" s="1">
        <f t="shared" si="12"/>
        <v>15.407222222222222</v>
      </c>
      <c r="P79" s="2">
        <f t="shared" si="13"/>
        <v>745.55555555555554</v>
      </c>
    </row>
    <row r="80" spans="1:16" x14ac:dyDescent="0.45">
      <c r="A80" s="12" t="s">
        <v>88</v>
      </c>
      <c r="B80" s="4">
        <v>44501</v>
      </c>
      <c r="C80" s="1">
        <v>22</v>
      </c>
      <c r="D80">
        <v>1583</v>
      </c>
      <c r="E80">
        <v>0</v>
      </c>
      <c r="F80">
        <v>21190</v>
      </c>
      <c r="G80" s="2">
        <f t="shared" si="9"/>
        <v>13446.75</v>
      </c>
      <c r="I80" s="1">
        <f t="shared" si="7"/>
        <v>14.79</v>
      </c>
      <c r="J80" s="2">
        <f t="shared" si="8"/>
        <v>912.5</v>
      </c>
      <c r="L80" s="1">
        <f t="shared" si="10"/>
        <v>15.440999999999999</v>
      </c>
      <c r="M80" s="2">
        <f t="shared" si="11"/>
        <v>815.5</v>
      </c>
      <c r="O80" s="1">
        <f t="shared" si="12"/>
        <v>16.293611111111108</v>
      </c>
      <c r="P80" s="2">
        <f t="shared" si="13"/>
        <v>818.36111111111109</v>
      </c>
    </row>
    <row r="81" spans="1:16" x14ac:dyDescent="0.45">
      <c r="A81" s="12"/>
      <c r="B81" s="4">
        <v>44508</v>
      </c>
      <c r="C81" s="1">
        <v>2.66</v>
      </c>
      <c r="D81">
        <v>76</v>
      </c>
      <c r="E81">
        <v>1</v>
      </c>
      <c r="F81">
        <v>1778</v>
      </c>
      <c r="G81" s="2">
        <f t="shared" si="9"/>
        <v>11198</v>
      </c>
      <c r="I81" s="1">
        <f t="shared" si="7"/>
        <v>12.329999999999998</v>
      </c>
      <c r="J81" s="2">
        <f t="shared" si="8"/>
        <v>753.75</v>
      </c>
      <c r="L81" s="1">
        <f t="shared" si="10"/>
        <v>14.469500000000002</v>
      </c>
      <c r="M81" s="2">
        <f t="shared" si="11"/>
        <v>801.7</v>
      </c>
      <c r="O81" s="1">
        <f t="shared" si="12"/>
        <v>17.045555555555556</v>
      </c>
      <c r="P81" s="2">
        <f t="shared" si="13"/>
        <v>878.52777777777783</v>
      </c>
    </row>
    <row r="82" spans="1:16" x14ac:dyDescent="0.45">
      <c r="A82" s="12"/>
      <c r="B82" s="4">
        <v>44515</v>
      </c>
      <c r="C82" s="1">
        <v>12.75</v>
      </c>
      <c r="D82">
        <v>619</v>
      </c>
      <c r="E82">
        <v>2</v>
      </c>
      <c r="F82">
        <v>9347</v>
      </c>
      <c r="G82" s="2">
        <f t="shared" si="9"/>
        <v>9748.75</v>
      </c>
      <c r="I82" s="1">
        <f t="shared" si="7"/>
        <v>11.2675</v>
      </c>
      <c r="J82" s="2">
        <f t="shared" si="8"/>
        <v>674.25</v>
      </c>
      <c r="L82" s="1">
        <f t="shared" si="10"/>
        <v>13.235499999999998</v>
      </c>
      <c r="M82" s="2">
        <f t="shared" si="11"/>
        <v>763.4</v>
      </c>
      <c r="O82" s="1">
        <f t="shared" si="12"/>
        <v>13.769722222222221</v>
      </c>
      <c r="P82" s="2">
        <f t="shared" si="13"/>
        <v>754.16666666666663</v>
      </c>
    </row>
    <row r="83" spans="1:16" x14ac:dyDescent="0.45">
      <c r="A83" s="12"/>
      <c r="B83" s="4">
        <v>44522</v>
      </c>
      <c r="C83" s="1">
        <v>16.25</v>
      </c>
      <c r="D83">
        <v>656</v>
      </c>
      <c r="E83">
        <v>2</v>
      </c>
      <c r="F83">
        <v>11379</v>
      </c>
      <c r="G83" s="2">
        <f t="shared" si="9"/>
        <v>10923.5</v>
      </c>
      <c r="I83" s="1">
        <f t="shared" si="7"/>
        <v>13.414999999999999</v>
      </c>
      <c r="J83" s="2">
        <f t="shared" si="8"/>
        <v>733.5</v>
      </c>
      <c r="L83" s="1">
        <f t="shared" si="10"/>
        <v>12.968500000000001</v>
      </c>
      <c r="M83" s="2">
        <f t="shared" si="11"/>
        <v>754.4</v>
      </c>
      <c r="O83" s="1">
        <f t="shared" si="12"/>
        <v>13.486944444444445</v>
      </c>
      <c r="P83" s="2">
        <f t="shared" si="13"/>
        <v>748.55555555555554</v>
      </c>
    </row>
    <row r="84" spans="1:16" x14ac:dyDescent="0.45">
      <c r="A84" s="12"/>
      <c r="B84" s="4">
        <v>44529</v>
      </c>
      <c r="C84" s="1">
        <v>11.25</v>
      </c>
      <c r="D84">
        <v>488</v>
      </c>
      <c r="E84">
        <v>2</v>
      </c>
      <c r="F84">
        <v>7497</v>
      </c>
      <c r="G84" s="2">
        <f t="shared" si="9"/>
        <v>7500.25</v>
      </c>
      <c r="I84" s="1">
        <f t="shared" si="7"/>
        <v>10.727499999999999</v>
      </c>
      <c r="J84" s="2">
        <f t="shared" si="8"/>
        <v>459.75</v>
      </c>
      <c r="L84" s="1">
        <f t="shared" si="10"/>
        <v>12.506</v>
      </c>
      <c r="M84" s="2">
        <f t="shared" si="11"/>
        <v>706.75</v>
      </c>
      <c r="O84" s="1">
        <f t="shared" si="12"/>
        <v>12.988888888888889</v>
      </c>
      <c r="P84" s="2">
        <f t="shared" si="13"/>
        <v>739.91666666666663</v>
      </c>
    </row>
    <row r="85" spans="1:16" x14ac:dyDescent="0.45">
      <c r="A85" s="12"/>
      <c r="B85" s="4">
        <v>44536</v>
      </c>
      <c r="C85" s="1">
        <v>17.75</v>
      </c>
      <c r="D85">
        <v>675</v>
      </c>
      <c r="E85">
        <v>0</v>
      </c>
      <c r="F85">
        <v>10716</v>
      </c>
      <c r="G85" s="2">
        <f t="shared" si="9"/>
        <v>9734.75</v>
      </c>
      <c r="I85" s="1">
        <f t="shared" si="7"/>
        <v>14.5</v>
      </c>
      <c r="J85" s="2">
        <f t="shared" si="8"/>
        <v>609.5</v>
      </c>
      <c r="L85" s="1">
        <f t="shared" si="10"/>
        <v>12.447999999999999</v>
      </c>
      <c r="M85" s="2">
        <f t="shared" si="11"/>
        <v>646.15</v>
      </c>
      <c r="O85" s="1">
        <f t="shared" si="12"/>
        <v>13.192222222222222</v>
      </c>
      <c r="P85" s="2">
        <f t="shared" si="13"/>
        <v>733.38888888888891</v>
      </c>
    </row>
    <row r="86" spans="1:16" x14ac:dyDescent="0.45">
      <c r="A86" s="12"/>
      <c r="B86" s="4">
        <v>44543</v>
      </c>
      <c r="C86" s="1">
        <v>10</v>
      </c>
      <c r="D86">
        <v>405</v>
      </c>
      <c r="E86">
        <v>0</v>
      </c>
      <c r="F86">
        <v>6910</v>
      </c>
      <c r="G86" s="2">
        <f t="shared" si="9"/>
        <v>9125.5</v>
      </c>
      <c r="I86" s="1">
        <f t="shared" si="7"/>
        <v>13.8125</v>
      </c>
      <c r="J86" s="2">
        <f t="shared" si="8"/>
        <v>556</v>
      </c>
      <c r="L86" s="1">
        <f t="shared" si="10"/>
        <v>12.744499999999999</v>
      </c>
      <c r="M86" s="2">
        <f t="shared" si="11"/>
        <v>606.6</v>
      </c>
      <c r="O86" s="1">
        <f t="shared" si="12"/>
        <v>12.201111111111111</v>
      </c>
      <c r="P86" s="2">
        <f t="shared" si="13"/>
        <v>661.86111111111109</v>
      </c>
    </row>
    <row r="87" spans="1:16" x14ac:dyDescent="0.45">
      <c r="A87" s="12"/>
      <c r="B87" s="4">
        <v>44550</v>
      </c>
      <c r="C87" s="1">
        <v>8</v>
      </c>
      <c r="D87">
        <v>384</v>
      </c>
      <c r="E87">
        <v>1</v>
      </c>
      <c r="F87">
        <v>4870</v>
      </c>
      <c r="G87" s="2">
        <f t="shared" si="9"/>
        <v>7498.25</v>
      </c>
      <c r="I87" s="1">
        <f t="shared" si="7"/>
        <v>11.75</v>
      </c>
      <c r="J87" s="2">
        <f t="shared" si="8"/>
        <v>488</v>
      </c>
      <c r="L87" s="1">
        <f t="shared" si="10"/>
        <v>12.840999999999999</v>
      </c>
      <c r="M87" s="2">
        <f t="shared" si="11"/>
        <v>569.35</v>
      </c>
      <c r="O87" s="1">
        <f t="shared" si="12"/>
        <v>13.295</v>
      </c>
      <c r="P87" s="2">
        <f t="shared" si="13"/>
        <v>704.47222222222217</v>
      </c>
    </row>
    <row r="88" spans="1:16" x14ac:dyDescent="0.45">
      <c r="A88" s="12"/>
      <c r="B88" s="4">
        <v>44557</v>
      </c>
      <c r="C88" s="1">
        <v>11</v>
      </c>
      <c r="D88">
        <v>489</v>
      </c>
      <c r="E88">
        <v>2</v>
      </c>
      <c r="F88">
        <v>7988</v>
      </c>
      <c r="G88" s="2">
        <f t="shared" si="9"/>
        <v>7621</v>
      </c>
      <c r="I88" s="1">
        <f t="shared" si="7"/>
        <v>11.6875</v>
      </c>
      <c r="J88" s="2">
        <f t="shared" si="8"/>
        <v>488.25</v>
      </c>
      <c r="L88" s="1">
        <f t="shared" si="10"/>
        <v>12.4955</v>
      </c>
      <c r="M88" s="2">
        <f t="shared" si="11"/>
        <v>520.29999999999995</v>
      </c>
      <c r="O88" s="1">
        <f t="shared" si="12"/>
        <v>10.896666666666667</v>
      </c>
      <c r="P88" s="2">
        <f t="shared" si="13"/>
        <v>458.02777777777777</v>
      </c>
    </row>
    <row r="89" spans="1:16" x14ac:dyDescent="0.45">
      <c r="A89" s="12" t="s">
        <v>29</v>
      </c>
      <c r="B89" s="4">
        <v>44564</v>
      </c>
      <c r="C89" s="1">
        <v>17.5</v>
      </c>
      <c r="D89">
        <v>1106</v>
      </c>
      <c r="E89">
        <v>0</v>
      </c>
      <c r="F89">
        <v>15313</v>
      </c>
      <c r="G89" s="2">
        <f t="shared" si="9"/>
        <v>8770.25</v>
      </c>
      <c r="I89" s="1">
        <f t="shared" si="7"/>
        <v>11.625</v>
      </c>
      <c r="J89" s="2">
        <f t="shared" si="8"/>
        <v>596</v>
      </c>
      <c r="L89" s="1">
        <f t="shared" si="10"/>
        <v>12.675000000000001</v>
      </c>
      <c r="M89" s="2">
        <f t="shared" si="11"/>
        <v>547.54999999999995</v>
      </c>
      <c r="O89" s="1">
        <f t="shared" si="12"/>
        <v>13.208333333333334</v>
      </c>
      <c r="P89" s="2">
        <f t="shared" si="13"/>
        <v>575.08333333333337</v>
      </c>
    </row>
    <row r="90" spans="1:16" x14ac:dyDescent="0.45">
      <c r="A90" s="12"/>
      <c r="B90" s="4">
        <v>44571</v>
      </c>
      <c r="C90" s="1">
        <v>9.75</v>
      </c>
      <c r="D90">
        <v>392</v>
      </c>
      <c r="E90">
        <v>1</v>
      </c>
      <c r="F90">
        <v>7088</v>
      </c>
      <c r="G90" s="2">
        <f t="shared" si="9"/>
        <v>8814.75</v>
      </c>
      <c r="I90" s="1">
        <f t="shared" si="7"/>
        <v>11.5625</v>
      </c>
      <c r="J90" s="2">
        <f t="shared" si="8"/>
        <v>592.75</v>
      </c>
      <c r="L90" s="1">
        <f t="shared" si="10"/>
        <v>12.0875</v>
      </c>
      <c r="M90" s="2">
        <f t="shared" si="11"/>
        <v>544.20000000000005</v>
      </c>
      <c r="O90" s="1">
        <f t="shared" si="12"/>
        <v>13.194444444444445</v>
      </c>
      <c r="P90" s="2">
        <f t="shared" si="13"/>
        <v>565.16666666666663</v>
      </c>
    </row>
    <row r="91" spans="1:16" x14ac:dyDescent="0.45">
      <c r="A91" s="12"/>
      <c r="B91" s="4">
        <v>44578</v>
      </c>
      <c r="C91" s="1">
        <v>13.66</v>
      </c>
      <c r="D91">
        <v>812</v>
      </c>
      <c r="E91">
        <v>2</v>
      </c>
      <c r="F91">
        <v>10972</v>
      </c>
      <c r="G91" s="2">
        <f t="shared" si="9"/>
        <v>10340.25</v>
      </c>
      <c r="I91" s="1">
        <f t="shared" si="7"/>
        <v>12.977499999999999</v>
      </c>
      <c r="J91" s="2">
        <f t="shared" si="8"/>
        <v>699.75</v>
      </c>
      <c r="L91" s="1">
        <f t="shared" si="10"/>
        <v>11.920500000000001</v>
      </c>
      <c r="M91" s="2">
        <f t="shared" si="11"/>
        <v>572.95000000000005</v>
      </c>
      <c r="O91" s="1">
        <f t="shared" si="12"/>
        <v>12.330833333333333</v>
      </c>
      <c r="P91" s="2">
        <f t="shared" si="13"/>
        <v>551.36111111111109</v>
      </c>
    </row>
    <row r="92" spans="1:16" x14ac:dyDescent="0.45">
      <c r="A92" s="12"/>
      <c r="B92" s="4">
        <v>44585</v>
      </c>
      <c r="C92" s="1">
        <v>19</v>
      </c>
      <c r="D92">
        <v>935</v>
      </c>
      <c r="E92">
        <v>2</v>
      </c>
      <c r="F92">
        <v>13557</v>
      </c>
      <c r="G92" s="2">
        <f t="shared" si="9"/>
        <v>11732.5</v>
      </c>
      <c r="I92" s="1">
        <f t="shared" si="7"/>
        <v>14.977499999999999</v>
      </c>
      <c r="J92" s="2">
        <f t="shared" si="8"/>
        <v>811.25</v>
      </c>
      <c r="L92" s="1">
        <f t="shared" si="10"/>
        <v>12.565999999999999</v>
      </c>
      <c r="M92" s="2">
        <f t="shared" si="11"/>
        <v>637.6</v>
      </c>
      <c r="O92" s="1">
        <f t="shared" si="12"/>
        <v>12.793611111111112</v>
      </c>
      <c r="P92" s="2">
        <f t="shared" si="13"/>
        <v>587.30555555555554</v>
      </c>
    </row>
    <row r="93" spans="1:16" x14ac:dyDescent="0.45">
      <c r="A93" s="12"/>
      <c r="B93" s="4">
        <v>44592</v>
      </c>
      <c r="C93" s="1">
        <v>18.329999999999998</v>
      </c>
      <c r="D93">
        <v>776</v>
      </c>
      <c r="E93">
        <v>1</v>
      </c>
      <c r="F93">
        <v>13749</v>
      </c>
      <c r="G93" s="2">
        <f t="shared" si="9"/>
        <v>11341.5</v>
      </c>
      <c r="I93" s="1">
        <f t="shared" si="7"/>
        <v>15.184999999999999</v>
      </c>
      <c r="J93" s="2">
        <f t="shared" si="8"/>
        <v>728.75</v>
      </c>
      <c r="L93" s="1">
        <f t="shared" si="10"/>
        <v>13.265499999999999</v>
      </c>
      <c r="M93" s="2">
        <f t="shared" si="11"/>
        <v>685.7</v>
      </c>
      <c r="O93" s="1">
        <f t="shared" si="12"/>
        <v>11.828055555555556</v>
      </c>
      <c r="P93" s="2">
        <f t="shared" si="13"/>
        <v>584.5</v>
      </c>
    </row>
    <row r="94" spans="1:16" x14ac:dyDescent="0.45">
      <c r="A94" s="12"/>
      <c r="B94" s="4">
        <v>44599</v>
      </c>
      <c r="C94" s="1">
        <v>11.25</v>
      </c>
      <c r="D94">
        <v>558</v>
      </c>
      <c r="E94">
        <v>2</v>
      </c>
      <c r="F94">
        <v>8652</v>
      </c>
      <c r="G94" s="2">
        <f t="shared" si="9"/>
        <v>11732.5</v>
      </c>
      <c r="I94" s="1">
        <f t="shared" si="7"/>
        <v>15.559999999999999</v>
      </c>
      <c r="J94" s="2">
        <f t="shared" si="8"/>
        <v>770.25</v>
      </c>
      <c r="L94" s="1">
        <f t="shared" si="10"/>
        <v>14.052499999999998</v>
      </c>
      <c r="M94" s="2">
        <f t="shared" si="11"/>
        <v>720.55</v>
      </c>
      <c r="O94" s="1">
        <f t="shared" si="12"/>
        <v>12.619444444444445</v>
      </c>
      <c r="P94" s="2">
        <f t="shared" si="13"/>
        <v>645.94444444444446</v>
      </c>
    </row>
    <row r="95" spans="1:16" x14ac:dyDescent="0.45">
      <c r="A95" s="12" t="s">
        <v>89</v>
      </c>
      <c r="B95" s="4">
        <v>44606</v>
      </c>
      <c r="C95" s="1">
        <v>10.75</v>
      </c>
      <c r="D95">
        <v>505</v>
      </c>
      <c r="E95">
        <v>2</v>
      </c>
      <c r="F95">
        <v>7859</v>
      </c>
      <c r="G95" s="2">
        <f t="shared" si="9"/>
        <v>10954.25</v>
      </c>
      <c r="I95" s="1">
        <f t="shared" si="7"/>
        <v>14.8325</v>
      </c>
      <c r="J95" s="2">
        <f t="shared" si="8"/>
        <v>693.5</v>
      </c>
      <c r="L95" s="1">
        <f t="shared" si="10"/>
        <v>14.7065</v>
      </c>
      <c r="M95" s="2">
        <f t="shared" si="11"/>
        <v>740.7</v>
      </c>
      <c r="O95" s="1">
        <f t="shared" si="12"/>
        <v>13.931666666666667</v>
      </c>
      <c r="P95" s="2">
        <f t="shared" si="13"/>
        <v>715.41666666666663</v>
      </c>
    </row>
    <row r="96" spans="1:16" x14ac:dyDescent="0.45">
      <c r="A96" s="12"/>
      <c r="B96" s="4">
        <v>44613</v>
      </c>
      <c r="C96" s="1">
        <v>19.5</v>
      </c>
      <c r="D96">
        <v>916</v>
      </c>
      <c r="E96">
        <v>2</v>
      </c>
      <c r="F96">
        <v>14047</v>
      </c>
      <c r="G96" s="2">
        <f t="shared" si="9"/>
        <v>11076.75</v>
      </c>
      <c r="I96" s="1">
        <f t="shared" si="7"/>
        <v>14.9575</v>
      </c>
      <c r="J96" s="2">
        <f t="shared" si="8"/>
        <v>688.75</v>
      </c>
      <c r="L96" s="1">
        <f t="shared" si="10"/>
        <v>15.102500000000001</v>
      </c>
      <c r="M96" s="2">
        <f t="shared" si="11"/>
        <v>738.5</v>
      </c>
      <c r="O96" s="1">
        <f t="shared" si="12"/>
        <v>14.813333333333333</v>
      </c>
      <c r="P96" s="2">
        <f t="shared" si="13"/>
        <v>773.41666666666663</v>
      </c>
    </row>
    <row r="97" spans="1:16" x14ac:dyDescent="0.45">
      <c r="A97" s="12"/>
      <c r="B97" s="4">
        <v>44620</v>
      </c>
      <c r="C97" s="1">
        <v>19.75</v>
      </c>
      <c r="D97">
        <v>981</v>
      </c>
      <c r="E97">
        <v>1</v>
      </c>
      <c r="F97">
        <v>13693</v>
      </c>
      <c r="G97" s="2">
        <f t="shared" si="9"/>
        <v>11062.75</v>
      </c>
      <c r="I97" s="1">
        <f t="shared" si="7"/>
        <v>15.3125</v>
      </c>
      <c r="J97" s="2">
        <f t="shared" si="8"/>
        <v>740</v>
      </c>
      <c r="L97" s="1">
        <f t="shared" si="10"/>
        <v>15.169499999999999</v>
      </c>
      <c r="M97" s="2">
        <f t="shared" si="11"/>
        <v>724.25</v>
      </c>
      <c r="O97" s="1">
        <f t="shared" si="12"/>
        <v>14.313055555555556</v>
      </c>
      <c r="P97" s="2">
        <f t="shared" si="13"/>
        <v>690.83333333333337</v>
      </c>
    </row>
    <row r="98" spans="1:16" x14ac:dyDescent="0.45">
      <c r="A98" s="12"/>
      <c r="B98" s="4">
        <v>44627</v>
      </c>
      <c r="C98" s="1">
        <v>11.75</v>
      </c>
      <c r="D98">
        <v>446</v>
      </c>
      <c r="E98">
        <v>1</v>
      </c>
      <c r="F98">
        <v>6909</v>
      </c>
      <c r="G98" s="2">
        <f t="shared" si="9"/>
        <v>10627</v>
      </c>
      <c r="I98" s="1">
        <f t="shared" si="7"/>
        <v>15.4375</v>
      </c>
      <c r="J98" s="2">
        <f t="shared" si="8"/>
        <v>712</v>
      </c>
      <c r="L98" s="1">
        <f t="shared" si="10"/>
        <v>15.219999999999999</v>
      </c>
      <c r="M98" s="2">
        <f t="shared" si="11"/>
        <v>720.9</v>
      </c>
      <c r="O98" s="1">
        <f t="shared" si="12"/>
        <v>15.590555555555556</v>
      </c>
      <c r="P98" s="2">
        <f t="shared" si="13"/>
        <v>768.41666666666663</v>
      </c>
    </row>
    <row r="99" spans="1:16" x14ac:dyDescent="0.45">
      <c r="A99" s="12"/>
      <c r="B99" s="4">
        <v>44634</v>
      </c>
      <c r="C99" s="1">
        <v>12.75</v>
      </c>
      <c r="D99">
        <v>459</v>
      </c>
      <c r="E99">
        <v>0</v>
      </c>
      <c r="F99">
        <v>7288</v>
      </c>
      <c r="G99" s="2">
        <f t="shared" si="9"/>
        <v>10484.25</v>
      </c>
      <c r="I99" s="1">
        <f t="shared" si="7"/>
        <v>15.9375</v>
      </c>
      <c r="J99" s="2">
        <f t="shared" si="8"/>
        <v>700.5</v>
      </c>
      <c r="L99" s="1">
        <f t="shared" si="10"/>
        <v>15.295499999999999</v>
      </c>
      <c r="M99" s="2">
        <f t="shared" si="11"/>
        <v>706.95</v>
      </c>
      <c r="O99" s="1">
        <f t="shared" si="12"/>
        <v>15.973888888888887</v>
      </c>
      <c r="P99" s="2">
        <f t="shared" si="13"/>
        <v>742.86111111111109</v>
      </c>
    </row>
    <row r="100" spans="1:16" x14ac:dyDescent="0.45">
      <c r="A100" s="12"/>
      <c r="B100" s="4">
        <v>44641</v>
      </c>
      <c r="C100" s="1">
        <v>13.75</v>
      </c>
      <c r="D100">
        <v>555</v>
      </c>
      <c r="E100">
        <v>2</v>
      </c>
      <c r="F100">
        <v>9554</v>
      </c>
      <c r="G100" s="2">
        <f t="shared" si="9"/>
        <v>9361</v>
      </c>
      <c r="I100" s="1">
        <f t="shared" si="7"/>
        <v>14.5</v>
      </c>
      <c r="J100" s="2">
        <f t="shared" si="8"/>
        <v>610.25</v>
      </c>
      <c r="L100" s="1">
        <f t="shared" si="10"/>
        <v>15.228999999999999</v>
      </c>
      <c r="M100" s="2">
        <f t="shared" si="11"/>
        <v>690.3</v>
      </c>
      <c r="O100" s="1">
        <f t="shared" si="12"/>
        <v>15.024722222222222</v>
      </c>
      <c r="P100" s="2">
        <f t="shared" si="13"/>
        <v>679.41666666666663</v>
      </c>
    </row>
    <row r="101" spans="1:16" x14ac:dyDescent="0.45">
      <c r="A101" s="12" t="s">
        <v>90</v>
      </c>
      <c r="B101" s="4">
        <v>44648</v>
      </c>
      <c r="C101" s="1">
        <v>13.25</v>
      </c>
      <c r="D101">
        <v>472</v>
      </c>
      <c r="E101">
        <v>0</v>
      </c>
      <c r="F101">
        <v>7689</v>
      </c>
      <c r="G101" s="2">
        <f t="shared" si="9"/>
        <v>7860</v>
      </c>
      <c r="I101" s="1">
        <f t="shared" si="7"/>
        <v>12.875</v>
      </c>
      <c r="J101" s="2">
        <f t="shared" si="8"/>
        <v>483</v>
      </c>
      <c r="L101" s="1">
        <f t="shared" si="10"/>
        <v>14.8125</v>
      </c>
      <c r="M101" s="2">
        <f t="shared" si="11"/>
        <v>649.15</v>
      </c>
      <c r="O101" s="1">
        <f t="shared" si="12"/>
        <v>14.083333333333334</v>
      </c>
      <c r="P101" s="2">
        <f t="shared" si="13"/>
        <v>642.86111111111109</v>
      </c>
    </row>
    <row r="102" spans="1:16" x14ac:dyDescent="0.45">
      <c r="A102" s="12"/>
      <c r="B102" s="4">
        <v>44655</v>
      </c>
      <c r="C102" s="1">
        <v>13</v>
      </c>
      <c r="D102">
        <v>588</v>
      </c>
      <c r="E102">
        <v>0</v>
      </c>
      <c r="F102">
        <v>7868</v>
      </c>
      <c r="G102" s="2">
        <f t="shared" si="9"/>
        <v>8099.75</v>
      </c>
      <c r="I102" s="1">
        <f t="shared" si="7"/>
        <v>13.1875</v>
      </c>
      <c r="J102" s="2">
        <f t="shared" si="8"/>
        <v>518.5</v>
      </c>
      <c r="L102" s="1">
        <f t="shared" si="10"/>
        <v>14.387499999999999</v>
      </c>
      <c r="M102" s="2">
        <f t="shared" si="11"/>
        <v>604.85</v>
      </c>
      <c r="O102" s="1">
        <f t="shared" si="12"/>
        <v>14.763888888888889</v>
      </c>
      <c r="P102" s="2">
        <f t="shared" si="13"/>
        <v>655.58333333333337</v>
      </c>
    </row>
    <row r="103" spans="1:16" x14ac:dyDescent="0.45">
      <c r="A103" s="12"/>
      <c r="B103" s="4">
        <v>44662</v>
      </c>
      <c r="C103" s="1">
        <v>14</v>
      </c>
      <c r="D103">
        <v>559</v>
      </c>
      <c r="E103">
        <v>1</v>
      </c>
      <c r="F103">
        <v>10359</v>
      </c>
      <c r="G103" s="2">
        <f t="shared" si="9"/>
        <v>8867.5</v>
      </c>
      <c r="I103" s="1">
        <f t="shared" si="7"/>
        <v>13.5</v>
      </c>
      <c r="J103" s="2">
        <f t="shared" si="8"/>
        <v>543.5</v>
      </c>
      <c r="L103" s="1">
        <f t="shared" si="10"/>
        <v>14</v>
      </c>
      <c r="M103" s="2">
        <f t="shared" si="11"/>
        <v>571.15</v>
      </c>
      <c r="O103" s="1">
        <f t="shared" si="12"/>
        <v>15.645833333333334</v>
      </c>
      <c r="P103" s="2">
        <f t="shared" si="13"/>
        <v>681.58333333333337</v>
      </c>
    </row>
    <row r="104" spans="1:16" x14ac:dyDescent="0.45">
      <c r="A104" s="12"/>
      <c r="B104" s="4">
        <v>44669</v>
      </c>
      <c r="C104" s="1">
        <v>17</v>
      </c>
      <c r="D104">
        <v>691</v>
      </c>
      <c r="E104">
        <v>2</v>
      </c>
      <c r="F104">
        <v>12536</v>
      </c>
      <c r="G104" s="2">
        <f t="shared" si="9"/>
        <v>9613</v>
      </c>
      <c r="I104" s="1">
        <f t="shared" si="7"/>
        <v>14.3125</v>
      </c>
      <c r="J104" s="2">
        <f t="shared" si="8"/>
        <v>577.5</v>
      </c>
      <c r="L104" s="1">
        <f t="shared" si="10"/>
        <v>13.675000000000001</v>
      </c>
      <c r="M104" s="2">
        <f t="shared" si="11"/>
        <v>546.54999999999995</v>
      </c>
      <c r="O104" s="1">
        <f t="shared" si="12"/>
        <v>14.513888888888889</v>
      </c>
      <c r="P104" s="2">
        <f t="shared" si="13"/>
        <v>610</v>
      </c>
    </row>
    <row r="105" spans="1:16" x14ac:dyDescent="0.45">
      <c r="A105" s="12" t="s">
        <v>91</v>
      </c>
      <c r="B105" s="4">
        <v>44676</v>
      </c>
      <c r="C105" s="1">
        <v>11</v>
      </c>
      <c r="D105">
        <v>714</v>
      </c>
      <c r="E105">
        <v>2</v>
      </c>
      <c r="F105">
        <v>6952</v>
      </c>
      <c r="G105" s="2">
        <f t="shared" si="9"/>
        <v>9428.75</v>
      </c>
      <c r="I105" s="1">
        <f t="shared" si="7"/>
        <v>13.75</v>
      </c>
      <c r="J105" s="2">
        <f t="shared" si="8"/>
        <v>638</v>
      </c>
      <c r="L105" s="1">
        <f t="shared" si="10"/>
        <v>13.525</v>
      </c>
      <c r="M105" s="2">
        <f t="shared" si="11"/>
        <v>552.1</v>
      </c>
      <c r="O105" s="1">
        <f t="shared" si="12"/>
        <v>13.083333333333334</v>
      </c>
      <c r="P105" s="2">
        <f t="shared" si="13"/>
        <v>516.55555555555554</v>
      </c>
    </row>
    <row r="106" spans="1:16" x14ac:dyDescent="0.45">
      <c r="A106" s="12"/>
      <c r="B106" s="4">
        <v>44683</v>
      </c>
      <c r="C106" s="1">
        <v>11.5</v>
      </c>
      <c r="D106">
        <v>410</v>
      </c>
      <c r="E106">
        <v>2</v>
      </c>
      <c r="F106">
        <v>7328</v>
      </c>
      <c r="G106" s="2">
        <f t="shared" si="9"/>
        <v>9293.75</v>
      </c>
      <c r="I106" s="1">
        <f t="shared" si="7"/>
        <v>13.375</v>
      </c>
      <c r="J106" s="2">
        <f t="shared" si="8"/>
        <v>593.5</v>
      </c>
      <c r="L106" s="1">
        <f t="shared" si="10"/>
        <v>13.625</v>
      </c>
      <c r="M106" s="2">
        <f t="shared" si="11"/>
        <v>574.20000000000005</v>
      </c>
      <c r="O106" s="1">
        <f t="shared" si="12"/>
        <v>13.423611111111111</v>
      </c>
      <c r="P106" s="2">
        <f t="shared" si="13"/>
        <v>541</v>
      </c>
    </row>
    <row r="107" spans="1:16" x14ac:dyDescent="0.45">
      <c r="A107" s="12" t="s">
        <v>92</v>
      </c>
      <c r="B107" s="4">
        <v>44690</v>
      </c>
      <c r="C107" s="1">
        <v>12.75</v>
      </c>
      <c r="D107">
        <v>461</v>
      </c>
      <c r="E107">
        <v>0</v>
      </c>
      <c r="F107">
        <v>7231</v>
      </c>
      <c r="G107" s="2">
        <f t="shared" si="9"/>
        <v>8511.75</v>
      </c>
      <c r="I107" s="1">
        <f t="shared" si="7"/>
        <v>13.0625</v>
      </c>
      <c r="J107" s="2">
        <f t="shared" si="8"/>
        <v>569</v>
      </c>
      <c r="L107" s="1">
        <f t="shared" si="10"/>
        <v>13.6</v>
      </c>
      <c r="M107" s="2">
        <f t="shared" si="11"/>
        <v>584.29999999999995</v>
      </c>
      <c r="O107" s="1">
        <f t="shared" si="12"/>
        <v>13.541666666666666</v>
      </c>
      <c r="P107" s="2">
        <f t="shared" si="13"/>
        <v>562.61111111111109</v>
      </c>
    </row>
    <row r="108" spans="1:16" x14ac:dyDescent="0.45">
      <c r="A108" s="12" t="s">
        <v>93</v>
      </c>
      <c r="B108" s="4">
        <v>44697</v>
      </c>
      <c r="C108" s="1">
        <v>17</v>
      </c>
      <c r="D108">
        <v>898</v>
      </c>
      <c r="E108">
        <v>0</v>
      </c>
      <c r="F108">
        <v>14083</v>
      </c>
      <c r="G108" s="2">
        <f t="shared" si="9"/>
        <v>8898.5</v>
      </c>
      <c r="I108" s="1">
        <f t="shared" si="7"/>
        <v>13.0625</v>
      </c>
      <c r="J108" s="2">
        <f t="shared" si="8"/>
        <v>620.75</v>
      </c>
      <c r="L108" s="1">
        <f t="shared" si="10"/>
        <v>13.512499999999999</v>
      </c>
      <c r="M108" s="2">
        <f t="shared" si="11"/>
        <v>599.75</v>
      </c>
      <c r="O108" s="1">
        <f t="shared" si="12"/>
        <v>13.527777777777779</v>
      </c>
      <c r="P108" s="2">
        <f t="shared" si="13"/>
        <v>572.41666666666663</v>
      </c>
    </row>
    <row r="109" spans="1:16" x14ac:dyDescent="0.45">
      <c r="A109" s="12"/>
      <c r="B109" s="4">
        <v>44704</v>
      </c>
      <c r="C109" s="1">
        <v>13</v>
      </c>
      <c r="D109">
        <v>586</v>
      </c>
      <c r="E109">
        <v>1</v>
      </c>
      <c r="F109">
        <v>9654</v>
      </c>
      <c r="G109" s="2">
        <f t="shared" si="9"/>
        <v>9574</v>
      </c>
      <c r="I109" s="1">
        <f t="shared" si="7"/>
        <v>13.5625</v>
      </c>
      <c r="J109" s="2">
        <f t="shared" si="8"/>
        <v>588.75</v>
      </c>
      <c r="L109" s="1">
        <f t="shared" si="10"/>
        <v>13.362500000000001</v>
      </c>
      <c r="M109" s="2">
        <f t="shared" si="11"/>
        <v>602</v>
      </c>
      <c r="O109" s="1">
        <f t="shared" si="12"/>
        <v>13.618055555555555</v>
      </c>
      <c r="P109" s="2">
        <f t="shared" si="13"/>
        <v>603.83333333333337</v>
      </c>
    </row>
    <row r="110" spans="1:16" x14ac:dyDescent="0.45">
      <c r="A110" s="12"/>
      <c r="B110" s="4">
        <v>44711</v>
      </c>
      <c r="C110" s="1">
        <v>13.33</v>
      </c>
      <c r="D110">
        <v>584</v>
      </c>
      <c r="E110">
        <v>1</v>
      </c>
      <c r="F110">
        <v>9830</v>
      </c>
      <c r="G110" s="2">
        <f t="shared" si="9"/>
        <v>10199.5</v>
      </c>
      <c r="I110" s="1">
        <f t="shared" si="7"/>
        <v>14.02</v>
      </c>
      <c r="J110" s="2">
        <f t="shared" si="8"/>
        <v>632.25</v>
      </c>
      <c r="L110" s="1">
        <f t="shared" si="10"/>
        <v>13.416499999999999</v>
      </c>
      <c r="M110" s="2">
        <f t="shared" si="11"/>
        <v>600.85</v>
      </c>
      <c r="O110" s="1">
        <f t="shared" si="12"/>
        <v>13.773055555555555</v>
      </c>
      <c r="P110" s="2">
        <f t="shared" si="13"/>
        <v>609.36111111111109</v>
      </c>
    </row>
    <row r="111" spans="1:16" x14ac:dyDescent="0.45">
      <c r="A111" s="12"/>
      <c r="B111" s="4">
        <v>44718</v>
      </c>
      <c r="C111" s="1">
        <v>13.75</v>
      </c>
      <c r="D111">
        <v>559</v>
      </c>
      <c r="E111">
        <v>1</v>
      </c>
      <c r="F111">
        <v>9295</v>
      </c>
      <c r="G111" s="2">
        <f t="shared" si="9"/>
        <v>10715.5</v>
      </c>
      <c r="I111" s="1">
        <f t="shared" si="7"/>
        <v>14.27</v>
      </c>
      <c r="J111" s="2">
        <f t="shared" si="8"/>
        <v>656.75</v>
      </c>
      <c r="L111" s="1">
        <f t="shared" si="10"/>
        <v>13.595500000000001</v>
      </c>
      <c r="M111" s="2">
        <f t="shared" si="11"/>
        <v>613.5</v>
      </c>
      <c r="O111" s="1">
        <f t="shared" si="12"/>
        <v>13.698888888888888</v>
      </c>
      <c r="P111" s="2">
        <f t="shared" si="13"/>
        <v>621.33333333333337</v>
      </c>
    </row>
    <row r="112" spans="1:16" x14ac:dyDescent="0.45">
      <c r="A112" s="12" t="s">
        <v>94</v>
      </c>
      <c r="B112" s="4">
        <v>44725</v>
      </c>
      <c r="C112" s="1">
        <v>14.33</v>
      </c>
      <c r="D112">
        <v>606</v>
      </c>
      <c r="E112">
        <v>1</v>
      </c>
      <c r="F112">
        <v>10468</v>
      </c>
      <c r="G112" s="2">
        <f t="shared" si="9"/>
        <v>9811.75</v>
      </c>
      <c r="I112" s="1">
        <f t="shared" si="7"/>
        <v>13.602499999999999</v>
      </c>
      <c r="J112" s="2">
        <f t="shared" si="8"/>
        <v>583.75</v>
      </c>
      <c r="L112" s="1">
        <f t="shared" si="10"/>
        <v>13.7035</v>
      </c>
      <c r="M112" s="2">
        <f t="shared" si="11"/>
        <v>616.45000000000005</v>
      </c>
      <c r="O112" s="1">
        <f t="shared" si="12"/>
        <v>12.883888888888889</v>
      </c>
      <c r="P112" s="2">
        <f t="shared" si="13"/>
        <v>601.61111111111109</v>
      </c>
    </row>
    <row r="113" spans="1:16" x14ac:dyDescent="0.45">
      <c r="A113" s="12"/>
      <c r="B113" s="4">
        <v>44732</v>
      </c>
      <c r="C113" s="1">
        <v>16.329999999999998</v>
      </c>
      <c r="D113">
        <v>847</v>
      </c>
      <c r="E113">
        <v>0</v>
      </c>
      <c r="F113">
        <v>12908</v>
      </c>
      <c r="G113" s="2">
        <f t="shared" si="9"/>
        <v>10625.25</v>
      </c>
      <c r="I113" s="1">
        <f t="shared" si="7"/>
        <v>14.434999999999999</v>
      </c>
      <c r="J113" s="2">
        <f t="shared" si="8"/>
        <v>649</v>
      </c>
      <c r="L113" s="1">
        <f t="shared" si="10"/>
        <v>13.978</v>
      </c>
      <c r="M113" s="2">
        <f t="shared" si="11"/>
        <v>622.1</v>
      </c>
      <c r="O113" s="1">
        <f t="shared" si="12"/>
        <v>13.550277777777778</v>
      </c>
      <c r="P113" s="2">
        <f t="shared" si="13"/>
        <v>580.47222222222217</v>
      </c>
    </row>
    <row r="114" spans="1:16" x14ac:dyDescent="0.45">
      <c r="A114" s="12"/>
      <c r="B114" s="4">
        <v>44739</v>
      </c>
      <c r="C114" s="1">
        <v>10.5</v>
      </c>
      <c r="D114">
        <v>363</v>
      </c>
      <c r="E114">
        <v>0</v>
      </c>
      <c r="F114">
        <v>5167</v>
      </c>
      <c r="G114" s="2">
        <f t="shared" si="9"/>
        <v>9459.5</v>
      </c>
      <c r="I114" s="1">
        <f t="shared" si="7"/>
        <v>13.727499999999999</v>
      </c>
      <c r="J114" s="2">
        <f t="shared" si="8"/>
        <v>593.75</v>
      </c>
      <c r="L114" s="1">
        <f t="shared" si="10"/>
        <v>14.011000000000001</v>
      </c>
      <c r="M114" s="2">
        <f t="shared" si="11"/>
        <v>623.1</v>
      </c>
      <c r="O114" s="1">
        <f t="shared" si="12"/>
        <v>14.077777777777778</v>
      </c>
      <c r="P114" s="2">
        <f t="shared" si="13"/>
        <v>625.58333333333337</v>
      </c>
    </row>
    <row r="115" spans="1:16" x14ac:dyDescent="0.45">
      <c r="A115" s="12" t="s">
        <v>36</v>
      </c>
      <c r="B115" s="4">
        <v>44746</v>
      </c>
      <c r="C115" s="1">
        <v>11.5</v>
      </c>
      <c r="D115">
        <v>434</v>
      </c>
      <c r="E115">
        <v>0</v>
      </c>
      <c r="F115">
        <v>6943</v>
      </c>
      <c r="G115" s="2">
        <f t="shared" si="9"/>
        <v>8871.5</v>
      </c>
      <c r="I115" s="1">
        <f t="shared" si="7"/>
        <v>13.164999999999999</v>
      </c>
      <c r="J115" s="2">
        <f t="shared" si="8"/>
        <v>562.5</v>
      </c>
      <c r="L115" s="1">
        <f t="shared" si="10"/>
        <v>13.84</v>
      </c>
      <c r="M115" s="2">
        <f t="shared" si="11"/>
        <v>609.15</v>
      </c>
      <c r="O115" s="1">
        <f t="shared" si="12"/>
        <v>14.292777777777777</v>
      </c>
      <c r="P115" s="2">
        <f t="shared" si="13"/>
        <v>658.61111111111109</v>
      </c>
    </row>
    <row r="116" spans="1:16" x14ac:dyDescent="0.45">
      <c r="A116" s="12"/>
      <c r="B116" s="4">
        <v>44753</v>
      </c>
      <c r="C116" s="1">
        <v>16</v>
      </c>
      <c r="D116">
        <v>827</v>
      </c>
      <c r="E116">
        <v>0</v>
      </c>
      <c r="F116">
        <v>11880</v>
      </c>
      <c r="G116" s="2">
        <f t="shared" si="9"/>
        <v>9224.5</v>
      </c>
      <c r="I116" s="1">
        <f t="shared" si="7"/>
        <v>13.5825</v>
      </c>
      <c r="J116" s="2">
        <f t="shared" si="8"/>
        <v>617.75</v>
      </c>
      <c r="L116" s="1">
        <f t="shared" si="10"/>
        <v>13.702499999999997</v>
      </c>
      <c r="M116" s="2">
        <f t="shared" si="11"/>
        <v>601.35</v>
      </c>
      <c r="O116" s="1">
        <f t="shared" si="12"/>
        <v>13.535555555555556</v>
      </c>
      <c r="P116" s="2">
        <f t="shared" si="13"/>
        <v>592.55555555555554</v>
      </c>
    </row>
    <row r="117" spans="1:16" x14ac:dyDescent="0.45">
      <c r="A117" s="12"/>
      <c r="B117" s="4">
        <v>44760</v>
      </c>
      <c r="C117" s="1">
        <v>14.75</v>
      </c>
      <c r="D117">
        <v>510</v>
      </c>
      <c r="E117">
        <v>0</v>
      </c>
      <c r="F117">
        <v>9498</v>
      </c>
      <c r="G117" s="2">
        <f t="shared" si="9"/>
        <v>8372</v>
      </c>
      <c r="I117" s="1">
        <f t="shared" si="7"/>
        <v>13.1875</v>
      </c>
      <c r="J117" s="2">
        <f t="shared" si="8"/>
        <v>533.5</v>
      </c>
      <c r="L117" s="1">
        <f t="shared" si="10"/>
        <v>13.619499999999999</v>
      </c>
      <c r="M117" s="2">
        <f t="shared" si="11"/>
        <v>591.29999999999995</v>
      </c>
      <c r="O117" s="1">
        <f t="shared" si="12"/>
        <v>13.715833333333332</v>
      </c>
      <c r="P117" s="2">
        <f t="shared" si="13"/>
        <v>593.72222222222217</v>
      </c>
    </row>
    <row r="118" spans="1:16" x14ac:dyDescent="0.45">
      <c r="A118" s="12" t="s">
        <v>37</v>
      </c>
      <c r="B118" s="4">
        <v>44767</v>
      </c>
      <c r="C118" s="1">
        <v>12.5</v>
      </c>
      <c r="D118">
        <v>490</v>
      </c>
      <c r="E118">
        <v>0</v>
      </c>
      <c r="F118">
        <v>7591</v>
      </c>
      <c r="G118" s="2">
        <f t="shared" si="9"/>
        <v>8978</v>
      </c>
      <c r="I118" s="1">
        <f t="shared" si="7"/>
        <v>13.6875</v>
      </c>
      <c r="J118" s="2">
        <f t="shared" si="8"/>
        <v>565.25</v>
      </c>
      <c r="L118" s="1">
        <f t="shared" si="10"/>
        <v>13.469999999999999</v>
      </c>
      <c r="M118" s="2">
        <f t="shared" si="11"/>
        <v>574.54999999999995</v>
      </c>
      <c r="O118" s="1">
        <f t="shared" si="12"/>
        <v>13.799722222222222</v>
      </c>
      <c r="P118" s="2">
        <f t="shared" si="13"/>
        <v>592.72222222222217</v>
      </c>
    </row>
    <row r="119" spans="1:16" x14ac:dyDescent="0.45">
      <c r="A119" s="12" t="s">
        <v>95</v>
      </c>
      <c r="B119" s="4">
        <v>44774</v>
      </c>
      <c r="C119" s="1">
        <v>0</v>
      </c>
      <c r="D119">
        <v>0</v>
      </c>
      <c r="E119">
        <v>0</v>
      </c>
      <c r="F119">
        <v>0</v>
      </c>
      <c r="G119" s="2">
        <f t="shared" si="9"/>
        <v>7242.25</v>
      </c>
      <c r="I119" s="1">
        <f t="shared" si="7"/>
        <v>10.8125</v>
      </c>
      <c r="J119" s="2">
        <f t="shared" si="8"/>
        <v>456.75</v>
      </c>
      <c r="L119" s="1">
        <f t="shared" si="10"/>
        <v>12.887</v>
      </c>
      <c r="M119" s="2">
        <f t="shared" si="11"/>
        <v>547.15</v>
      </c>
      <c r="O119" s="1">
        <f t="shared" si="12"/>
        <v>13.408333333333333</v>
      </c>
      <c r="P119" s="2">
        <f t="shared" si="13"/>
        <v>581.75</v>
      </c>
    </row>
    <row r="120" spans="1:16" x14ac:dyDescent="0.45">
      <c r="A120" s="12"/>
      <c r="B120" s="4">
        <v>44781</v>
      </c>
      <c r="C120" s="1">
        <v>0</v>
      </c>
      <c r="D120">
        <v>0</v>
      </c>
      <c r="E120">
        <v>0</v>
      </c>
      <c r="F120">
        <v>0</v>
      </c>
      <c r="G120" s="2">
        <f t="shared" si="9"/>
        <v>4272.25</v>
      </c>
      <c r="I120" s="1">
        <f t="shared" si="7"/>
        <v>6.8125</v>
      </c>
      <c r="J120" s="2">
        <f t="shared" si="8"/>
        <v>250</v>
      </c>
      <c r="L120" s="1">
        <f t="shared" si="10"/>
        <v>11.616499999999998</v>
      </c>
      <c r="M120" s="2">
        <f t="shared" si="11"/>
        <v>484.65</v>
      </c>
      <c r="O120" s="1">
        <f t="shared" si="12"/>
        <v>12.49</v>
      </c>
      <c r="P120" s="2">
        <f t="shared" si="13"/>
        <v>543.5</v>
      </c>
    </row>
    <row r="121" spans="1:16" x14ac:dyDescent="0.45">
      <c r="A121" s="12" t="s">
        <v>96</v>
      </c>
      <c r="B121" s="4">
        <v>44788</v>
      </c>
      <c r="C121" s="1">
        <v>0</v>
      </c>
      <c r="D121">
        <v>0</v>
      </c>
      <c r="E121">
        <v>0</v>
      </c>
      <c r="F121">
        <v>0</v>
      </c>
      <c r="G121" s="2">
        <f t="shared" si="9"/>
        <v>1897.75</v>
      </c>
      <c r="I121" s="1">
        <f t="shared" si="7"/>
        <v>3.125</v>
      </c>
      <c r="J121" s="2">
        <f t="shared" si="8"/>
        <v>122.5</v>
      </c>
      <c r="L121" s="1">
        <f t="shared" si="10"/>
        <v>9.5250000000000004</v>
      </c>
      <c r="M121" s="2">
        <f t="shared" si="11"/>
        <v>385.6</v>
      </c>
      <c r="O121" s="1">
        <f t="shared" si="12"/>
        <v>10.673611111111111</v>
      </c>
      <c r="P121" s="2">
        <f t="shared" si="13"/>
        <v>428.16666666666669</v>
      </c>
    </row>
    <row r="122" spans="1:16" x14ac:dyDescent="0.45">
      <c r="A122" s="12"/>
      <c r="B122" s="4">
        <v>44795</v>
      </c>
      <c r="C122" s="1">
        <v>0</v>
      </c>
      <c r="D122">
        <v>0</v>
      </c>
      <c r="E122">
        <v>0</v>
      </c>
      <c r="F122">
        <v>0</v>
      </c>
      <c r="G122" s="2">
        <f t="shared" si="9"/>
        <v>0</v>
      </c>
      <c r="I122" s="1">
        <f t="shared" si="7"/>
        <v>0</v>
      </c>
      <c r="J122" s="2">
        <f t="shared" si="8"/>
        <v>0</v>
      </c>
      <c r="L122" s="1">
        <f t="shared" si="10"/>
        <v>6.8875000000000002</v>
      </c>
      <c r="M122" s="2">
        <f t="shared" si="11"/>
        <v>278.89999999999998</v>
      </c>
      <c r="O122" s="1">
        <f t="shared" si="12"/>
        <v>9.8611111111111107</v>
      </c>
      <c r="P122" s="2">
        <f t="shared" si="13"/>
        <v>410.30555555555554</v>
      </c>
    </row>
    <row r="123" spans="1:16" x14ac:dyDescent="0.45">
      <c r="A123" s="12"/>
      <c r="B123" s="4">
        <v>44802</v>
      </c>
      <c r="C123" s="1">
        <v>15.66</v>
      </c>
      <c r="D123">
        <v>466</v>
      </c>
      <c r="E123">
        <v>2</v>
      </c>
      <c r="F123">
        <v>10848</v>
      </c>
      <c r="G123" s="2">
        <f t="shared" si="9"/>
        <v>2712</v>
      </c>
      <c r="I123" s="1">
        <f t="shared" si="7"/>
        <v>3.915</v>
      </c>
      <c r="J123" s="2">
        <f t="shared" si="8"/>
        <v>116.5</v>
      </c>
      <c r="L123" s="1">
        <f t="shared" si="10"/>
        <v>4.9329999999999998</v>
      </c>
      <c r="M123" s="2">
        <f t="shared" si="11"/>
        <v>189.15</v>
      </c>
      <c r="O123" s="1">
        <f t="shared" si="12"/>
        <v>8.9419444444444434</v>
      </c>
      <c r="P123" s="2">
        <f t="shared" si="13"/>
        <v>377.55555555555554</v>
      </c>
    </row>
    <row r="124" spans="1:16" x14ac:dyDescent="0.45">
      <c r="A124" s="12"/>
      <c r="B124" s="4">
        <v>44809</v>
      </c>
      <c r="C124" s="1">
        <v>20</v>
      </c>
      <c r="D124">
        <v>743</v>
      </c>
      <c r="E124">
        <v>2</v>
      </c>
      <c r="F124">
        <v>15311</v>
      </c>
      <c r="G124" s="2">
        <f t="shared" si="9"/>
        <v>6539.75</v>
      </c>
      <c r="I124" s="1">
        <f t="shared" si="7"/>
        <v>8.9149999999999991</v>
      </c>
      <c r="J124" s="2">
        <f t="shared" si="8"/>
        <v>302.25</v>
      </c>
      <c r="L124" s="1">
        <f t="shared" si="10"/>
        <v>4.5534999999999997</v>
      </c>
      <c r="M124" s="2">
        <f t="shared" si="11"/>
        <v>158.25</v>
      </c>
      <c r="O124" s="1">
        <f t="shared" si="12"/>
        <v>7.1338888888888885</v>
      </c>
      <c r="P124" s="2">
        <f t="shared" si="13"/>
        <v>255.13888888888889</v>
      </c>
    </row>
    <row r="125" spans="1:16" x14ac:dyDescent="0.45">
      <c r="A125" s="12"/>
      <c r="B125" s="4">
        <v>44816</v>
      </c>
      <c r="C125" s="1">
        <v>19.5</v>
      </c>
      <c r="D125">
        <v>703</v>
      </c>
      <c r="E125">
        <v>2</v>
      </c>
      <c r="F125">
        <v>13712</v>
      </c>
      <c r="G125" s="2">
        <f t="shared" si="9"/>
        <v>9967.75</v>
      </c>
      <c r="I125" s="1">
        <f t="shared" si="7"/>
        <v>13.79</v>
      </c>
      <c r="J125" s="2">
        <f t="shared" si="8"/>
        <v>478</v>
      </c>
      <c r="L125" s="1">
        <f t="shared" si="10"/>
        <v>5.9489999999999998</v>
      </c>
      <c r="M125" s="2">
        <f t="shared" si="11"/>
        <v>203.85</v>
      </c>
      <c r="O125" s="1">
        <f t="shared" si="12"/>
        <v>5.735555555555556</v>
      </c>
      <c r="P125" s="2">
        <f t="shared" si="13"/>
        <v>208.52777777777777</v>
      </c>
    </row>
    <row r="126" spans="1:16" x14ac:dyDescent="0.45">
      <c r="A126" s="12"/>
      <c r="B126" s="4">
        <v>44823</v>
      </c>
      <c r="C126" s="1">
        <v>22.33</v>
      </c>
      <c r="D126">
        <v>964</v>
      </c>
      <c r="E126">
        <v>2</v>
      </c>
      <c r="F126">
        <v>17405</v>
      </c>
      <c r="G126" s="2">
        <f t="shared" si="9"/>
        <v>14319</v>
      </c>
      <c r="I126" s="1">
        <f t="shared" si="7"/>
        <v>19.372499999999999</v>
      </c>
      <c r="J126" s="2">
        <f t="shared" si="8"/>
        <v>719</v>
      </c>
      <c r="L126" s="1">
        <f t="shared" si="10"/>
        <v>9.1984999999999992</v>
      </c>
      <c r="M126" s="2">
        <f t="shared" si="11"/>
        <v>323.14999999999998</v>
      </c>
      <c r="O126" s="1">
        <f t="shared" si="12"/>
        <v>5.1102777777777781</v>
      </c>
      <c r="P126" s="2">
        <f t="shared" si="13"/>
        <v>179.52777777777777</v>
      </c>
    </row>
    <row r="127" spans="1:16" x14ac:dyDescent="0.45">
      <c r="A127" s="12"/>
      <c r="B127" s="4">
        <v>44830</v>
      </c>
      <c r="C127" s="1">
        <v>13.75</v>
      </c>
      <c r="D127">
        <v>595</v>
      </c>
      <c r="E127">
        <v>2</v>
      </c>
      <c r="F127">
        <v>11220</v>
      </c>
      <c r="G127" s="2">
        <f t="shared" si="9"/>
        <v>14412</v>
      </c>
      <c r="I127" s="1">
        <f t="shared" si="7"/>
        <v>18.895</v>
      </c>
      <c r="J127" s="2">
        <f t="shared" si="8"/>
        <v>751.25</v>
      </c>
      <c r="L127" s="1">
        <f t="shared" si="10"/>
        <v>12.977499999999997</v>
      </c>
      <c r="M127" s="2">
        <f t="shared" si="11"/>
        <v>473.4</v>
      </c>
      <c r="O127" s="1">
        <f t="shared" si="12"/>
        <v>7.6447222222222218</v>
      </c>
      <c r="P127" s="2">
        <f t="shared" si="13"/>
        <v>275.94444444444446</v>
      </c>
    </row>
    <row r="128" spans="1:16" x14ac:dyDescent="0.45">
      <c r="A128" s="12"/>
      <c r="B128" s="4">
        <v>44837</v>
      </c>
      <c r="C128" s="1">
        <v>15.25</v>
      </c>
      <c r="D128">
        <v>856</v>
      </c>
      <c r="E128">
        <v>1</v>
      </c>
      <c r="F128">
        <v>13793</v>
      </c>
      <c r="G128" s="2">
        <f t="shared" si="9"/>
        <v>14032.5</v>
      </c>
      <c r="I128" s="1">
        <f t="shared" si="7"/>
        <v>17.7075</v>
      </c>
      <c r="J128" s="2">
        <f t="shared" si="8"/>
        <v>779.5</v>
      </c>
      <c r="L128" s="1">
        <f t="shared" si="10"/>
        <v>15.736000000000001</v>
      </c>
      <c r="M128" s="2">
        <f t="shared" si="11"/>
        <v>606</v>
      </c>
      <c r="O128" s="1">
        <f t="shared" si="12"/>
        <v>10.60277777777778</v>
      </c>
      <c r="P128" s="2">
        <f t="shared" si="13"/>
        <v>396.13888888888891</v>
      </c>
    </row>
    <row r="129" spans="1:16" x14ac:dyDescent="0.45">
      <c r="A129" s="12"/>
      <c r="B129" s="4">
        <v>44844</v>
      </c>
      <c r="C129" s="1">
        <v>21</v>
      </c>
      <c r="D129">
        <v>944</v>
      </c>
      <c r="E129">
        <v>2</v>
      </c>
      <c r="F129">
        <v>16054</v>
      </c>
      <c r="G129" s="2">
        <f t="shared" si="9"/>
        <v>14618</v>
      </c>
      <c r="I129" s="1">
        <f t="shared" si="7"/>
        <v>18.0825</v>
      </c>
      <c r="J129" s="2">
        <f t="shared" si="8"/>
        <v>839.75</v>
      </c>
      <c r="L129" s="1">
        <f t="shared" si="10"/>
        <v>17.569499999999998</v>
      </c>
      <c r="M129" s="2">
        <f t="shared" si="11"/>
        <v>713.5</v>
      </c>
      <c r="O129" s="1">
        <f t="shared" si="12"/>
        <v>14.144166666666667</v>
      </c>
      <c r="P129" s="2">
        <f t="shared" si="13"/>
        <v>542.55555555555554</v>
      </c>
    </row>
    <row r="130" spans="1:16" x14ac:dyDescent="0.45">
      <c r="A130" s="12"/>
      <c r="B130" s="4">
        <v>44851</v>
      </c>
      <c r="C130" s="1">
        <v>19.66</v>
      </c>
      <c r="D130">
        <v>1002</v>
      </c>
      <c r="E130">
        <v>2</v>
      </c>
      <c r="F130">
        <v>15758</v>
      </c>
      <c r="G130" s="2">
        <f t="shared" si="9"/>
        <v>14206.25</v>
      </c>
      <c r="I130" s="1">
        <f t="shared" si="7"/>
        <v>17.414999999999999</v>
      </c>
      <c r="J130" s="2">
        <f t="shared" si="8"/>
        <v>849.25</v>
      </c>
      <c r="L130" s="1">
        <f t="shared" si="10"/>
        <v>18.294500000000003</v>
      </c>
      <c r="M130" s="2">
        <f t="shared" si="11"/>
        <v>787.75</v>
      </c>
      <c r="O130" s="1">
        <f t="shared" si="12"/>
        <v>18.231666666666666</v>
      </c>
      <c r="P130" s="2">
        <f t="shared" si="13"/>
        <v>716.80555555555554</v>
      </c>
    </row>
    <row r="131" spans="1:16" x14ac:dyDescent="0.45">
      <c r="A131" s="12"/>
      <c r="B131" s="4">
        <v>44858</v>
      </c>
      <c r="C131" s="1">
        <v>10.75</v>
      </c>
      <c r="D131">
        <v>537</v>
      </c>
      <c r="E131">
        <v>0</v>
      </c>
      <c r="F131">
        <v>8307</v>
      </c>
      <c r="G131" s="2">
        <f t="shared" si="9"/>
        <v>13478</v>
      </c>
      <c r="I131" s="1">
        <f t="shared" si="7"/>
        <v>16.664999999999999</v>
      </c>
      <c r="J131" s="2">
        <f t="shared" si="8"/>
        <v>834.75</v>
      </c>
      <c r="L131" s="1">
        <f t="shared" si="10"/>
        <v>17.753</v>
      </c>
      <c r="M131" s="2">
        <f t="shared" si="11"/>
        <v>810.9</v>
      </c>
      <c r="O131" s="1">
        <f t="shared" si="12"/>
        <v>18.702777777777776</v>
      </c>
      <c r="P131" s="2">
        <f t="shared" si="13"/>
        <v>789.47222222222217</v>
      </c>
    </row>
    <row r="132" spans="1:16" x14ac:dyDescent="0.45">
      <c r="A132" s="12" t="s">
        <v>97</v>
      </c>
      <c r="B132" s="4">
        <v>44865</v>
      </c>
      <c r="C132" s="1">
        <v>22.33</v>
      </c>
      <c r="D132">
        <v>1625</v>
      </c>
      <c r="E132">
        <v>0</v>
      </c>
      <c r="F132">
        <v>21966</v>
      </c>
      <c r="G132" s="2">
        <f t="shared" si="9"/>
        <v>15521.25</v>
      </c>
      <c r="I132" s="1">
        <f t="shared" si="7"/>
        <v>18.434999999999999</v>
      </c>
      <c r="J132" s="2">
        <f t="shared" si="8"/>
        <v>1027</v>
      </c>
      <c r="L132" s="1">
        <f t="shared" si="10"/>
        <v>17.660999999999998</v>
      </c>
      <c r="M132" s="2">
        <f t="shared" si="11"/>
        <v>866.05</v>
      </c>
      <c r="O132" s="1">
        <f t="shared" si="12"/>
        <v>18.274166666666666</v>
      </c>
      <c r="P132" s="2">
        <f t="shared" si="13"/>
        <v>825.08333333333337</v>
      </c>
    </row>
    <row r="133" spans="1:16" x14ac:dyDescent="0.45">
      <c r="A133" s="12"/>
      <c r="B133" s="4">
        <v>44872</v>
      </c>
      <c r="C133" s="1">
        <f>10+(48/60)</f>
        <v>10.8</v>
      </c>
      <c r="D133">
        <v>456</v>
      </c>
      <c r="E133">
        <v>0</v>
      </c>
      <c r="F133">
        <v>8563</v>
      </c>
      <c r="G133" s="2">
        <f t="shared" si="9"/>
        <v>13648.5</v>
      </c>
      <c r="I133" s="1">
        <f t="shared" ref="I133:I196" si="14">AVERAGE(C130:C133)</f>
        <v>15.884999999999998</v>
      </c>
      <c r="J133" s="2">
        <f t="shared" ref="J133:J196" si="15">AVERAGE(D130:D133)</f>
        <v>905</v>
      </c>
      <c r="L133" s="1">
        <f t="shared" si="10"/>
        <v>17.296500000000002</v>
      </c>
      <c r="M133" s="2">
        <f t="shared" si="11"/>
        <v>891.15</v>
      </c>
      <c r="O133" s="1">
        <f t="shared" si="12"/>
        <v>17.715</v>
      </c>
      <c r="P133" s="2">
        <f t="shared" si="13"/>
        <v>862.72222222222217</v>
      </c>
    </row>
    <row r="134" spans="1:16" x14ac:dyDescent="0.45">
      <c r="A134" s="12"/>
      <c r="B134" s="4">
        <v>44879</v>
      </c>
      <c r="C134" s="1">
        <v>15.25</v>
      </c>
      <c r="D134">
        <v>770</v>
      </c>
      <c r="E134">
        <v>2</v>
      </c>
      <c r="F134">
        <v>12937</v>
      </c>
      <c r="G134" s="2">
        <f t="shared" ref="G134:G197" si="16">AVERAGE(F131:F134)</f>
        <v>12943.25</v>
      </c>
      <c r="I134" s="1">
        <f t="shared" si="14"/>
        <v>14.782499999999999</v>
      </c>
      <c r="J134" s="2">
        <f t="shared" si="15"/>
        <v>847</v>
      </c>
      <c r="L134" s="1">
        <f t="shared" si="10"/>
        <v>16.636500000000002</v>
      </c>
      <c r="M134" s="2">
        <f t="shared" si="11"/>
        <v>892.6</v>
      </c>
      <c r="O134" s="1">
        <f t="shared" si="12"/>
        <v>16.330277777777777</v>
      </c>
      <c r="P134" s="2">
        <f t="shared" si="13"/>
        <v>836.97222222222217</v>
      </c>
    </row>
    <row r="135" spans="1:16" x14ac:dyDescent="0.45">
      <c r="A135" s="12"/>
      <c r="B135" s="4">
        <v>44886</v>
      </c>
      <c r="C135" s="1">
        <v>15.5</v>
      </c>
      <c r="D135">
        <v>901</v>
      </c>
      <c r="E135">
        <v>2</v>
      </c>
      <c r="F135">
        <v>13653</v>
      </c>
      <c r="G135" s="2">
        <f t="shared" si="16"/>
        <v>14279.75</v>
      </c>
      <c r="I135" s="1">
        <f t="shared" si="14"/>
        <v>15.969999999999999</v>
      </c>
      <c r="J135" s="2">
        <f t="shared" si="15"/>
        <v>938</v>
      </c>
      <c r="L135" s="1">
        <f t="shared" si="10"/>
        <v>16.347500000000004</v>
      </c>
      <c r="M135" s="2">
        <f t="shared" si="11"/>
        <v>910.35</v>
      </c>
      <c r="O135" s="1">
        <f t="shared" si="12"/>
        <v>16.900833333333335</v>
      </c>
      <c r="P135" s="2">
        <f t="shared" si="13"/>
        <v>901.72222222222217</v>
      </c>
    </row>
    <row r="136" spans="1:16" x14ac:dyDescent="0.45">
      <c r="A136" s="12"/>
      <c r="B136" s="4">
        <v>44893</v>
      </c>
      <c r="C136" s="1">
        <v>18.66</v>
      </c>
      <c r="D136">
        <v>1035</v>
      </c>
      <c r="E136">
        <v>2</v>
      </c>
      <c r="F136">
        <v>16177</v>
      </c>
      <c r="G136" s="2">
        <f t="shared" si="16"/>
        <v>12832.5</v>
      </c>
      <c r="I136" s="1">
        <f t="shared" si="14"/>
        <v>15.052499999999998</v>
      </c>
      <c r="J136" s="2">
        <f t="shared" si="15"/>
        <v>790.5</v>
      </c>
      <c r="L136" s="1">
        <f t="shared" si="10"/>
        <v>16.024999999999999</v>
      </c>
      <c r="M136" s="2">
        <f t="shared" si="11"/>
        <v>901.5</v>
      </c>
      <c r="O136" s="1">
        <f t="shared" si="12"/>
        <v>17.232777777777777</v>
      </c>
      <c r="P136" s="2">
        <f t="shared" si="13"/>
        <v>913.44444444444446</v>
      </c>
    </row>
    <row r="137" spans="1:16" x14ac:dyDescent="0.45">
      <c r="A137" s="12"/>
      <c r="B137" s="4">
        <v>44900</v>
      </c>
      <c r="C137" s="1">
        <v>20.25</v>
      </c>
      <c r="D137">
        <v>974</v>
      </c>
      <c r="E137">
        <v>2</v>
      </c>
      <c r="F137">
        <v>15163</v>
      </c>
      <c r="G137" s="2">
        <f t="shared" si="16"/>
        <v>14482.5</v>
      </c>
      <c r="I137" s="1">
        <f t="shared" si="14"/>
        <v>17.414999999999999</v>
      </c>
      <c r="J137" s="2">
        <f t="shared" si="15"/>
        <v>920</v>
      </c>
      <c r="L137" s="1">
        <f t="shared" ref="L137:L200" si="17">((1*C130)+(2*C131)+(3*C132)+(4*C133)+(4*C134)+(3*C135)+(2*C136)+(C137))/20</f>
        <v>15.821000000000002</v>
      </c>
      <c r="M137" s="2">
        <f t="shared" ref="M137:M200" si="18">((1*D130)+(2*D131)+(3*D132)+(4*D133)+(4*D134)+(3*D135)+(2*D136)+(D137))/20</f>
        <v>880.1</v>
      </c>
      <c r="O137" s="1">
        <f t="shared" si="12"/>
        <v>16.266111111111108</v>
      </c>
      <c r="P137" s="2">
        <f t="shared" si="13"/>
        <v>906.44444444444446</v>
      </c>
    </row>
    <row r="138" spans="1:16" x14ac:dyDescent="0.45">
      <c r="A138" s="12"/>
      <c r="B138" s="4">
        <v>44907</v>
      </c>
      <c r="C138" s="1">
        <f>10+(11/60)</f>
        <v>10.183333333333334</v>
      </c>
      <c r="D138">
        <v>325</v>
      </c>
      <c r="E138">
        <v>0</v>
      </c>
      <c r="F138">
        <v>3841</v>
      </c>
      <c r="G138" s="2">
        <f t="shared" si="16"/>
        <v>12208.5</v>
      </c>
      <c r="I138" s="1">
        <f t="shared" si="14"/>
        <v>16.148333333333333</v>
      </c>
      <c r="J138" s="2">
        <f t="shared" si="15"/>
        <v>808.75</v>
      </c>
      <c r="L138" s="1">
        <f t="shared" si="17"/>
        <v>15.873666666666669</v>
      </c>
      <c r="M138" s="2">
        <f t="shared" si="18"/>
        <v>860.85</v>
      </c>
      <c r="O138" s="1">
        <f t="shared" si="12"/>
        <v>15.33398148148148</v>
      </c>
      <c r="P138" s="2">
        <f t="shared" si="13"/>
        <v>867.75</v>
      </c>
    </row>
    <row r="139" spans="1:16" x14ac:dyDescent="0.45">
      <c r="A139" s="12" t="s">
        <v>98</v>
      </c>
      <c r="B139" s="4">
        <v>44914</v>
      </c>
      <c r="C139" s="1">
        <v>9.66</v>
      </c>
      <c r="D139">
        <v>374</v>
      </c>
      <c r="E139">
        <v>0</v>
      </c>
      <c r="F139">
        <v>7426</v>
      </c>
      <c r="G139" s="2">
        <f t="shared" si="16"/>
        <v>10651.75</v>
      </c>
      <c r="I139" s="1">
        <f t="shared" si="14"/>
        <v>14.688333333333333</v>
      </c>
      <c r="J139" s="2">
        <f t="shared" si="15"/>
        <v>677</v>
      </c>
      <c r="L139" s="1">
        <f t="shared" si="17"/>
        <v>15.854833333333335</v>
      </c>
      <c r="M139" s="2">
        <f t="shared" si="18"/>
        <v>826.85</v>
      </c>
      <c r="O139" s="1">
        <f t="shared" si="12"/>
        <v>16.351574074074076</v>
      </c>
      <c r="P139" s="2">
        <f t="shared" si="13"/>
        <v>927.86111111111109</v>
      </c>
    </row>
    <row r="140" spans="1:16" x14ac:dyDescent="0.45">
      <c r="A140" s="12"/>
      <c r="B140" s="4">
        <v>44921</v>
      </c>
      <c r="C140" s="1">
        <f>16+(53/60)</f>
        <v>16.883333333333333</v>
      </c>
      <c r="D140">
        <v>799</v>
      </c>
      <c r="E140">
        <v>0</v>
      </c>
      <c r="F140">
        <v>14112</v>
      </c>
      <c r="G140" s="2">
        <f t="shared" si="16"/>
        <v>10135.5</v>
      </c>
      <c r="I140" s="1">
        <f t="shared" si="14"/>
        <v>14.244166666666667</v>
      </c>
      <c r="J140" s="2">
        <f t="shared" si="15"/>
        <v>618</v>
      </c>
      <c r="L140" s="1">
        <f t="shared" si="17"/>
        <v>15.509666666666666</v>
      </c>
      <c r="M140" s="2">
        <f t="shared" si="18"/>
        <v>762.85</v>
      </c>
      <c r="O140" s="1">
        <f t="shared" si="12"/>
        <v>14.644537037037038</v>
      </c>
      <c r="P140" s="2">
        <f t="shared" si="13"/>
        <v>723.25</v>
      </c>
    </row>
    <row r="141" spans="1:16" x14ac:dyDescent="0.45">
      <c r="A141" s="12"/>
      <c r="B141" s="4">
        <v>44928</v>
      </c>
      <c r="C141" s="1">
        <f>15+(24/60)</f>
        <v>15.4</v>
      </c>
      <c r="D141">
        <v>990</v>
      </c>
      <c r="E141">
        <v>1</v>
      </c>
      <c r="F141">
        <v>12053</v>
      </c>
      <c r="G141" s="2">
        <f t="shared" si="16"/>
        <v>9358</v>
      </c>
      <c r="I141" s="1">
        <f t="shared" si="14"/>
        <v>13.031666666666666</v>
      </c>
      <c r="J141" s="2">
        <f t="shared" si="15"/>
        <v>622</v>
      </c>
      <c r="L141" s="1">
        <f t="shared" si="17"/>
        <v>15.105500000000001</v>
      </c>
      <c r="M141" s="2">
        <f t="shared" si="18"/>
        <v>729.15</v>
      </c>
      <c r="O141" s="1">
        <f t="shared" ref="O141:O204" si="19">((C141)+(C140*2)+(C139*3)+(C138*4)+(C137*5)+(C136*6)+(C135*7)+(C134*8))/36</f>
        <v>15.627500000000001</v>
      </c>
      <c r="P141" s="2">
        <f t="shared" ref="P141:P204" si="20">((D141)+(D140*2)+(D139*3)+(D138*4)+(D137*5)+(D136*6)+(D135*7)+(D134*8))/36</f>
        <v>793.25</v>
      </c>
    </row>
    <row r="142" spans="1:16" x14ac:dyDescent="0.45">
      <c r="A142" s="12"/>
      <c r="B142" s="4">
        <v>44935</v>
      </c>
      <c r="C142" s="1">
        <v>14.5</v>
      </c>
      <c r="D142">
        <v>684</v>
      </c>
      <c r="E142">
        <v>2</v>
      </c>
      <c r="F142">
        <v>9751</v>
      </c>
      <c r="G142" s="2">
        <f t="shared" si="16"/>
        <v>10835.5</v>
      </c>
      <c r="I142" s="1">
        <f t="shared" si="14"/>
        <v>14.110833333333334</v>
      </c>
      <c r="J142" s="2">
        <f t="shared" si="15"/>
        <v>711.75</v>
      </c>
      <c r="L142" s="1">
        <f t="shared" si="17"/>
        <v>14.444666666666667</v>
      </c>
      <c r="M142" s="2">
        <f t="shared" si="18"/>
        <v>687.5</v>
      </c>
      <c r="O142" s="1">
        <f t="shared" si="19"/>
        <v>15.60074074074074</v>
      </c>
      <c r="P142" s="2">
        <f t="shared" si="20"/>
        <v>791.08333333333337</v>
      </c>
    </row>
    <row r="143" spans="1:16" x14ac:dyDescent="0.45">
      <c r="A143" s="12"/>
      <c r="B143" s="4">
        <v>44942</v>
      </c>
      <c r="C143" s="1">
        <f>14.75</f>
        <v>14.75</v>
      </c>
      <c r="D143">
        <v>707</v>
      </c>
      <c r="E143">
        <v>1</v>
      </c>
      <c r="F143">
        <v>9539</v>
      </c>
      <c r="G143" s="2">
        <f t="shared" si="16"/>
        <v>11363.75</v>
      </c>
      <c r="I143" s="1">
        <f t="shared" si="14"/>
        <v>15.383333333333333</v>
      </c>
      <c r="J143" s="2">
        <f t="shared" si="15"/>
        <v>795</v>
      </c>
      <c r="L143" s="1">
        <f t="shared" si="17"/>
        <v>14.291666666666666</v>
      </c>
      <c r="M143" s="2">
        <f t="shared" si="18"/>
        <v>684.75</v>
      </c>
      <c r="O143" s="1">
        <f t="shared" si="19"/>
        <v>15.497592592592595</v>
      </c>
      <c r="P143" s="2">
        <f t="shared" si="20"/>
        <v>754.41666666666663</v>
      </c>
    </row>
    <row r="144" spans="1:16" x14ac:dyDescent="0.45">
      <c r="A144" s="12" t="s">
        <v>99</v>
      </c>
      <c r="B144" s="4">
        <v>44949</v>
      </c>
      <c r="C144" s="1">
        <v>15.33</v>
      </c>
      <c r="D144">
        <v>710</v>
      </c>
      <c r="E144">
        <v>1</v>
      </c>
      <c r="F144">
        <v>8418</v>
      </c>
      <c r="G144" s="2">
        <f t="shared" si="16"/>
        <v>9940.25</v>
      </c>
      <c r="I144" s="1">
        <f t="shared" si="14"/>
        <v>14.994999999999999</v>
      </c>
      <c r="J144" s="2">
        <f t="shared" si="15"/>
        <v>772.75</v>
      </c>
      <c r="L144" s="1">
        <f t="shared" si="17"/>
        <v>14.353</v>
      </c>
      <c r="M144" s="2">
        <f t="shared" si="18"/>
        <v>703.9</v>
      </c>
      <c r="O144" s="1">
        <f t="shared" si="19"/>
        <v>14.599722222222223</v>
      </c>
      <c r="P144" s="2">
        <f t="shared" si="20"/>
        <v>678.94444444444446</v>
      </c>
    </row>
    <row r="145" spans="1:16" x14ac:dyDescent="0.45">
      <c r="A145" s="12"/>
      <c r="B145" s="4">
        <v>44956</v>
      </c>
      <c r="C145" s="1">
        <f>15+(35/60)</f>
        <v>15.583333333333334</v>
      </c>
      <c r="D145">
        <v>657</v>
      </c>
      <c r="E145">
        <v>1</v>
      </c>
      <c r="F145">
        <v>11272</v>
      </c>
      <c r="G145" s="2">
        <f t="shared" si="16"/>
        <v>9745</v>
      </c>
      <c r="I145" s="1">
        <f t="shared" si="14"/>
        <v>15.040833333333333</v>
      </c>
      <c r="J145" s="2">
        <f t="shared" si="15"/>
        <v>689.5</v>
      </c>
      <c r="L145" s="1">
        <f t="shared" si="17"/>
        <v>14.512333333333334</v>
      </c>
      <c r="M145" s="2">
        <f t="shared" si="18"/>
        <v>718.2</v>
      </c>
      <c r="O145" s="1">
        <f t="shared" si="19"/>
        <v>13.218888888888889</v>
      </c>
      <c r="P145" s="2">
        <f t="shared" si="20"/>
        <v>608.22222222222217</v>
      </c>
    </row>
    <row r="146" spans="1:16" x14ac:dyDescent="0.45">
      <c r="A146" s="12" t="s">
        <v>100</v>
      </c>
      <c r="B146" s="4">
        <v>44963</v>
      </c>
      <c r="C146" s="1">
        <v>17.25</v>
      </c>
      <c r="D146">
        <v>863</v>
      </c>
      <c r="E146">
        <v>2</v>
      </c>
      <c r="F146">
        <v>12565</v>
      </c>
      <c r="G146" s="2">
        <f t="shared" si="16"/>
        <v>10448.5</v>
      </c>
      <c r="I146" s="1">
        <f t="shared" si="14"/>
        <v>15.728333333333333</v>
      </c>
      <c r="J146" s="2">
        <f t="shared" si="15"/>
        <v>734.25</v>
      </c>
      <c r="L146" s="1">
        <f t="shared" si="17"/>
        <v>15.051666666666668</v>
      </c>
      <c r="M146" s="2">
        <f t="shared" si="18"/>
        <v>740.65</v>
      </c>
      <c r="O146" s="1">
        <f t="shared" si="19"/>
        <v>14.271388888888888</v>
      </c>
      <c r="P146" s="2">
        <f t="shared" si="20"/>
        <v>696.66666666666663</v>
      </c>
    </row>
    <row r="147" spans="1:16" x14ac:dyDescent="0.45">
      <c r="A147" s="15"/>
      <c r="B147" s="4">
        <v>44970</v>
      </c>
      <c r="C147" s="1">
        <f>13+(53/60)</f>
        <v>13.883333333333333</v>
      </c>
      <c r="D147">
        <v>616</v>
      </c>
      <c r="E147">
        <v>2</v>
      </c>
      <c r="F147">
        <v>9540</v>
      </c>
      <c r="G147" s="2">
        <f t="shared" si="16"/>
        <v>10448.75</v>
      </c>
      <c r="I147" s="1">
        <f t="shared" si="14"/>
        <v>15.511666666666667</v>
      </c>
      <c r="J147" s="2">
        <f t="shared" si="15"/>
        <v>711.5</v>
      </c>
      <c r="L147" s="1">
        <f t="shared" si="17"/>
        <v>15.331833333333332</v>
      </c>
      <c r="M147" s="2">
        <f t="shared" si="18"/>
        <v>740.6</v>
      </c>
      <c r="O147" s="1">
        <f t="shared" si="19"/>
        <v>15.557499999999997</v>
      </c>
      <c r="P147" s="2">
        <f t="shared" si="20"/>
        <v>780.94444444444446</v>
      </c>
    </row>
    <row r="148" spans="1:16" x14ac:dyDescent="0.45">
      <c r="A148" s="12" t="s">
        <v>44</v>
      </c>
      <c r="B148" s="4">
        <v>44977</v>
      </c>
      <c r="C148" s="1">
        <v>7.5</v>
      </c>
      <c r="D148">
        <v>205</v>
      </c>
      <c r="E148">
        <v>0</v>
      </c>
      <c r="F148">
        <v>2258</v>
      </c>
      <c r="G148" s="2">
        <f t="shared" si="16"/>
        <v>8908.75</v>
      </c>
      <c r="I148" s="1">
        <f t="shared" si="14"/>
        <v>13.554166666666667</v>
      </c>
      <c r="J148" s="2">
        <f t="shared" si="15"/>
        <v>585.25</v>
      </c>
      <c r="L148" s="1">
        <f t="shared" si="17"/>
        <v>14.965999999999999</v>
      </c>
      <c r="M148" s="2">
        <f t="shared" si="18"/>
        <v>698.65</v>
      </c>
      <c r="O148" s="1">
        <f t="shared" si="19"/>
        <v>14.97777777777778</v>
      </c>
      <c r="P148" s="2">
        <f t="shared" si="20"/>
        <v>754.27777777777783</v>
      </c>
    </row>
    <row r="149" spans="1:16" x14ac:dyDescent="0.45">
      <c r="A149" s="12"/>
      <c r="B149" s="4">
        <v>44984</v>
      </c>
      <c r="C149" s="1">
        <f>15.25</f>
        <v>15.25</v>
      </c>
      <c r="D149">
        <v>603</v>
      </c>
      <c r="E149">
        <v>0</v>
      </c>
      <c r="F149">
        <v>9531</v>
      </c>
      <c r="G149" s="2">
        <f t="shared" si="16"/>
        <v>8473.5</v>
      </c>
      <c r="I149" s="1">
        <f t="shared" si="14"/>
        <v>13.470833333333333</v>
      </c>
      <c r="J149" s="2">
        <f t="shared" si="15"/>
        <v>571.75</v>
      </c>
      <c r="L149" s="1">
        <f t="shared" si="17"/>
        <v>14.661166666666668</v>
      </c>
      <c r="M149" s="2">
        <f t="shared" si="18"/>
        <v>658.45</v>
      </c>
      <c r="O149" s="1">
        <f t="shared" si="19"/>
        <v>14.723518518518517</v>
      </c>
      <c r="P149" s="2">
        <f t="shared" si="20"/>
        <v>674.41666666666663</v>
      </c>
    </row>
    <row r="150" spans="1:16" x14ac:dyDescent="0.45">
      <c r="A150" s="12"/>
      <c r="B150" s="4">
        <v>44991</v>
      </c>
      <c r="C150" s="1">
        <v>11.75</v>
      </c>
      <c r="D150">
        <v>555</v>
      </c>
      <c r="E150">
        <v>0</v>
      </c>
      <c r="F150">
        <v>7437</v>
      </c>
      <c r="G150" s="2">
        <f t="shared" si="16"/>
        <v>7191.5</v>
      </c>
      <c r="I150" s="1">
        <f t="shared" si="14"/>
        <v>12.095833333333333</v>
      </c>
      <c r="J150" s="2">
        <f t="shared" si="15"/>
        <v>494.75</v>
      </c>
      <c r="L150" s="1">
        <f t="shared" si="17"/>
        <v>14.072166666666666</v>
      </c>
      <c r="M150" s="2">
        <f t="shared" si="18"/>
        <v>619.5</v>
      </c>
      <c r="O150" s="1">
        <f t="shared" si="19"/>
        <v>14.592870370370369</v>
      </c>
      <c r="P150" s="2">
        <f t="shared" si="20"/>
        <v>658.97222222222217</v>
      </c>
    </row>
    <row r="151" spans="1:16" x14ac:dyDescent="0.45">
      <c r="A151" s="12" t="s">
        <v>101</v>
      </c>
      <c r="B151" s="4">
        <v>44998</v>
      </c>
      <c r="C151" s="1">
        <f>10+8/60</f>
        <v>10.133333333333333</v>
      </c>
      <c r="D151">
        <v>427</v>
      </c>
      <c r="E151">
        <v>0</v>
      </c>
      <c r="F151">
        <v>3589</v>
      </c>
      <c r="G151" s="2">
        <f t="shared" si="16"/>
        <v>5703.75</v>
      </c>
      <c r="I151" s="1">
        <f t="shared" si="14"/>
        <v>11.158333333333333</v>
      </c>
      <c r="J151" s="2">
        <f t="shared" si="15"/>
        <v>447.5</v>
      </c>
      <c r="L151" s="1">
        <f t="shared" si="17"/>
        <v>13.158166666666668</v>
      </c>
      <c r="M151" s="2">
        <f t="shared" si="18"/>
        <v>562.15</v>
      </c>
      <c r="O151" s="1">
        <f t="shared" si="19"/>
        <v>14.278425925925925</v>
      </c>
      <c r="P151" s="2">
        <f t="shared" si="20"/>
        <v>630.63888888888891</v>
      </c>
    </row>
    <row r="152" spans="1:16" x14ac:dyDescent="0.45">
      <c r="A152" s="12" t="s">
        <v>102</v>
      </c>
      <c r="B152" s="4">
        <v>45005</v>
      </c>
      <c r="C152" s="1">
        <v>19</v>
      </c>
      <c r="D152">
        <v>872</v>
      </c>
      <c r="E152">
        <v>1</v>
      </c>
      <c r="F152">
        <v>10556</v>
      </c>
      <c r="G152" s="2">
        <f t="shared" si="16"/>
        <v>7778.25</v>
      </c>
      <c r="I152" s="1">
        <f t="shared" si="14"/>
        <v>14.033333333333333</v>
      </c>
      <c r="J152" s="2">
        <f t="shared" si="15"/>
        <v>614.25</v>
      </c>
      <c r="L152" s="1">
        <f t="shared" si="17"/>
        <v>12.862500000000001</v>
      </c>
      <c r="M152" s="2">
        <f t="shared" si="18"/>
        <v>542.70000000000005</v>
      </c>
      <c r="O152" s="1">
        <f t="shared" si="19"/>
        <v>13.937037037037037</v>
      </c>
      <c r="P152" s="2">
        <f t="shared" si="20"/>
        <v>606.13888888888891</v>
      </c>
    </row>
    <row r="153" spans="1:16" x14ac:dyDescent="0.45">
      <c r="A153" s="12" t="s">
        <v>103</v>
      </c>
      <c r="B153" s="4">
        <v>45012</v>
      </c>
      <c r="C153" s="1">
        <f>11+43/60</f>
        <v>11.716666666666667</v>
      </c>
      <c r="D153">
        <v>756</v>
      </c>
      <c r="E153">
        <v>0</v>
      </c>
      <c r="F153">
        <v>8176</v>
      </c>
      <c r="G153" s="2">
        <f t="shared" si="16"/>
        <v>7439.5</v>
      </c>
      <c r="I153" s="1">
        <f t="shared" si="14"/>
        <v>13.15</v>
      </c>
      <c r="J153" s="2">
        <f t="shared" si="15"/>
        <v>652.5</v>
      </c>
      <c r="L153" s="1">
        <f t="shared" si="17"/>
        <v>12.781666666666666</v>
      </c>
      <c r="M153" s="2">
        <f t="shared" si="18"/>
        <v>556.15</v>
      </c>
      <c r="O153" s="1">
        <f t="shared" si="19"/>
        <v>13.431944444444445</v>
      </c>
      <c r="P153" s="2">
        <f t="shared" si="20"/>
        <v>596.16666666666663</v>
      </c>
    </row>
    <row r="154" spans="1:16" x14ac:dyDescent="0.45">
      <c r="A154" s="12" t="s">
        <v>104</v>
      </c>
      <c r="B154" s="4">
        <v>45019</v>
      </c>
      <c r="C154" s="1">
        <f>11+13/60</f>
        <v>11.216666666666667</v>
      </c>
      <c r="D154">
        <v>510</v>
      </c>
      <c r="E154">
        <v>0</v>
      </c>
      <c r="F154">
        <v>8334</v>
      </c>
      <c r="G154" s="2">
        <f t="shared" si="16"/>
        <v>7663.75</v>
      </c>
      <c r="I154" s="1">
        <f t="shared" si="14"/>
        <v>13.016666666666667</v>
      </c>
      <c r="J154" s="2">
        <f t="shared" si="15"/>
        <v>641.25</v>
      </c>
      <c r="L154" s="1">
        <f t="shared" si="17"/>
        <v>12.690833333333334</v>
      </c>
      <c r="M154" s="2">
        <f t="shared" si="18"/>
        <v>570.04999999999995</v>
      </c>
      <c r="O154" s="1">
        <f t="shared" si="19"/>
        <v>12.388888888888889</v>
      </c>
      <c r="P154" s="2">
        <f t="shared" si="20"/>
        <v>530.61111111111109</v>
      </c>
    </row>
    <row r="155" spans="1:16" x14ac:dyDescent="0.45">
      <c r="A155" s="12" t="s">
        <v>105</v>
      </c>
      <c r="B155" s="4">
        <v>45026</v>
      </c>
      <c r="C155" s="1">
        <f>20+47/60</f>
        <v>20.783333333333335</v>
      </c>
      <c r="D155">
        <v>1572</v>
      </c>
      <c r="E155">
        <v>0</v>
      </c>
      <c r="F155">
        <v>20507</v>
      </c>
      <c r="G155" s="2">
        <f t="shared" si="16"/>
        <v>11893.25</v>
      </c>
      <c r="I155" s="1">
        <f t="shared" si="14"/>
        <v>15.679166666666667</v>
      </c>
      <c r="J155" s="2">
        <f t="shared" si="15"/>
        <v>927.5</v>
      </c>
      <c r="L155" s="1">
        <f t="shared" si="17"/>
        <v>13.407500000000002</v>
      </c>
      <c r="M155" s="2">
        <f t="shared" si="18"/>
        <v>656.6</v>
      </c>
      <c r="O155" s="1">
        <f t="shared" si="19"/>
        <v>12.285648148148148</v>
      </c>
      <c r="P155" s="2">
        <f t="shared" si="20"/>
        <v>546.5</v>
      </c>
    </row>
    <row r="156" spans="1:16" x14ac:dyDescent="0.45">
      <c r="A156" s="12" t="s">
        <v>106</v>
      </c>
      <c r="B156" s="4">
        <v>45033</v>
      </c>
      <c r="C156" s="1">
        <f>15+6/60</f>
        <v>15.1</v>
      </c>
      <c r="D156">
        <v>740</v>
      </c>
      <c r="E156">
        <v>0</v>
      </c>
      <c r="F156">
        <v>12134</v>
      </c>
      <c r="G156" s="2">
        <f t="shared" si="16"/>
        <v>12287.75</v>
      </c>
      <c r="I156" s="1">
        <f t="shared" si="14"/>
        <v>14.704166666666667</v>
      </c>
      <c r="J156" s="2">
        <f t="shared" si="15"/>
        <v>894.5</v>
      </c>
      <c r="L156" s="1">
        <f t="shared" si="17"/>
        <v>14.116666666666669</v>
      </c>
      <c r="M156" s="2">
        <f t="shared" si="18"/>
        <v>746</v>
      </c>
      <c r="O156" s="1">
        <f t="shared" si="19"/>
        <v>13.812037037037037</v>
      </c>
      <c r="P156" s="2">
        <f t="shared" si="20"/>
        <v>668.58333333333337</v>
      </c>
    </row>
    <row r="157" spans="1:16" x14ac:dyDescent="0.45">
      <c r="A157" s="12"/>
      <c r="B157" s="4">
        <v>45040</v>
      </c>
      <c r="C157" s="1">
        <v>19</v>
      </c>
      <c r="D157">
        <v>928</v>
      </c>
      <c r="E157">
        <v>0</v>
      </c>
      <c r="F157">
        <v>15371</v>
      </c>
      <c r="G157" s="2">
        <f t="shared" si="16"/>
        <v>14086.5</v>
      </c>
      <c r="I157" s="1">
        <f t="shared" si="14"/>
        <v>16.524999999999999</v>
      </c>
      <c r="J157" s="2">
        <f t="shared" si="15"/>
        <v>937.5</v>
      </c>
      <c r="L157" s="1">
        <f t="shared" si="17"/>
        <v>14.615</v>
      </c>
      <c r="M157" s="2">
        <f t="shared" si="18"/>
        <v>810.65</v>
      </c>
      <c r="O157" s="1">
        <f t="shared" si="19"/>
        <v>13.72037037037037</v>
      </c>
      <c r="P157" s="2">
        <f t="shared" si="20"/>
        <v>711.25</v>
      </c>
    </row>
    <row r="158" spans="1:16" x14ac:dyDescent="0.45">
      <c r="A158" s="12"/>
      <c r="B158" s="4">
        <v>45047</v>
      </c>
      <c r="C158" s="1">
        <v>23</v>
      </c>
      <c r="D158">
        <v>1447</v>
      </c>
      <c r="E158">
        <v>0</v>
      </c>
      <c r="F158">
        <v>19956</v>
      </c>
      <c r="G158" s="2">
        <f t="shared" si="16"/>
        <v>16992</v>
      </c>
      <c r="I158" s="1">
        <f t="shared" si="14"/>
        <v>19.470833333333331</v>
      </c>
      <c r="J158" s="2">
        <f t="shared" si="15"/>
        <v>1171.75</v>
      </c>
      <c r="L158" s="1">
        <f t="shared" si="17"/>
        <v>15.879166666666668</v>
      </c>
      <c r="M158" s="2">
        <f t="shared" si="18"/>
        <v>914.5</v>
      </c>
      <c r="O158" s="1">
        <f t="shared" si="19"/>
        <v>14.718981481481482</v>
      </c>
      <c r="P158" s="2">
        <f t="shared" si="20"/>
        <v>789.36111111111109</v>
      </c>
    </row>
    <row r="159" spans="1:16" x14ac:dyDescent="0.45">
      <c r="A159" s="12"/>
      <c r="B159" s="4">
        <v>45054</v>
      </c>
      <c r="C159" s="1">
        <f>16+13/60</f>
        <v>16.216666666666665</v>
      </c>
      <c r="D159">
        <v>867</v>
      </c>
      <c r="E159">
        <v>0</v>
      </c>
      <c r="F159">
        <v>14171</v>
      </c>
      <c r="G159" s="2">
        <f t="shared" si="16"/>
        <v>15408</v>
      </c>
      <c r="I159" s="1">
        <f t="shared" si="14"/>
        <v>18.329166666666666</v>
      </c>
      <c r="J159" s="2">
        <f t="shared" si="15"/>
        <v>995.5</v>
      </c>
      <c r="L159" s="1">
        <f t="shared" si="17"/>
        <v>16.941666666666666</v>
      </c>
      <c r="M159" s="2">
        <f t="shared" si="18"/>
        <v>985.35</v>
      </c>
      <c r="O159" s="1">
        <f t="shared" si="19"/>
        <v>16.245833333333334</v>
      </c>
      <c r="P159" s="2">
        <f t="shared" si="20"/>
        <v>908.13888888888891</v>
      </c>
    </row>
    <row r="160" spans="1:16" x14ac:dyDescent="0.45">
      <c r="A160" s="15"/>
      <c r="B160" s="4">
        <v>45061</v>
      </c>
      <c r="C160" s="1">
        <v>18.5</v>
      </c>
      <c r="D160">
        <v>1217</v>
      </c>
      <c r="E160">
        <v>0</v>
      </c>
      <c r="F160">
        <v>16796</v>
      </c>
      <c r="G160" s="2">
        <f t="shared" si="16"/>
        <v>16573.5</v>
      </c>
      <c r="I160" s="1">
        <f t="shared" si="14"/>
        <v>19.179166666666667</v>
      </c>
      <c r="J160" s="2">
        <f t="shared" si="15"/>
        <v>1114.75</v>
      </c>
      <c r="L160" s="1">
        <f t="shared" si="17"/>
        <v>17.641666666666666</v>
      </c>
      <c r="M160" s="2">
        <f t="shared" si="18"/>
        <v>1022.8</v>
      </c>
      <c r="O160" s="1">
        <f t="shared" si="19"/>
        <v>15.788425925925926</v>
      </c>
      <c r="P160" s="2">
        <f t="shared" si="20"/>
        <v>937.61111111111109</v>
      </c>
    </row>
    <row r="161" spans="1:16" x14ac:dyDescent="0.45">
      <c r="A161" s="12" t="s">
        <v>107</v>
      </c>
      <c r="B161" s="4">
        <v>45068</v>
      </c>
      <c r="C161" s="1">
        <f>12+54/60</f>
        <v>12.9</v>
      </c>
      <c r="D161">
        <v>450</v>
      </c>
      <c r="E161">
        <v>0</v>
      </c>
      <c r="F161">
        <v>6834</v>
      </c>
      <c r="G161" s="2">
        <f t="shared" si="16"/>
        <v>14439.25</v>
      </c>
      <c r="I161" s="1">
        <f t="shared" si="14"/>
        <v>17.654166666666669</v>
      </c>
      <c r="J161" s="2">
        <f t="shared" si="15"/>
        <v>995.25</v>
      </c>
      <c r="L161" s="1">
        <f t="shared" si="17"/>
        <v>18.231666666666666</v>
      </c>
      <c r="M161" s="2">
        <f t="shared" si="18"/>
        <v>1042.95</v>
      </c>
      <c r="O161" s="1">
        <f t="shared" si="19"/>
        <v>16.982407407407408</v>
      </c>
      <c r="P161" s="2">
        <f t="shared" si="20"/>
        <v>984.36111111111109</v>
      </c>
    </row>
    <row r="162" spans="1:16" x14ac:dyDescent="0.45">
      <c r="A162" s="12" t="s">
        <v>108</v>
      </c>
      <c r="B162" s="4">
        <v>45075</v>
      </c>
      <c r="C162" s="1">
        <v>16.66</v>
      </c>
      <c r="D162">
        <v>764</v>
      </c>
      <c r="E162">
        <v>1</v>
      </c>
      <c r="F162">
        <v>8708</v>
      </c>
      <c r="G162" s="2">
        <f t="shared" si="16"/>
        <v>11627.25</v>
      </c>
      <c r="I162" s="1">
        <f t="shared" si="14"/>
        <v>16.069166666666668</v>
      </c>
      <c r="J162" s="2">
        <f t="shared" si="15"/>
        <v>824.5</v>
      </c>
      <c r="L162" s="1">
        <f t="shared" si="17"/>
        <v>18.140500000000003</v>
      </c>
      <c r="M162" s="2">
        <f t="shared" si="18"/>
        <v>1020.35</v>
      </c>
      <c r="O162" s="1">
        <f t="shared" si="19"/>
        <v>18.438703703703702</v>
      </c>
      <c r="P162" s="2">
        <f t="shared" si="20"/>
        <v>1092.8333333333333</v>
      </c>
    </row>
    <row r="163" spans="1:16" x14ac:dyDescent="0.45">
      <c r="A163" s="12" t="s">
        <v>108</v>
      </c>
      <c r="B163" s="4">
        <v>45082</v>
      </c>
      <c r="C163" s="1">
        <v>20.5</v>
      </c>
      <c r="D163">
        <v>1279</v>
      </c>
      <c r="E163">
        <v>1</v>
      </c>
      <c r="F163">
        <v>17071</v>
      </c>
      <c r="G163" s="2">
        <f t="shared" si="16"/>
        <v>12352.25</v>
      </c>
      <c r="I163" s="1">
        <f t="shared" si="14"/>
        <v>17.14</v>
      </c>
      <c r="J163" s="2">
        <f t="shared" si="15"/>
        <v>927.5</v>
      </c>
      <c r="L163" s="1">
        <f t="shared" si="17"/>
        <v>17.67433333333333</v>
      </c>
      <c r="M163" s="2">
        <f t="shared" si="18"/>
        <v>971.5</v>
      </c>
      <c r="O163" s="1">
        <f t="shared" si="19"/>
        <v>17.761203703703703</v>
      </c>
      <c r="P163" s="2">
        <f t="shared" si="20"/>
        <v>957.16666666666663</v>
      </c>
    </row>
    <row r="164" spans="1:16" x14ac:dyDescent="0.45">
      <c r="A164" s="12"/>
      <c r="B164" s="4">
        <v>45089</v>
      </c>
      <c r="C164" s="1">
        <f>20+35/60</f>
        <v>20.583333333333332</v>
      </c>
      <c r="D164">
        <v>889</v>
      </c>
      <c r="E164">
        <v>2</v>
      </c>
      <c r="F164">
        <v>15370</v>
      </c>
      <c r="G164" s="2">
        <f t="shared" si="16"/>
        <v>11995.75</v>
      </c>
      <c r="I164" s="1">
        <f t="shared" si="14"/>
        <v>17.660833333333333</v>
      </c>
      <c r="J164" s="2">
        <f t="shared" si="15"/>
        <v>845.5</v>
      </c>
      <c r="L164" s="1">
        <f t="shared" si="17"/>
        <v>17.540666666666663</v>
      </c>
      <c r="M164" s="2">
        <f t="shared" si="18"/>
        <v>941.5</v>
      </c>
      <c r="O164" s="1">
        <f t="shared" si="19"/>
        <v>18.498981481481483</v>
      </c>
      <c r="P164" s="2">
        <f t="shared" si="20"/>
        <v>1010.5277777777778</v>
      </c>
    </row>
    <row r="165" spans="1:16" x14ac:dyDescent="0.45">
      <c r="A165" s="15"/>
      <c r="B165" s="4">
        <v>45096</v>
      </c>
      <c r="C165" s="1">
        <f>18+54/60</f>
        <v>18.899999999999999</v>
      </c>
      <c r="D165">
        <v>806</v>
      </c>
      <c r="E165">
        <v>0</v>
      </c>
      <c r="F165">
        <v>14052</v>
      </c>
      <c r="G165" s="2">
        <f t="shared" si="16"/>
        <v>13800.25</v>
      </c>
      <c r="I165" s="1">
        <f t="shared" si="14"/>
        <v>19.160833333333329</v>
      </c>
      <c r="J165" s="2">
        <f t="shared" si="15"/>
        <v>934.5</v>
      </c>
      <c r="L165" s="1">
        <f t="shared" si="17"/>
        <v>17.536999999999999</v>
      </c>
      <c r="M165" s="2">
        <f t="shared" si="18"/>
        <v>905.45</v>
      </c>
      <c r="O165" s="1">
        <f t="shared" si="19"/>
        <v>18.367314814814815</v>
      </c>
      <c r="P165" s="2">
        <f t="shared" si="20"/>
        <v>1018.7222222222222</v>
      </c>
    </row>
    <row r="166" spans="1:16" x14ac:dyDescent="0.45">
      <c r="A166" s="12"/>
      <c r="B166" s="4">
        <v>45103</v>
      </c>
      <c r="C166" s="1">
        <f>16+44/60</f>
        <v>16.733333333333334</v>
      </c>
      <c r="D166">
        <v>743</v>
      </c>
      <c r="E166">
        <v>1</v>
      </c>
      <c r="F166">
        <v>12607</v>
      </c>
      <c r="G166" s="2">
        <f t="shared" si="16"/>
        <v>14775</v>
      </c>
      <c r="I166" s="1">
        <f t="shared" si="14"/>
        <v>19.179166666666667</v>
      </c>
      <c r="J166" s="2">
        <f t="shared" si="15"/>
        <v>929.25</v>
      </c>
      <c r="L166" s="1">
        <f t="shared" si="17"/>
        <v>17.842000000000002</v>
      </c>
      <c r="M166" s="2">
        <f t="shared" si="18"/>
        <v>892.25</v>
      </c>
      <c r="O166" s="1">
        <f t="shared" si="19"/>
        <v>17.172685185185188</v>
      </c>
      <c r="P166" s="2">
        <f t="shared" si="20"/>
        <v>892.02777777777783</v>
      </c>
    </row>
    <row r="167" spans="1:16" x14ac:dyDescent="0.45">
      <c r="A167" s="12"/>
      <c r="B167" s="4">
        <v>45110</v>
      </c>
      <c r="C167" s="1">
        <v>19.66</v>
      </c>
      <c r="D167">
        <v>953</v>
      </c>
      <c r="E167">
        <v>1</v>
      </c>
      <c r="F167">
        <v>14726</v>
      </c>
      <c r="G167" s="2">
        <f t="shared" si="16"/>
        <v>14188.75</v>
      </c>
      <c r="I167" s="1">
        <f t="shared" si="14"/>
        <v>18.969166666666666</v>
      </c>
      <c r="J167" s="2">
        <f t="shared" si="15"/>
        <v>847.75</v>
      </c>
      <c r="L167" s="1">
        <f t="shared" si="17"/>
        <v>18.422000000000001</v>
      </c>
      <c r="M167" s="2">
        <f t="shared" si="18"/>
        <v>896.9</v>
      </c>
      <c r="O167" s="1">
        <f t="shared" si="19"/>
        <v>17.581111111111113</v>
      </c>
      <c r="P167" s="2">
        <f t="shared" si="20"/>
        <v>896.61111111111109</v>
      </c>
    </row>
    <row r="168" spans="1:16" x14ac:dyDescent="0.45">
      <c r="A168" s="12"/>
      <c r="B168" s="4">
        <v>45117</v>
      </c>
      <c r="C168" s="1">
        <f>15+22/60</f>
        <v>15.366666666666667</v>
      </c>
      <c r="D168">
        <v>795</v>
      </c>
      <c r="E168">
        <v>0</v>
      </c>
      <c r="F168">
        <v>11690</v>
      </c>
      <c r="G168" s="2">
        <f t="shared" si="16"/>
        <v>13268.75</v>
      </c>
      <c r="I168" s="1">
        <f t="shared" si="14"/>
        <v>17.664999999999999</v>
      </c>
      <c r="J168" s="2">
        <f t="shared" si="15"/>
        <v>824.25</v>
      </c>
      <c r="L168" s="1">
        <f t="shared" si="17"/>
        <v>18.526999999999997</v>
      </c>
      <c r="M168" s="2">
        <f t="shared" si="18"/>
        <v>876.25</v>
      </c>
      <c r="O168" s="1">
        <f t="shared" si="19"/>
        <v>17.395092592592594</v>
      </c>
      <c r="P168" s="2">
        <f t="shared" si="20"/>
        <v>811.69444444444446</v>
      </c>
    </row>
    <row r="169" spans="1:16" x14ac:dyDescent="0.45">
      <c r="A169" s="12" t="s">
        <v>109</v>
      </c>
      <c r="B169" s="4">
        <v>45124</v>
      </c>
      <c r="C169" s="1">
        <f>9+21/60</f>
        <v>9.35</v>
      </c>
      <c r="D169">
        <v>492</v>
      </c>
      <c r="E169">
        <v>1</v>
      </c>
      <c r="F169">
        <v>5504</v>
      </c>
      <c r="G169" s="2">
        <f t="shared" si="16"/>
        <v>11131.75</v>
      </c>
      <c r="I169" s="1">
        <f t="shared" si="14"/>
        <v>15.2775</v>
      </c>
      <c r="J169" s="2">
        <f t="shared" si="15"/>
        <v>745.75</v>
      </c>
      <c r="L169" s="1">
        <f t="shared" si="17"/>
        <v>18.050333333333334</v>
      </c>
      <c r="M169" s="2">
        <f t="shared" si="18"/>
        <v>856.3</v>
      </c>
      <c r="O169" s="1">
        <f t="shared" si="19"/>
        <v>18.354907407407406</v>
      </c>
      <c r="P169" s="2">
        <f t="shared" si="20"/>
        <v>898.38888888888891</v>
      </c>
    </row>
    <row r="170" spans="1:16" x14ac:dyDescent="0.45">
      <c r="A170" s="12"/>
      <c r="B170" s="4">
        <v>45131</v>
      </c>
      <c r="C170" s="1">
        <f>14+56/60</f>
        <v>14.933333333333334</v>
      </c>
      <c r="D170">
        <v>694</v>
      </c>
      <c r="E170">
        <v>1</v>
      </c>
      <c r="F170">
        <v>9399</v>
      </c>
      <c r="G170" s="2">
        <f t="shared" si="16"/>
        <v>10329.75</v>
      </c>
      <c r="I170" s="1">
        <f t="shared" si="14"/>
        <v>14.827500000000001</v>
      </c>
      <c r="J170" s="2">
        <f t="shared" si="15"/>
        <v>733.5</v>
      </c>
      <c r="L170" s="1">
        <f t="shared" si="17"/>
        <v>17.183666666666667</v>
      </c>
      <c r="M170" s="2">
        <f t="shared" si="18"/>
        <v>816.1</v>
      </c>
      <c r="O170" s="1">
        <f t="shared" si="19"/>
        <v>18.431203703703702</v>
      </c>
      <c r="P170" s="2">
        <f t="shared" si="20"/>
        <v>913.36111111111109</v>
      </c>
    </row>
    <row r="171" spans="1:16" x14ac:dyDescent="0.45">
      <c r="A171" s="12"/>
      <c r="B171" s="4">
        <v>45138</v>
      </c>
      <c r="C171" s="1">
        <f>14+25/60</f>
        <v>14.416666666666666</v>
      </c>
      <c r="D171">
        <v>691</v>
      </c>
      <c r="E171">
        <v>0</v>
      </c>
      <c r="F171">
        <v>10084</v>
      </c>
      <c r="G171" s="2">
        <f t="shared" si="16"/>
        <v>9169.25</v>
      </c>
      <c r="I171" s="1">
        <f t="shared" si="14"/>
        <v>13.516666666666667</v>
      </c>
      <c r="J171" s="2">
        <f t="shared" si="15"/>
        <v>668</v>
      </c>
      <c r="L171" s="1">
        <f t="shared" si="17"/>
        <v>16.051166666666667</v>
      </c>
      <c r="M171" s="2">
        <f t="shared" si="18"/>
        <v>763.85</v>
      </c>
      <c r="O171" s="1">
        <f t="shared" si="19"/>
        <v>17.485185185185184</v>
      </c>
      <c r="P171" s="2">
        <f t="shared" si="20"/>
        <v>797.55555555555554</v>
      </c>
    </row>
    <row r="172" spans="1:16" x14ac:dyDescent="0.45">
      <c r="A172" s="12"/>
      <c r="B172" s="4">
        <v>45145</v>
      </c>
      <c r="C172" s="1">
        <f>10+20/60</f>
        <v>10.333333333333334</v>
      </c>
      <c r="D172">
        <v>527</v>
      </c>
      <c r="E172">
        <v>0</v>
      </c>
      <c r="F172">
        <v>5238</v>
      </c>
      <c r="G172" s="2">
        <f t="shared" si="16"/>
        <v>7556.25</v>
      </c>
      <c r="I172" s="1">
        <f t="shared" si="14"/>
        <v>12.258333333333333</v>
      </c>
      <c r="J172" s="2">
        <f t="shared" si="15"/>
        <v>601</v>
      </c>
      <c r="L172" s="1">
        <f t="shared" si="17"/>
        <v>14.708999999999998</v>
      </c>
      <c r="M172" s="2">
        <f t="shared" si="18"/>
        <v>714.5</v>
      </c>
      <c r="O172" s="1">
        <f t="shared" si="19"/>
        <v>16.235925925925926</v>
      </c>
      <c r="P172" s="2">
        <f t="shared" si="20"/>
        <v>758.36111111111109</v>
      </c>
    </row>
    <row r="173" spans="1:16" x14ac:dyDescent="0.45">
      <c r="A173" s="12"/>
      <c r="B173" s="4">
        <v>45152</v>
      </c>
      <c r="C173" s="1">
        <f>12+23/60</f>
        <v>12.383333333333333</v>
      </c>
      <c r="D173">
        <v>474</v>
      </c>
      <c r="E173">
        <v>0</v>
      </c>
      <c r="F173">
        <v>8750</v>
      </c>
      <c r="G173" s="2">
        <f t="shared" si="16"/>
        <v>8367.75</v>
      </c>
      <c r="I173" s="1">
        <f t="shared" si="14"/>
        <v>13.016666666666667</v>
      </c>
      <c r="J173" s="2">
        <f t="shared" si="15"/>
        <v>596.5</v>
      </c>
      <c r="L173" s="1">
        <f t="shared" si="17"/>
        <v>13.779333333333335</v>
      </c>
      <c r="M173" s="2">
        <f t="shared" si="18"/>
        <v>668.95</v>
      </c>
      <c r="O173" s="1">
        <f t="shared" si="19"/>
        <v>15.179722222222223</v>
      </c>
      <c r="P173" s="2">
        <f t="shared" si="20"/>
        <v>728.38888888888891</v>
      </c>
    </row>
    <row r="174" spans="1:16" x14ac:dyDescent="0.45">
      <c r="A174" s="12"/>
      <c r="B174" s="4">
        <v>45159</v>
      </c>
      <c r="C174" s="1">
        <f>20+39/60</f>
        <v>20.65</v>
      </c>
      <c r="D174">
        <v>1293</v>
      </c>
      <c r="E174">
        <v>0</v>
      </c>
      <c r="F174">
        <v>19194</v>
      </c>
      <c r="G174" s="2">
        <f t="shared" si="16"/>
        <v>10816.5</v>
      </c>
      <c r="I174" s="1">
        <f t="shared" si="14"/>
        <v>14.445833333333333</v>
      </c>
      <c r="J174" s="2">
        <f t="shared" si="15"/>
        <v>746.25</v>
      </c>
      <c r="L174" s="1">
        <f t="shared" si="17"/>
        <v>13.613</v>
      </c>
      <c r="M174" s="2">
        <f t="shared" si="18"/>
        <v>669.05</v>
      </c>
      <c r="O174" s="1">
        <f t="shared" si="19"/>
        <v>14.713796296296298</v>
      </c>
      <c r="P174" s="2">
        <f t="shared" si="20"/>
        <v>727.69444444444446</v>
      </c>
    </row>
    <row r="175" spans="1:16" x14ac:dyDescent="0.45">
      <c r="A175" s="12"/>
      <c r="B175" s="4">
        <v>45166</v>
      </c>
      <c r="C175" s="1">
        <f>14+3/60</f>
        <v>14.05</v>
      </c>
      <c r="D175">
        <v>592</v>
      </c>
      <c r="E175">
        <v>0</v>
      </c>
      <c r="F175">
        <v>10619</v>
      </c>
      <c r="G175" s="2">
        <f t="shared" si="16"/>
        <v>10950.25</v>
      </c>
      <c r="I175" s="1">
        <f t="shared" si="14"/>
        <v>14.354166666666668</v>
      </c>
      <c r="J175" s="2">
        <f t="shared" si="15"/>
        <v>721.5</v>
      </c>
      <c r="L175" s="1">
        <f t="shared" si="17"/>
        <v>13.518333333333334</v>
      </c>
      <c r="M175" s="2">
        <f t="shared" si="18"/>
        <v>666.65</v>
      </c>
      <c r="O175" s="1">
        <f t="shared" si="19"/>
        <v>13.441666666666666</v>
      </c>
      <c r="P175" s="2">
        <f t="shared" si="20"/>
        <v>670.30555555555554</v>
      </c>
    </row>
    <row r="176" spans="1:16" x14ac:dyDescent="0.45">
      <c r="A176" s="12"/>
      <c r="B176" s="4">
        <v>45173</v>
      </c>
      <c r="C176" s="1">
        <f>17+14/60</f>
        <v>17.233333333333334</v>
      </c>
      <c r="D176">
        <v>796</v>
      </c>
      <c r="E176">
        <v>1</v>
      </c>
      <c r="F176">
        <v>12561</v>
      </c>
      <c r="G176" s="2">
        <f t="shared" si="16"/>
        <v>12781</v>
      </c>
      <c r="I176" s="1">
        <f t="shared" si="14"/>
        <v>16.079166666666666</v>
      </c>
      <c r="J176" s="2">
        <f t="shared" si="15"/>
        <v>788.75</v>
      </c>
      <c r="L176" s="1">
        <f t="shared" si="17"/>
        <v>14.030833333333334</v>
      </c>
      <c r="M176" s="2">
        <f t="shared" si="18"/>
        <v>690.8</v>
      </c>
      <c r="O176" s="1">
        <f t="shared" si="19"/>
        <v>13.175462962962962</v>
      </c>
      <c r="P176" s="2">
        <f t="shared" si="20"/>
        <v>648.05555555555554</v>
      </c>
    </row>
    <row r="177" spans="1:16" x14ac:dyDescent="0.45">
      <c r="A177" s="12" t="s">
        <v>110</v>
      </c>
      <c r="B177" s="4">
        <v>45180</v>
      </c>
      <c r="C177" s="1">
        <f>12+33/60</f>
        <v>12.55</v>
      </c>
      <c r="D177">
        <v>768</v>
      </c>
      <c r="E177">
        <v>0</v>
      </c>
      <c r="F177">
        <v>11064</v>
      </c>
      <c r="G177" s="2">
        <f t="shared" si="16"/>
        <v>13359.5</v>
      </c>
      <c r="I177" s="1">
        <f t="shared" si="14"/>
        <v>16.120833333333334</v>
      </c>
      <c r="J177" s="2">
        <f t="shared" si="15"/>
        <v>862.25</v>
      </c>
      <c r="L177" s="1">
        <f t="shared" si="17"/>
        <v>14.803333333333333</v>
      </c>
      <c r="M177" s="2">
        <f t="shared" si="18"/>
        <v>743.05</v>
      </c>
      <c r="O177" s="1">
        <f t="shared" si="19"/>
        <v>14.335185185185184</v>
      </c>
      <c r="P177" s="2">
        <f t="shared" si="20"/>
        <v>700.80555555555554</v>
      </c>
    </row>
    <row r="178" spans="1:16" x14ac:dyDescent="0.45">
      <c r="A178" s="12" t="s">
        <v>111</v>
      </c>
      <c r="B178" s="4">
        <v>45187</v>
      </c>
      <c r="C178" s="1">
        <f>14+53/60</f>
        <v>14.883333333333333</v>
      </c>
      <c r="D178">
        <v>550</v>
      </c>
      <c r="E178">
        <v>0</v>
      </c>
      <c r="F178">
        <v>8524</v>
      </c>
      <c r="G178" s="2">
        <f t="shared" si="16"/>
        <v>10692</v>
      </c>
      <c r="I178" s="1">
        <f t="shared" si="14"/>
        <v>14.679166666666667</v>
      </c>
      <c r="J178" s="2">
        <f t="shared" si="15"/>
        <v>676.5</v>
      </c>
      <c r="L178" s="1">
        <f t="shared" si="17"/>
        <v>15.135833333333332</v>
      </c>
      <c r="M178" s="2">
        <f t="shared" si="18"/>
        <v>759.05</v>
      </c>
      <c r="O178" s="1">
        <f t="shared" si="19"/>
        <v>14.252777777777778</v>
      </c>
      <c r="P178" s="2">
        <f t="shared" si="20"/>
        <v>704.66666666666663</v>
      </c>
    </row>
    <row r="179" spans="1:16" x14ac:dyDescent="0.45">
      <c r="A179" s="12" t="s">
        <v>112</v>
      </c>
      <c r="B179" s="10">
        <v>45194</v>
      </c>
      <c r="C179" s="1">
        <f>23+50/60</f>
        <v>23.833333333333332</v>
      </c>
      <c r="D179" s="1">
        <v>1355</v>
      </c>
      <c r="E179" s="1">
        <v>0</v>
      </c>
      <c r="F179" s="1">
        <v>19063</v>
      </c>
      <c r="G179" s="2">
        <f t="shared" si="16"/>
        <v>12803</v>
      </c>
      <c r="I179" s="1">
        <f t="shared" si="14"/>
        <v>17.125</v>
      </c>
      <c r="J179" s="2">
        <f t="shared" si="15"/>
        <v>867.25</v>
      </c>
      <c r="L179" s="1">
        <f t="shared" si="17"/>
        <v>15.671666666666667</v>
      </c>
      <c r="M179" s="2">
        <f t="shared" si="18"/>
        <v>783.25</v>
      </c>
      <c r="O179" s="1">
        <f t="shared" si="19"/>
        <v>14.546759259259257</v>
      </c>
      <c r="P179" s="2">
        <f t="shared" si="20"/>
        <v>727.63888888888891</v>
      </c>
    </row>
    <row r="180" spans="1:16" x14ac:dyDescent="0.45">
      <c r="A180" s="12" t="s">
        <v>113</v>
      </c>
      <c r="B180" s="10">
        <v>45201</v>
      </c>
      <c r="C180" s="1">
        <f>19+25/60</f>
        <v>19.416666666666668</v>
      </c>
      <c r="D180">
        <v>989</v>
      </c>
      <c r="E180">
        <v>0</v>
      </c>
      <c r="F180">
        <v>14921</v>
      </c>
      <c r="G180" s="2">
        <f t="shared" si="16"/>
        <v>13393</v>
      </c>
      <c r="I180" s="1">
        <f t="shared" si="14"/>
        <v>17.670833333333334</v>
      </c>
      <c r="J180" s="2">
        <f t="shared" si="15"/>
        <v>915.5</v>
      </c>
      <c r="L180" s="1">
        <f t="shared" si="17"/>
        <v>16.335000000000001</v>
      </c>
      <c r="M180" s="2">
        <f t="shared" si="18"/>
        <v>822.05</v>
      </c>
      <c r="O180" s="1">
        <f t="shared" si="19"/>
        <v>16.000462962962963</v>
      </c>
      <c r="P180" s="2">
        <f t="shared" si="20"/>
        <v>799.88888888888891</v>
      </c>
    </row>
    <row r="181" spans="1:16" x14ac:dyDescent="0.45">
      <c r="A181" s="12"/>
      <c r="B181" s="10">
        <v>45208</v>
      </c>
      <c r="C181" s="1">
        <f>4+49/10</f>
        <v>8.9</v>
      </c>
      <c r="D181">
        <v>300</v>
      </c>
      <c r="E181">
        <v>0</v>
      </c>
      <c r="F181">
        <v>4034</v>
      </c>
      <c r="G181" s="2">
        <f t="shared" si="16"/>
        <v>11635.5</v>
      </c>
      <c r="I181" s="1">
        <f t="shared" si="14"/>
        <v>16.758333333333336</v>
      </c>
      <c r="J181" s="2">
        <f t="shared" si="15"/>
        <v>798.5</v>
      </c>
      <c r="L181" s="1">
        <f t="shared" si="17"/>
        <v>16.470833333333331</v>
      </c>
      <c r="M181" s="2">
        <f t="shared" si="18"/>
        <v>824</v>
      </c>
      <c r="O181" s="1">
        <f t="shared" si="19"/>
        <v>16.901851851851852</v>
      </c>
      <c r="P181" s="2">
        <f t="shared" si="20"/>
        <v>879.08333333333337</v>
      </c>
    </row>
    <row r="182" spans="1:16" x14ac:dyDescent="0.45">
      <c r="A182" s="12"/>
      <c r="B182" s="10">
        <v>45215</v>
      </c>
      <c r="C182" s="1">
        <f>1+38/60</f>
        <v>1.6333333333333333</v>
      </c>
      <c r="D182">
        <v>60</v>
      </c>
      <c r="E182">
        <v>1</v>
      </c>
      <c r="F182">
        <v>1179</v>
      </c>
      <c r="G182" s="2">
        <f t="shared" si="16"/>
        <v>9799.25</v>
      </c>
      <c r="I182" s="1">
        <f t="shared" si="14"/>
        <v>13.445833333333333</v>
      </c>
      <c r="J182" s="2">
        <f t="shared" si="15"/>
        <v>676</v>
      </c>
      <c r="L182" s="1">
        <f t="shared" si="17"/>
        <v>15.935833333333331</v>
      </c>
      <c r="M182" s="2">
        <f t="shared" si="18"/>
        <v>786.75</v>
      </c>
      <c r="O182" s="1">
        <f t="shared" si="19"/>
        <v>15.437962962962963</v>
      </c>
      <c r="P182" s="2">
        <f t="shared" si="20"/>
        <v>742.02777777777783</v>
      </c>
    </row>
    <row r="183" spans="1:16" x14ac:dyDescent="0.45">
      <c r="A183" s="12"/>
      <c r="B183" s="4">
        <v>45222</v>
      </c>
      <c r="C183" s="1">
        <v>0</v>
      </c>
      <c r="D183">
        <v>0</v>
      </c>
      <c r="E183">
        <v>0</v>
      </c>
      <c r="F183">
        <v>0</v>
      </c>
      <c r="G183" s="2">
        <f t="shared" si="16"/>
        <v>5033.5</v>
      </c>
      <c r="I183" s="1">
        <f t="shared" si="14"/>
        <v>7.4875000000000007</v>
      </c>
      <c r="J183" s="2">
        <f t="shared" si="15"/>
        <v>337.25</v>
      </c>
      <c r="L183" s="1">
        <f t="shared" si="17"/>
        <v>14.497499999999999</v>
      </c>
      <c r="M183" s="2">
        <f t="shared" si="18"/>
        <v>718.9</v>
      </c>
      <c r="O183" s="1">
        <f t="shared" si="19"/>
        <v>15.050462962962964</v>
      </c>
      <c r="P183" s="2">
        <f t="shared" si="20"/>
        <v>744.30555555555554</v>
      </c>
    </row>
    <row r="184" spans="1:16" x14ac:dyDescent="0.45">
      <c r="A184" s="12"/>
      <c r="B184" s="4">
        <v>45229</v>
      </c>
      <c r="C184" s="1">
        <f>14+37/60</f>
        <v>14.616666666666667</v>
      </c>
      <c r="D184">
        <v>681</v>
      </c>
      <c r="E184">
        <v>2</v>
      </c>
      <c r="F184">
        <v>12279</v>
      </c>
      <c r="G184" s="2">
        <f t="shared" si="16"/>
        <v>4373</v>
      </c>
      <c r="I184" s="1">
        <f t="shared" si="14"/>
        <v>6.2874999999999996</v>
      </c>
      <c r="J184" s="2">
        <f t="shared" si="15"/>
        <v>260.25</v>
      </c>
      <c r="L184" s="1">
        <f t="shared" si="17"/>
        <v>12.330000000000002</v>
      </c>
      <c r="M184" s="2">
        <f t="shared" si="18"/>
        <v>597.5</v>
      </c>
      <c r="O184" s="1">
        <f t="shared" si="19"/>
        <v>13.882870370370373</v>
      </c>
      <c r="P184" s="2">
        <f t="shared" si="20"/>
        <v>698.05555555555554</v>
      </c>
    </row>
    <row r="185" spans="1:16" x14ac:dyDescent="0.45">
      <c r="A185" s="12"/>
      <c r="B185" s="4">
        <v>45236</v>
      </c>
      <c r="C185" s="1">
        <f>13+6/60</f>
        <v>13.1</v>
      </c>
      <c r="D185">
        <v>570</v>
      </c>
      <c r="E185">
        <v>2</v>
      </c>
      <c r="F185">
        <v>10572</v>
      </c>
      <c r="G185" s="2">
        <f t="shared" si="16"/>
        <v>6007.5</v>
      </c>
      <c r="I185" s="1">
        <f t="shared" si="14"/>
        <v>7.3375000000000004</v>
      </c>
      <c r="J185" s="2">
        <f t="shared" si="15"/>
        <v>327.75</v>
      </c>
      <c r="L185" s="1">
        <f t="shared" si="17"/>
        <v>10.263333333333334</v>
      </c>
      <c r="M185" s="2">
        <f t="shared" si="18"/>
        <v>479.95</v>
      </c>
      <c r="O185" s="1">
        <f t="shared" si="19"/>
        <v>13.771296296296295</v>
      </c>
      <c r="P185" s="2">
        <f t="shared" si="20"/>
        <v>652.52777777777783</v>
      </c>
    </row>
    <row r="186" spans="1:16" x14ac:dyDescent="0.45">
      <c r="A186" s="12"/>
      <c r="B186" s="4">
        <v>45243</v>
      </c>
      <c r="C186" s="1">
        <f>20+2/60</f>
        <v>20.033333333333335</v>
      </c>
      <c r="D186">
        <v>899</v>
      </c>
      <c r="E186">
        <v>2</v>
      </c>
      <c r="F186">
        <v>15740</v>
      </c>
      <c r="G186" s="2">
        <f t="shared" si="16"/>
        <v>9647.75</v>
      </c>
      <c r="I186" s="1">
        <f t="shared" si="14"/>
        <v>11.9375</v>
      </c>
      <c r="J186" s="2">
        <f t="shared" si="15"/>
        <v>537.5</v>
      </c>
      <c r="L186" s="1">
        <f t="shared" si="17"/>
        <v>9.2991666666666664</v>
      </c>
      <c r="M186" s="2">
        <f t="shared" si="18"/>
        <v>427.75</v>
      </c>
      <c r="O186" s="1">
        <f t="shared" si="19"/>
        <v>13.28425925925926</v>
      </c>
      <c r="P186" s="2">
        <f t="shared" si="20"/>
        <v>665.13888888888891</v>
      </c>
    </row>
    <row r="187" spans="1:16" x14ac:dyDescent="0.45">
      <c r="A187" s="12"/>
      <c r="B187" s="10">
        <v>45250</v>
      </c>
      <c r="C187" s="1">
        <f>19+7/60</f>
        <v>19.116666666666667</v>
      </c>
      <c r="D187">
        <v>868</v>
      </c>
      <c r="E187">
        <v>2</v>
      </c>
      <c r="F187">
        <v>14788</v>
      </c>
      <c r="G187" s="2">
        <f t="shared" si="16"/>
        <v>13344.75</v>
      </c>
      <c r="I187" s="1">
        <f t="shared" si="14"/>
        <v>16.716666666666669</v>
      </c>
      <c r="J187" s="2">
        <f t="shared" si="15"/>
        <v>754.5</v>
      </c>
      <c r="L187" s="1">
        <f t="shared" si="17"/>
        <v>9.9533333333333331</v>
      </c>
      <c r="M187" s="2">
        <f t="shared" si="18"/>
        <v>443.45</v>
      </c>
      <c r="O187" s="1">
        <f t="shared" si="19"/>
        <v>10.677314814814814</v>
      </c>
      <c r="P187" s="2">
        <f t="shared" si="20"/>
        <v>485.33333333333331</v>
      </c>
    </row>
    <row r="188" spans="1:16" x14ac:dyDescent="0.45">
      <c r="A188" s="12" t="s">
        <v>114</v>
      </c>
      <c r="B188" s="10">
        <v>45257</v>
      </c>
      <c r="C188" s="1">
        <f>25+12/60</f>
        <v>25.2</v>
      </c>
      <c r="D188">
        <v>1318</v>
      </c>
      <c r="E188">
        <v>2</v>
      </c>
      <c r="F188">
        <v>19943</v>
      </c>
      <c r="G188" s="2">
        <f t="shared" si="16"/>
        <v>15260.75</v>
      </c>
      <c r="I188" s="1">
        <f t="shared" si="14"/>
        <v>19.362500000000001</v>
      </c>
      <c r="J188" s="2">
        <f t="shared" si="15"/>
        <v>913.75</v>
      </c>
      <c r="L188" s="1">
        <f t="shared" si="17"/>
        <v>12.328333333333333</v>
      </c>
      <c r="M188" s="2">
        <f t="shared" si="18"/>
        <v>558.75</v>
      </c>
      <c r="O188" s="1">
        <f t="shared" si="19"/>
        <v>9.2124999999999986</v>
      </c>
      <c r="P188" s="2">
        <f t="shared" si="20"/>
        <v>396</v>
      </c>
    </row>
    <row r="189" spans="1:16" x14ac:dyDescent="0.45">
      <c r="A189" s="12"/>
      <c r="B189" s="10">
        <v>45264</v>
      </c>
      <c r="C189" s="1">
        <f>22+42/60</f>
        <v>22.7</v>
      </c>
      <c r="D189">
        <v>1112</v>
      </c>
      <c r="E189">
        <v>2</v>
      </c>
      <c r="F189">
        <v>14504</v>
      </c>
      <c r="G189" s="2">
        <f t="shared" si="16"/>
        <v>16243.75</v>
      </c>
      <c r="I189" s="1">
        <f t="shared" si="14"/>
        <v>21.762500000000003</v>
      </c>
      <c r="J189" s="2">
        <f t="shared" si="15"/>
        <v>1049.25</v>
      </c>
      <c r="L189" s="1">
        <f t="shared" si="17"/>
        <v>15.423333333333332</v>
      </c>
      <c r="M189" s="2">
        <f t="shared" si="18"/>
        <v>716.55</v>
      </c>
      <c r="O189" s="1">
        <f t="shared" si="19"/>
        <v>10.468055555555555</v>
      </c>
      <c r="P189" s="2">
        <f t="shared" si="20"/>
        <v>482.33333333333331</v>
      </c>
    </row>
    <row r="190" spans="1:16" x14ac:dyDescent="0.45">
      <c r="A190" s="12"/>
      <c r="B190" s="10">
        <v>45271</v>
      </c>
      <c r="C190" s="1">
        <f>19+19/60</f>
        <v>19.316666666666666</v>
      </c>
      <c r="D190">
        <v>940</v>
      </c>
      <c r="E190">
        <v>2</v>
      </c>
      <c r="F190">
        <v>15297</v>
      </c>
      <c r="G190" s="2">
        <f t="shared" si="16"/>
        <v>16133</v>
      </c>
      <c r="I190" s="1">
        <f t="shared" si="14"/>
        <v>21.583333333333332</v>
      </c>
      <c r="J190" s="2">
        <f t="shared" si="15"/>
        <v>1059.5</v>
      </c>
      <c r="L190" s="1">
        <f t="shared" si="17"/>
        <v>18.272500000000001</v>
      </c>
      <c r="M190" s="2">
        <f t="shared" si="18"/>
        <v>862.9</v>
      </c>
      <c r="O190" s="1">
        <f t="shared" si="19"/>
        <v>13.829629629629629</v>
      </c>
      <c r="P190" s="2">
        <f t="shared" si="20"/>
        <v>646.44444444444446</v>
      </c>
    </row>
    <row r="191" spans="1:16" x14ac:dyDescent="0.45">
      <c r="A191" s="12"/>
      <c r="B191" s="4">
        <v>45278</v>
      </c>
      <c r="C191" s="1">
        <f>20.25</f>
        <v>20.25</v>
      </c>
      <c r="D191">
        <v>959</v>
      </c>
      <c r="E191">
        <v>2</v>
      </c>
      <c r="F191">
        <v>11435</v>
      </c>
      <c r="G191" s="2">
        <f t="shared" si="16"/>
        <v>15294.75</v>
      </c>
      <c r="I191" s="1">
        <f t="shared" si="14"/>
        <v>21.866666666666667</v>
      </c>
      <c r="J191" s="2">
        <f t="shared" si="15"/>
        <v>1082.25</v>
      </c>
      <c r="L191" s="1">
        <f t="shared" si="17"/>
        <v>20.258333333333333</v>
      </c>
      <c r="M191" s="2">
        <f t="shared" si="18"/>
        <v>971.85</v>
      </c>
      <c r="O191" s="1">
        <f t="shared" si="19"/>
        <v>18.116666666666667</v>
      </c>
      <c r="P191" s="2">
        <f t="shared" si="20"/>
        <v>850.52777777777783</v>
      </c>
    </row>
    <row r="192" spans="1:16" x14ac:dyDescent="0.45">
      <c r="A192" s="12"/>
      <c r="B192" s="4">
        <v>45285</v>
      </c>
      <c r="C192" s="1">
        <f>12+13/60</f>
        <v>12.216666666666667</v>
      </c>
      <c r="D192">
        <v>573</v>
      </c>
      <c r="E192">
        <v>2</v>
      </c>
      <c r="F192">
        <v>9738</v>
      </c>
      <c r="G192" s="2">
        <f t="shared" si="16"/>
        <v>12743.5</v>
      </c>
      <c r="I192" s="1">
        <f t="shared" si="14"/>
        <v>18.620833333333334</v>
      </c>
      <c r="J192" s="2">
        <f t="shared" si="15"/>
        <v>896</v>
      </c>
      <c r="L192" s="1">
        <f t="shared" si="17"/>
        <v>20.639166666666664</v>
      </c>
      <c r="M192" s="2">
        <f t="shared" si="18"/>
        <v>1000.15</v>
      </c>
      <c r="O192" s="1">
        <f t="shared" si="19"/>
        <v>19.088888888888889</v>
      </c>
      <c r="P192" s="2">
        <f t="shared" si="20"/>
        <v>900.27777777777783</v>
      </c>
    </row>
    <row r="193" spans="1:16" x14ac:dyDescent="0.45">
      <c r="A193" s="12"/>
      <c r="B193" s="4">
        <v>45292</v>
      </c>
      <c r="C193" s="1">
        <f>23+25/60</f>
        <v>23.416666666666668</v>
      </c>
      <c r="D193">
        <v>1117</v>
      </c>
      <c r="E193">
        <v>2</v>
      </c>
      <c r="F193">
        <v>16782</v>
      </c>
      <c r="G193" s="2">
        <f t="shared" si="16"/>
        <v>13313</v>
      </c>
      <c r="I193" s="1">
        <f t="shared" si="14"/>
        <v>18.8</v>
      </c>
      <c r="J193" s="2">
        <f t="shared" si="15"/>
        <v>897.25</v>
      </c>
      <c r="L193" s="1">
        <f t="shared" si="17"/>
        <v>20.526666666666667</v>
      </c>
      <c r="M193" s="2">
        <f t="shared" si="18"/>
        <v>996.85</v>
      </c>
      <c r="O193" s="1">
        <f t="shared" si="19"/>
        <v>20.68472222222222</v>
      </c>
      <c r="P193" s="2">
        <f t="shared" si="20"/>
        <v>989.88888888888891</v>
      </c>
    </row>
    <row r="194" spans="1:16" x14ac:dyDescent="0.45">
      <c r="A194" s="12" t="s">
        <v>115</v>
      </c>
      <c r="B194" s="4">
        <v>45299</v>
      </c>
      <c r="C194" s="1">
        <f>22+25/60</f>
        <v>22.416666666666668</v>
      </c>
      <c r="D194">
        <v>1222</v>
      </c>
      <c r="E194">
        <v>0</v>
      </c>
      <c r="F194">
        <v>18778</v>
      </c>
      <c r="G194" s="2">
        <f t="shared" si="16"/>
        <v>14183.25</v>
      </c>
      <c r="I194" s="1">
        <f t="shared" si="14"/>
        <v>19.575000000000003</v>
      </c>
      <c r="J194" s="2">
        <f t="shared" si="15"/>
        <v>967.75</v>
      </c>
      <c r="L194" s="1">
        <f t="shared" si="17"/>
        <v>20.089166666666664</v>
      </c>
      <c r="M194" s="2">
        <f t="shared" si="18"/>
        <v>980.55</v>
      </c>
      <c r="O194" s="1">
        <f t="shared" si="19"/>
        <v>20.806018518518517</v>
      </c>
      <c r="P194" s="2">
        <f t="shared" si="20"/>
        <v>1015.3611111111111</v>
      </c>
    </row>
    <row r="195" spans="1:16" x14ac:dyDescent="0.45">
      <c r="A195" s="12" t="s">
        <v>116</v>
      </c>
      <c r="B195" s="10">
        <v>45306</v>
      </c>
      <c r="C195" s="1">
        <f>3+46/60</f>
        <v>3.7666666666666666</v>
      </c>
      <c r="D195">
        <v>164</v>
      </c>
      <c r="E195">
        <v>0</v>
      </c>
      <c r="F195">
        <v>1339</v>
      </c>
      <c r="G195" s="2">
        <f t="shared" si="16"/>
        <v>11659.25</v>
      </c>
      <c r="I195" s="1">
        <f t="shared" si="14"/>
        <v>15.454166666666666</v>
      </c>
      <c r="J195" s="2">
        <f t="shared" si="15"/>
        <v>769</v>
      </c>
      <c r="L195" s="1">
        <f t="shared" si="17"/>
        <v>18.863333333333333</v>
      </c>
      <c r="M195" s="2">
        <f t="shared" si="18"/>
        <v>922.45</v>
      </c>
      <c r="O195" s="1">
        <f t="shared" si="19"/>
        <v>20.704629629629629</v>
      </c>
      <c r="P195" s="2">
        <f t="shared" si="20"/>
        <v>1028.1666666666667</v>
      </c>
    </row>
    <row r="196" spans="1:16" x14ac:dyDescent="0.45">
      <c r="A196" s="12"/>
      <c r="B196" s="10">
        <v>45313</v>
      </c>
      <c r="C196" s="1">
        <f>9+48/60</f>
        <v>9.8000000000000007</v>
      </c>
      <c r="D196">
        <v>435</v>
      </c>
      <c r="E196">
        <v>2</v>
      </c>
      <c r="F196">
        <v>6841</v>
      </c>
      <c r="G196" s="2">
        <f t="shared" si="16"/>
        <v>10935</v>
      </c>
      <c r="I196" s="1">
        <f t="shared" si="14"/>
        <v>14.850000000000001</v>
      </c>
      <c r="J196" s="2">
        <f t="shared" si="15"/>
        <v>734.5</v>
      </c>
      <c r="L196" s="1">
        <f t="shared" si="17"/>
        <v>17.46</v>
      </c>
      <c r="M196" s="2">
        <f t="shared" si="18"/>
        <v>852.9</v>
      </c>
      <c r="O196" s="1">
        <f t="shared" si="19"/>
        <v>18.823611111111113</v>
      </c>
      <c r="P196" s="2">
        <f t="shared" si="20"/>
        <v>916.44444444444446</v>
      </c>
    </row>
    <row r="197" spans="1:16" x14ac:dyDescent="0.45">
      <c r="A197" s="12"/>
      <c r="B197" s="10">
        <v>45320</v>
      </c>
      <c r="C197" s="1">
        <f>14+3/60</f>
        <v>14.05</v>
      </c>
      <c r="D197">
        <v>707</v>
      </c>
      <c r="E197">
        <v>2</v>
      </c>
      <c r="F197">
        <v>10961</v>
      </c>
      <c r="G197" s="2">
        <f t="shared" si="16"/>
        <v>9479.75</v>
      </c>
      <c r="I197" s="1">
        <f t="shared" ref="I197:I231" si="21">AVERAGE(C194:C197)</f>
        <v>12.508333333333333</v>
      </c>
      <c r="J197" s="2">
        <f t="shared" ref="J197:J231" si="22">AVERAGE(D194:D197)</f>
        <v>632</v>
      </c>
      <c r="L197" s="1">
        <f t="shared" si="17"/>
        <v>16.237500000000004</v>
      </c>
      <c r="M197" s="2">
        <f t="shared" si="18"/>
        <v>800.1</v>
      </c>
      <c r="O197" s="1">
        <f t="shared" si="19"/>
        <v>17.25787037037037</v>
      </c>
      <c r="P197" s="2">
        <f t="shared" si="20"/>
        <v>839.25</v>
      </c>
    </row>
    <row r="198" spans="1:16" x14ac:dyDescent="0.45">
      <c r="A198" s="12" t="s">
        <v>100</v>
      </c>
      <c r="B198" s="10">
        <v>45327</v>
      </c>
      <c r="C198" s="1">
        <f>13+39/60</f>
        <v>13.65</v>
      </c>
      <c r="D198">
        <v>797</v>
      </c>
      <c r="E198">
        <v>1</v>
      </c>
      <c r="F198">
        <v>11139</v>
      </c>
      <c r="G198" s="2">
        <f t="shared" ref="G198:G261" si="23">AVERAGE(F195:F198)</f>
        <v>7570</v>
      </c>
      <c r="I198" s="1">
        <f t="shared" si="21"/>
        <v>10.316666666666666</v>
      </c>
      <c r="J198" s="2">
        <f t="shared" si="22"/>
        <v>525.75</v>
      </c>
      <c r="L198" s="1">
        <f t="shared" si="17"/>
        <v>14.540833333333333</v>
      </c>
      <c r="M198" s="2">
        <f t="shared" si="18"/>
        <v>725.8</v>
      </c>
      <c r="O198" s="1">
        <f t="shared" si="19"/>
        <v>16.286574074074071</v>
      </c>
      <c r="P198" s="2">
        <f t="shared" si="20"/>
        <v>796.30555555555554</v>
      </c>
    </row>
    <row r="199" spans="1:16" x14ac:dyDescent="0.45">
      <c r="A199" s="12" t="s">
        <v>90</v>
      </c>
      <c r="B199" s="4">
        <v>45334</v>
      </c>
      <c r="C199" s="1">
        <f>21+51/60</f>
        <v>21.85</v>
      </c>
      <c r="D199">
        <v>1120</v>
      </c>
      <c r="E199">
        <v>2</v>
      </c>
      <c r="F199">
        <v>11524</v>
      </c>
      <c r="G199" s="2">
        <f t="shared" si="23"/>
        <v>10116.25</v>
      </c>
      <c r="I199" s="1">
        <f t="shared" si="21"/>
        <v>14.8375</v>
      </c>
      <c r="J199" s="2">
        <f t="shared" si="22"/>
        <v>764.75</v>
      </c>
      <c r="L199" s="1">
        <f t="shared" si="17"/>
        <v>13.593333333333334</v>
      </c>
      <c r="M199" s="2">
        <f t="shared" si="18"/>
        <v>685.2</v>
      </c>
      <c r="O199" s="1">
        <f t="shared" si="19"/>
        <v>15.152314814814815</v>
      </c>
      <c r="P199" s="2">
        <f t="shared" si="20"/>
        <v>753.61111111111109</v>
      </c>
    </row>
    <row r="200" spans="1:16" x14ac:dyDescent="0.45">
      <c r="A200" s="12"/>
      <c r="B200" s="4">
        <v>45341</v>
      </c>
      <c r="C200" s="1">
        <f>18+45/60</f>
        <v>18.75</v>
      </c>
      <c r="D200">
        <v>813</v>
      </c>
      <c r="E200">
        <v>2</v>
      </c>
      <c r="F200">
        <v>14673</v>
      </c>
      <c r="G200" s="2">
        <f t="shared" si="23"/>
        <v>12074.25</v>
      </c>
      <c r="I200" s="1">
        <f t="shared" si="21"/>
        <v>17.075000000000003</v>
      </c>
      <c r="J200" s="2">
        <f t="shared" si="22"/>
        <v>859.25</v>
      </c>
      <c r="L200" s="1">
        <f t="shared" si="17"/>
        <v>13.917499999999999</v>
      </c>
      <c r="M200" s="2">
        <f t="shared" si="18"/>
        <v>703.25</v>
      </c>
      <c r="O200" s="1">
        <f t="shared" si="19"/>
        <v>15.984722222222224</v>
      </c>
      <c r="P200" s="2">
        <f t="shared" si="20"/>
        <v>803.36111111111109</v>
      </c>
    </row>
    <row r="201" spans="1:16" x14ac:dyDescent="0.45">
      <c r="A201" s="12"/>
      <c r="B201" s="4">
        <v>45348</v>
      </c>
      <c r="C201" s="1">
        <f>20+4/60</f>
        <v>20.066666666666666</v>
      </c>
      <c r="D201">
        <v>897</v>
      </c>
      <c r="E201">
        <v>2</v>
      </c>
      <c r="F201">
        <v>13500</v>
      </c>
      <c r="G201" s="2">
        <f t="shared" si="23"/>
        <v>12709</v>
      </c>
      <c r="I201" s="1">
        <f t="shared" si="21"/>
        <v>18.579166666666666</v>
      </c>
      <c r="J201" s="2">
        <f t="shared" si="22"/>
        <v>906.75</v>
      </c>
      <c r="L201" s="1">
        <f t="shared" ref="L201:L231" si="24">((1*C194)+(2*C195)+(3*C196)+(4*C197)+(4*C198)+(3*C199)+(2*C200)+(C201))/20</f>
        <v>14.663333333333336</v>
      </c>
      <c r="M201" s="2">
        <f t="shared" ref="M201:M231" si="25">((1*D194)+(2*D195)+(3*D196)+(4*D197)+(4*D198)+(3*D199)+(2*D200)+(D201))/20</f>
        <v>737.7</v>
      </c>
      <c r="O201" s="1">
        <f t="shared" si="19"/>
        <v>14.235185185185186</v>
      </c>
      <c r="P201" s="2">
        <f t="shared" si="20"/>
        <v>726.11111111111109</v>
      </c>
    </row>
    <row r="202" spans="1:16" x14ac:dyDescent="0.45">
      <c r="A202" s="12" t="s">
        <v>117</v>
      </c>
      <c r="B202" s="4">
        <v>45355</v>
      </c>
      <c r="C202" s="1">
        <f>16</f>
        <v>16</v>
      </c>
      <c r="D202">
        <v>662</v>
      </c>
      <c r="E202">
        <v>1</v>
      </c>
      <c r="F202">
        <v>11375</v>
      </c>
      <c r="G202" s="2">
        <f t="shared" si="23"/>
        <v>12768</v>
      </c>
      <c r="I202" s="1">
        <f t="shared" si="21"/>
        <v>19.166666666666668</v>
      </c>
      <c r="J202" s="2">
        <f t="shared" si="22"/>
        <v>873</v>
      </c>
      <c r="L202" s="1">
        <f t="shared" si="24"/>
        <v>15.994999999999999</v>
      </c>
      <c r="M202" s="2">
        <f t="shared" si="25"/>
        <v>785.9</v>
      </c>
      <c r="O202" s="1">
        <f t="shared" si="19"/>
        <v>12.52962962962963</v>
      </c>
      <c r="P202" s="2">
        <f t="shared" si="20"/>
        <v>609.97222222222217</v>
      </c>
    </row>
    <row r="203" spans="1:16" x14ac:dyDescent="0.45">
      <c r="A203" s="12" t="s">
        <v>118</v>
      </c>
      <c r="B203" s="10">
        <v>45362</v>
      </c>
      <c r="C203" s="1">
        <f>14+36/60</f>
        <v>14.6</v>
      </c>
      <c r="D203">
        <v>707</v>
      </c>
      <c r="E203">
        <v>2</v>
      </c>
      <c r="F203">
        <v>8742</v>
      </c>
      <c r="G203" s="2">
        <f t="shared" si="23"/>
        <v>12072.5</v>
      </c>
      <c r="I203" s="1">
        <f t="shared" si="21"/>
        <v>17.354166666666664</v>
      </c>
      <c r="J203" s="2">
        <f t="shared" si="22"/>
        <v>769.75</v>
      </c>
      <c r="L203" s="1">
        <f t="shared" si="24"/>
        <v>17.4025</v>
      </c>
      <c r="M203" s="2">
        <f t="shared" si="25"/>
        <v>834.7</v>
      </c>
      <c r="O203" s="1">
        <f t="shared" si="19"/>
        <v>15.269444444444446</v>
      </c>
      <c r="P203" s="2">
        <f t="shared" si="20"/>
        <v>744.02777777777783</v>
      </c>
    </row>
    <row r="204" spans="1:16" x14ac:dyDescent="0.45">
      <c r="A204" s="12" t="s">
        <v>104</v>
      </c>
      <c r="B204" s="10">
        <v>45369</v>
      </c>
      <c r="C204" s="1">
        <f>17+18/60</f>
        <v>17.3</v>
      </c>
      <c r="D204">
        <v>667</v>
      </c>
      <c r="E204">
        <v>2</v>
      </c>
      <c r="F204">
        <v>12477</v>
      </c>
      <c r="G204" s="2">
        <f t="shared" si="23"/>
        <v>11523.5</v>
      </c>
      <c r="I204" s="1">
        <f t="shared" si="21"/>
        <v>16.991666666666667</v>
      </c>
      <c r="J204" s="2">
        <f t="shared" si="22"/>
        <v>733.25</v>
      </c>
      <c r="L204" s="1">
        <f t="shared" si="24"/>
        <v>17.833333333333336</v>
      </c>
      <c r="M204" s="2">
        <f t="shared" si="25"/>
        <v>828.4</v>
      </c>
      <c r="O204" s="1">
        <f t="shared" si="19"/>
        <v>16.876851851851853</v>
      </c>
      <c r="P204" s="2">
        <f t="shared" si="20"/>
        <v>824.30555555555554</v>
      </c>
    </row>
    <row r="205" spans="1:16" x14ac:dyDescent="0.45">
      <c r="A205" s="12" t="s">
        <v>119</v>
      </c>
      <c r="B205" s="10">
        <v>45376</v>
      </c>
      <c r="C205" s="1">
        <f>15+53/60</f>
        <v>15.883333333333333</v>
      </c>
      <c r="D205">
        <v>836</v>
      </c>
      <c r="E205">
        <v>1</v>
      </c>
      <c r="F205">
        <v>12687</v>
      </c>
      <c r="G205" s="2">
        <f t="shared" si="23"/>
        <v>11320.25</v>
      </c>
      <c r="I205" s="1">
        <f t="shared" si="21"/>
        <v>15.945833333333335</v>
      </c>
      <c r="J205" s="2">
        <f t="shared" si="22"/>
        <v>718</v>
      </c>
      <c r="L205" s="1">
        <f t="shared" si="24"/>
        <v>17.607500000000002</v>
      </c>
      <c r="M205" s="2">
        <f t="shared" si="25"/>
        <v>800.15</v>
      </c>
      <c r="O205" s="1">
        <f t="shared" ref="O205:O231" si="26">((C205)+(C204*2)+(C203*3)+(C202*4)+(C201*5)+(C200*6)+(C199*7)+(C198*8))/36</f>
        <v>17.590740740740742</v>
      </c>
      <c r="P205" s="2">
        <f t="shared" ref="P205:P231" si="27">((D205)+(D204*2)+(D203*3)+(D202*4)+(D201*5)+(D200*6)+(D199*7)+(D198*8))/36</f>
        <v>847.72222222222217</v>
      </c>
    </row>
    <row r="206" spans="1:16" x14ac:dyDescent="0.45">
      <c r="A206" s="12" t="s">
        <v>120</v>
      </c>
      <c r="B206" s="10">
        <v>45383</v>
      </c>
      <c r="C206" s="1">
        <f>19+28/60</f>
        <v>19.466666666666665</v>
      </c>
      <c r="D206">
        <v>1059</v>
      </c>
      <c r="E206">
        <v>0</v>
      </c>
      <c r="F206">
        <v>15617</v>
      </c>
      <c r="G206" s="2">
        <f t="shared" si="23"/>
        <v>12380.75</v>
      </c>
      <c r="I206" s="1">
        <f t="shared" si="21"/>
        <v>16.8125</v>
      </c>
      <c r="J206" s="2">
        <f t="shared" si="22"/>
        <v>817.25</v>
      </c>
      <c r="L206" s="1">
        <f t="shared" si="24"/>
        <v>17.254166666666666</v>
      </c>
      <c r="M206" s="2">
        <f t="shared" si="25"/>
        <v>782.25</v>
      </c>
      <c r="O206" s="1">
        <f t="shared" si="26"/>
        <v>18.555092592592594</v>
      </c>
      <c r="P206" s="2">
        <f t="shared" si="27"/>
        <v>858.41666666666663</v>
      </c>
    </row>
    <row r="207" spans="1:16" x14ac:dyDescent="0.45">
      <c r="A207" s="12" t="s">
        <v>121</v>
      </c>
      <c r="B207" s="4">
        <v>45390</v>
      </c>
      <c r="C207" s="1">
        <f>10+21/60</f>
        <v>10.35</v>
      </c>
      <c r="D207">
        <v>539</v>
      </c>
      <c r="E207">
        <v>1</v>
      </c>
      <c r="F207">
        <v>8517</v>
      </c>
      <c r="G207" s="2">
        <f t="shared" si="23"/>
        <v>12324.5</v>
      </c>
      <c r="I207" s="1">
        <f t="shared" si="21"/>
        <v>15.750000000000002</v>
      </c>
      <c r="J207" s="2">
        <f t="shared" si="22"/>
        <v>775.25</v>
      </c>
      <c r="L207" s="1">
        <f t="shared" si="24"/>
        <v>16.570833333333333</v>
      </c>
      <c r="M207" s="2">
        <f t="shared" si="25"/>
        <v>762.7</v>
      </c>
      <c r="O207" s="1">
        <f t="shared" si="26"/>
        <v>17.37777777777778</v>
      </c>
      <c r="P207" s="2">
        <f t="shared" si="27"/>
        <v>781.19444444444446</v>
      </c>
    </row>
    <row r="208" spans="1:16" x14ac:dyDescent="0.45">
      <c r="B208" s="4">
        <v>45397</v>
      </c>
      <c r="C208" s="1">
        <f>15+9/60</f>
        <v>15.15</v>
      </c>
      <c r="D208">
        <v>662</v>
      </c>
      <c r="E208">
        <v>2</v>
      </c>
      <c r="F208">
        <v>11344</v>
      </c>
      <c r="G208" s="2">
        <f t="shared" si="23"/>
        <v>12041.25</v>
      </c>
      <c r="I208" s="1">
        <f t="shared" si="21"/>
        <v>15.212499999999999</v>
      </c>
      <c r="J208" s="2">
        <f t="shared" si="22"/>
        <v>774</v>
      </c>
      <c r="L208" s="1">
        <f t="shared" si="24"/>
        <v>16.142499999999998</v>
      </c>
      <c r="M208" s="2">
        <f t="shared" si="25"/>
        <v>763.55</v>
      </c>
      <c r="O208" s="1">
        <f t="shared" si="26"/>
        <v>16.789351851851851</v>
      </c>
      <c r="P208" s="2">
        <f t="shared" si="27"/>
        <v>768</v>
      </c>
    </row>
    <row r="209" spans="1:16" x14ac:dyDescent="0.45">
      <c r="A209" s="12" t="s">
        <v>122</v>
      </c>
      <c r="B209" s="4">
        <v>45404</v>
      </c>
      <c r="C209" s="1">
        <f>26+48/60</f>
        <v>26.8</v>
      </c>
      <c r="D209" s="2">
        <v>1556</v>
      </c>
      <c r="E209" s="17">
        <v>0</v>
      </c>
      <c r="F209" s="2">
        <v>21126</v>
      </c>
      <c r="G209" s="2">
        <f t="shared" si="23"/>
        <v>14151</v>
      </c>
      <c r="I209" s="1">
        <f t="shared" si="21"/>
        <v>17.941666666666666</v>
      </c>
      <c r="J209" s="2">
        <f t="shared" si="22"/>
        <v>954</v>
      </c>
      <c r="L209" s="1">
        <f t="shared" si="24"/>
        <v>16.332500000000003</v>
      </c>
      <c r="M209" s="2">
        <f t="shared" si="25"/>
        <v>807.7</v>
      </c>
      <c r="O209" s="1">
        <f t="shared" si="26"/>
        <v>16.095370370370372</v>
      </c>
      <c r="P209" s="2">
        <f t="shared" si="27"/>
        <v>754.44444444444446</v>
      </c>
    </row>
    <row r="210" spans="1:16" x14ac:dyDescent="0.45">
      <c r="B210" s="4">
        <v>45411</v>
      </c>
      <c r="C210" s="1">
        <f>13+18/60</f>
        <v>13.3</v>
      </c>
      <c r="D210" s="2">
        <v>778</v>
      </c>
      <c r="E210" s="17">
        <v>1</v>
      </c>
      <c r="F210" s="2">
        <v>12358</v>
      </c>
      <c r="G210" s="2">
        <f t="shared" si="23"/>
        <v>13336.25</v>
      </c>
      <c r="I210" s="1">
        <f t="shared" si="21"/>
        <v>16.399999999999999</v>
      </c>
      <c r="J210" s="2">
        <f t="shared" si="22"/>
        <v>883.75</v>
      </c>
      <c r="L210" s="1">
        <f t="shared" si="24"/>
        <v>16.423333333333336</v>
      </c>
      <c r="M210" s="2">
        <f t="shared" si="25"/>
        <v>840.85</v>
      </c>
      <c r="O210" s="1">
        <f t="shared" si="26"/>
        <v>16.230092592592591</v>
      </c>
      <c r="P210" s="2">
        <f t="shared" si="27"/>
        <v>796.33333333333337</v>
      </c>
    </row>
    <row r="211" spans="1:16" x14ac:dyDescent="0.45">
      <c r="B211" s="4">
        <v>45418</v>
      </c>
      <c r="C211" s="1">
        <f>16+43/60</f>
        <v>16.716666666666665</v>
      </c>
      <c r="D211" s="2">
        <v>763</v>
      </c>
      <c r="E211" s="17">
        <v>1</v>
      </c>
      <c r="F211" s="2">
        <v>12606</v>
      </c>
      <c r="G211" s="2">
        <f t="shared" si="23"/>
        <v>14358.5</v>
      </c>
      <c r="I211" s="1">
        <f t="shared" si="21"/>
        <v>17.991666666666667</v>
      </c>
      <c r="J211" s="2">
        <f t="shared" si="22"/>
        <v>939.75</v>
      </c>
      <c r="L211" s="1">
        <f t="shared" si="24"/>
        <v>16.659166666666668</v>
      </c>
      <c r="M211" s="2">
        <f t="shared" si="25"/>
        <v>865.35</v>
      </c>
      <c r="O211" s="1">
        <f t="shared" si="26"/>
        <v>16.734722222222224</v>
      </c>
      <c r="P211" s="2">
        <f t="shared" si="27"/>
        <v>829.77777777777783</v>
      </c>
    </row>
    <row r="212" spans="1:16" x14ac:dyDescent="0.45">
      <c r="A212" s="12" t="s">
        <v>123</v>
      </c>
      <c r="B212" s="4">
        <v>45425</v>
      </c>
      <c r="C212" s="1">
        <f>22+49/60</f>
        <v>22.816666666666666</v>
      </c>
      <c r="D212" s="2">
        <v>1325</v>
      </c>
      <c r="E212" s="17">
        <v>0</v>
      </c>
      <c r="F212" s="2">
        <v>17145</v>
      </c>
      <c r="G212" s="2">
        <f t="shared" si="23"/>
        <v>15808.75</v>
      </c>
      <c r="I212" s="1">
        <f t="shared" si="21"/>
        <v>19.908333333333331</v>
      </c>
      <c r="J212" s="2">
        <f t="shared" si="22"/>
        <v>1105.5</v>
      </c>
      <c r="L212" s="1">
        <f t="shared" si="24"/>
        <v>17.490833333333335</v>
      </c>
      <c r="M212" s="2">
        <f t="shared" si="25"/>
        <v>931.4</v>
      </c>
      <c r="O212" s="1">
        <f t="shared" si="26"/>
        <v>16.792592592592591</v>
      </c>
      <c r="P212" s="2">
        <f t="shared" si="27"/>
        <v>890.38888888888891</v>
      </c>
    </row>
    <row r="213" spans="1:16" x14ac:dyDescent="0.45">
      <c r="B213" s="4">
        <v>45432</v>
      </c>
      <c r="C213" s="1">
        <f>15+24/60</f>
        <v>15.4</v>
      </c>
      <c r="D213" s="2">
        <v>650</v>
      </c>
      <c r="E213" s="17">
        <v>2</v>
      </c>
      <c r="F213" s="2">
        <v>11349</v>
      </c>
      <c r="G213" s="2">
        <f t="shared" si="23"/>
        <v>13364.5</v>
      </c>
      <c r="I213" s="1">
        <f t="shared" si="21"/>
        <v>17.058333333333334</v>
      </c>
      <c r="J213" s="2">
        <f t="shared" si="22"/>
        <v>879</v>
      </c>
      <c r="L213" s="1">
        <f t="shared" si="24"/>
        <v>17.859999999999996</v>
      </c>
      <c r="M213" s="2">
        <f t="shared" si="25"/>
        <v>952.4</v>
      </c>
      <c r="O213" s="1">
        <f t="shared" si="26"/>
        <v>17.151851851851848</v>
      </c>
      <c r="P213" s="2">
        <f t="shared" si="27"/>
        <v>908.27777777777783</v>
      </c>
    </row>
    <row r="214" spans="1:16" x14ac:dyDescent="0.45">
      <c r="B214" s="4">
        <v>45439</v>
      </c>
      <c r="C214" s="1">
        <f>24+25/60</f>
        <v>24.416666666666668</v>
      </c>
      <c r="D214" s="2">
        <v>934</v>
      </c>
      <c r="E214" s="17">
        <v>2</v>
      </c>
      <c r="F214" s="2">
        <v>17655</v>
      </c>
      <c r="G214" s="2">
        <f t="shared" si="23"/>
        <v>14688.75</v>
      </c>
      <c r="I214" s="1">
        <f t="shared" si="21"/>
        <v>19.837499999999999</v>
      </c>
      <c r="J214" s="2">
        <f t="shared" si="22"/>
        <v>918</v>
      </c>
      <c r="L214" s="1">
        <f t="shared" si="24"/>
        <v>18.239166666666669</v>
      </c>
      <c r="M214" s="2">
        <f t="shared" si="25"/>
        <v>945.2</v>
      </c>
      <c r="O214" s="1">
        <f t="shared" si="26"/>
        <v>16.852314814814815</v>
      </c>
      <c r="P214" s="2">
        <f t="shared" si="27"/>
        <v>873.13888888888891</v>
      </c>
    </row>
    <row r="215" spans="1:16" x14ac:dyDescent="0.45">
      <c r="B215" s="4">
        <v>45446</v>
      </c>
      <c r="C215" s="1">
        <f>19+21/60</f>
        <v>19.350000000000001</v>
      </c>
      <c r="D215" s="2">
        <v>796</v>
      </c>
      <c r="E215" s="17">
        <v>2</v>
      </c>
      <c r="F215" s="2">
        <v>14024</v>
      </c>
      <c r="G215" s="2">
        <f t="shared" si="23"/>
        <v>15043.25</v>
      </c>
      <c r="I215" s="1">
        <f t="shared" si="21"/>
        <v>20.495833333333337</v>
      </c>
      <c r="J215" s="2">
        <f t="shared" si="22"/>
        <v>926.25</v>
      </c>
      <c r="L215" s="1">
        <f t="shared" si="24"/>
        <v>19.05833333333333</v>
      </c>
      <c r="M215" s="2">
        <f t="shared" si="25"/>
        <v>953.7</v>
      </c>
      <c r="O215" s="1">
        <f t="shared" si="26"/>
        <v>18.828703703703706</v>
      </c>
      <c r="P215" s="2">
        <f t="shared" si="27"/>
        <v>960.69444444444446</v>
      </c>
    </row>
    <row r="216" spans="1:16" x14ac:dyDescent="0.45">
      <c r="A216" t="s">
        <v>65</v>
      </c>
      <c r="B216" s="4">
        <v>45453</v>
      </c>
      <c r="C216" s="1">
        <f>20+17/60</f>
        <v>20.283333333333335</v>
      </c>
      <c r="D216" s="2">
        <v>930</v>
      </c>
      <c r="E216" s="2">
        <v>0</v>
      </c>
      <c r="F216" s="2">
        <v>15692</v>
      </c>
      <c r="G216" s="2">
        <f t="shared" si="23"/>
        <v>14680</v>
      </c>
      <c r="I216" s="1">
        <f t="shared" si="21"/>
        <v>19.862500000000001</v>
      </c>
      <c r="J216" s="2">
        <f t="shared" si="22"/>
        <v>827.5</v>
      </c>
      <c r="L216" s="1">
        <f t="shared" si="24"/>
        <v>19.432500000000001</v>
      </c>
      <c r="M216" s="2">
        <f t="shared" si="25"/>
        <v>931.25</v>
      </c>
      <c r="O216" s="1">
        <f t="shared" si="26"/>
        <v>19.88101851851852</v>
      </c>
      <c r="P216" s="2">
        <f t="shared" si="27"/>
        <v>1028.3611111111111</v>
      </c>
    </row>
    <row r="217" spans="1:16" x14ac:dyDescent="0.45">
      <c r="B217" s="4">
        <v>45460</v>
      </c>
      <c r="C217" s="1">
        <f>24+23/60</f>
        <v>24.383333333333333</v>
      </c>
      <c r="D217" s="2">
        <v>1054</v>
      </c>
      <c r="E217" s="2">
        <v>2</v>
      </c>
      <c r="F217" s="2">
        <v>16286</v>
      </c>
      <c r="G217" s="2">
        <f t="shared" si="23"/>
        <v>15914.25</v>
      </c>
      <c r="I217" s="1">
        <f t="shared" si="21"/>
        <v>22.108333333333334</v>
      </c>
      <c r="J217" s="2">
        <f t="shared" si="22"/>
        <v>928.5</v>
      </c>
      <c r="L217" s="1">
        <f t="shared" si="24"/>
        <v>19.872499999999999</v>
      </c>
      <c r="M217" s="2">
        <f t="shared" si="25"/>
        <v>895.85</v>
      </c>
      <c r="O217" s="1">
        <f t="shared" si="26"/>
        <v>18.277314814814815</v>
      </c>
      <c r="P217" s="2">
        <f t="shared" si="27"/>
        <v>883.41666666666663</v>
      </c>
    </row>
    <row r="218" spans="1:16" x14ac:dyDescent="0.45">
      <c r="B218" s="4">
        <v>45467</v>
      </c>
      <c r="C218" s="1">
        <f>24+15/60</f>
        <v>24.25</v>
      </c>
      <c r="D218" s="2">
        <v>1087</v>
      </c>
      <c r="E218" s="2">
        <v>2</v>
      </c>
      <c r="F218" s="2">
        <v>17815</v>
      </c>
      <c r="G218" s="2">
        <f t="shared" si="23"/>
        <v>15954.25</v>
      </c>
      <c r="I218" s="1">
        <f t="shared" si="21"/>
        <v>22.06666666666667</v>
      </c>
      <c r="J218" s="2">
        <f t="shared" si="22"/>
        <v>966.75</v>
      </c>
      <c r="L218" s="1">
        <f t="shared" si="24"/>
        <v>20.874166666666667</v>
      </c>
      <c r="M218" s="2">
        <f t="shared" si="25"/>
        <v>913.4</v>
      </c>
      <c r="O218" s="1">
        <f t="shared" si="26"/>
        <v>19.977777777777778</v>
      </c>
      <c r="P218" s="2">
        <f t="shared" si="27"/>
        <v>919.94444444444446</v>
      </c>
    </row>
    <row r="219" spans="1:16" x14ac:dyDescent="0.45">
      <c r="A219" t="s">
        <v>124</v>
      </c>
      <c r="B219" s="4">
        <v>45474</v>
      </c>
      <c r="C219" s="1">
        <f>25+53/60</f>
        <v>25.883333333333333</v>
      </c>
      <c r="D219" s="2">
        <v>1100</v>
      </c>
      <c r="E219" s="2">
        <v>2</v>
      </c>
      <c r="F219" s="2">
        <v>17742</v>
      </c>
      <c r="G219" s="2">
        <f t="shared" si="23"/>
        <v>16883.75</v>
      </c>
      <c r="I219" s="1">
        <f t="shared" si="21"/>
        <v>23.700000000000003</v>
      </c>
      <c r="J219" s="2">
        <f t="shared" si="22"/>
        <v>1042.75</v>
      </c>
      <c r="L219" s="1">
        <f t="shared" si="24"/>
        <v>21.646666666666668</v>
      </c>
      <c r="M219" s="2">
        <f t="shared" si="25"/>
        <v>938.35</v>
      </c>
      <c r="O219" s="1">
        <f t="shared" si="26"/>
        <v>21.173611111111111</v>
      </c>
      <c r="P219" s="2">
        <f t="shared" si="27"/>
        <v>969.16666666666663</v>
      </c>
    </row>
    <row r="220" spans="1:16" x14ac:dyDescent="0.45">
      <c r="B220" s="4">
        <v>45481</v>
      </c>
      <c r="C220" s="1">
        <f>14+47/60</f>
        <v>14.783333333333333</v>
      </c>
      <c r="D220" s="2">
        <v>565</v>
      </c>
      <c r="E220" s="2">
        <v>1</v>
      </c>
      <c r="F220" s="2">
        <v>9638</v>
      </c>
      <c r="G220" s="2">
        <f t="shared" si="23"/>
        <v>15370.25</v>
      </c>
      <c r="I220" s="1">
        <f t="shared" si="21"/>
        <v>22.324999999999999</v>
      </c>
      <c r="J220" s="2">
        <f t="shared" si="22"/>
        <v>951.5</v>
      </c>
      <c r="L220" s="1">
        <f t="shared" si="24"/>
        <v>22.012500000000003</v>
      </c>
      <c r="M220" s="2">
        <f t="shared" si="25"/>
        <v>943.4</v>
      </c>
      <c r="O220" s="1">
        <f t="shared" si="26"/>
        <v>20.790740740740741</v>
      </c>
      <c r="P220" s="2">
        <f t="shared" si="27"/>
        <v>872.38888888888891</v>
      </c>
    </row>
    <row r="221" spans="1:16" x14ac:dyDescent="0.45">
      <c r="A221" t="s">
        <v>66</v>
      </c>
      <c r="B221" s="4">
        <v>45488</v>
      </c>
      <c r="C221" s="1">
        <f>21+26/60</f>
        <v>21.433333333333334</v>
      </c>
      <c r="D221" s="2">
        <v>967</v>
      </c>
      <c r="E221" s="2">
        <v>2</v>
      </c>
      <c r="F221" s="2">
        <v>12006</v>
      </c>
      <c r="G221" s="2">
        <f t="shared" si="23"/>
        <v>14300.25</v>
      </c>
      <c r="I221" s="1">
        <f t="shared" si="21"/>
        <v>21.587500000000002</v>
      </c>
      <c r="J221" s="2">
        <f t="shared" si="22"/>
        <v>929.75</v>
      </c>
      <c r="L221" s="1">
        <f t="shared" si="24"/>
        <v>22.357499999999998</v>
      </c>
      <c r="M221" s="2">
        <f t="shared" si="25"/>
        <v>963.85</v>
      </c>
      <c r="O221" s="1">
        <f t="shared" si="26"/>
        <v>22.223611111111111</v>
      </c>
      <c r="P221" s="2">
        <f t="shared" si="27"/>
        <v>934.41666666666663</v>
      </c>
    </row>
    <row r="222" spans="1:16" x14ac:dyDescent="0.45">
      <c r="B222" s="4">
        <v>45495</v>
      </c>
      <c r="C222" s="1">
        <f>20+56/60</f>
        <v>20.933333333333334</v>
      </c>
      <c r="D222" s="2">
        <v>855</v>
      </c>
      <c r="E222" s="2">
        <v>1</v>
      </c>
      <c r="F222" s="2">
        <v>12099</v>
      </c>
      <c r="G222" s="2">
        <f t="shared" si="23"/>
        <v>12871.25</v>
      </c>
      <c r="I222" s="1">
        <f t="shared" si="21"/>
        <v>20.758333333333333</v>
      </c>
      <c r="J222" s="2">
        <f t="shared" si="22"/>
        <v>871.75</v>
      </c>
      <c r="L222" s="1">
        <f t="shared" si="24"/>
        <v>22.087500000000002</v>
      </c>
      <c r="M222" s="2">
        <f t="shared" si="25"/>
        <v>952.5</v>
      </c>
      <c r="O222" s="1">
        <f t="shared" si="26"/>
        <v>21.556018518518517</v>
      </c>
      <c r="P222" s="2">
        <f t="shared" si="27"/>
        <v>931.13888888888891</v>
      </c>
    </row>
    <row r="223" spans="1:16" x14ac:dyDescent="0.45">
      <c r="B223" s="4">
        <v>45502</v>
      </c>
      <c r="C223" s="1">
        <f>22+21/60</f>
        <v>22.35</v>
      </c>
      <c r="D223" s="2">
        <v>792</v>
      </c>
      <c r="E223" s="2">
        <v>1</v>
      </c>
      <c r="F223" s="2">
        <v>13910</v>
      </c>
      <c r="G223" s="2">
        <f t="shared" si="23"/>
        <v>11913.25</v>
      </c>
      <c r="I223" s="1">
        <f t="shared" si="21"/>
        <v>19.875</v>
      </c>
      <c r="J223" s="2">
        <f t="shared" si="22"/>
        <v>794.75</v>
      </c>
      <c r="L223" s="1">
        <f t="shared" si="24"/>
        <v>21.64916666666667</v>
      </c>
      <c r="M223" s="2">
        <f t="shared" si="25"/>
        <v>918.1</v>
      </c>
      <c r="O223" s="1">
        <f t="shared" si="26"/>
        <v>22.097685185185185</v>
      </c>
      <c r="P223" s="2">
        <f t="shared" si="27"/>
        <v>958.41666666666663</v>
      </c>
    </row>
    <row r="224" spans="1:16" x14ac:dyDescent="0.45">
      <c r="A224" t="s">
        <v>125</v>
      </c>
      <c r="B224" s="4">
        <v>45509</v>
      </c>
      <c r="C224" s="1">
        <f>13+27/60</f>
        <v>13.45</v>
      </c>
      <c r="D224" s="2">
        <v>550</v>
      </c>
      <c r="E224" s="2">
        <v>0</v>
      </c>
      <c r="F224" s="2">
        <v>10064</v>
      </c>
      <c r="G224" s="2">
        <f t="shared" si="23"/>
        <v>12019.75</v>
      </c>
      <c r="I224" s="1">
        <f t="shared" si="21"/>
        <v>19.541666666666668</v>
      </c>
      <c r="J224" s="2">
        <f t="shared" si="22"/>
        <v>791</v>
      </c>
      <c r="L224" s="1">
        <f t="shared" si="24"/>
        <v>20.817499999999999</v>
      </c>
      <c r="M224" s="2">
        <f t="shared" si="25"/>
        <v>867.75</v>
      </c>
      <c r="O224" s="1">
        <f t="shared" si="26"/>
        <v>22.24212962962963</v>
      </c>
      <c r="P224" s="2">
        <f t="shared" si="27"/>
        <v>945.36111111111109</v>
      </c>
    </row>
    <row r="225" spans="1:16" x14ac:dyDescent="0.45">
      <c r="B225" s="4">
        <v>45516</v>
      </c>
      <c r="C225" s="1">
        <f>9+6/60</f>
        <v>9.1</v>
      </c>
      <c r="D225" s="1">
        <v>375</v>
      </c>
      <c r="E225" s="2">
        <v>0</v>
      </c>
      <c r="F225" s="1">
        <v>6979</v>
      </c>
      <c r="G225" s="2">
        <f t="shared" si="23"/>
        <v>10763</v>
      </c>
      <c r="I225" s="1">
        <f t="shared" si="21"/>
        <v>16.458333333333332</v>
      </c>
      <c r="J225" s="2">
        <f t="shared" si="22"/>
        <v>643</v>
      </c>
      <c r="L225" s="1">
        <f t="shared" si="24"/>
        <v>19.644166666666671</v>
      </c>
      <c r="M225" s="2">
        <f t="shared" si="25"/>
        <v>806.05</v>
      </c>
      <c r="O225" s="1">
        <f t="shared" si="26"/>
        <v>21.050925925925927</v>
      </c>
      <c r="P225" s="2">
        <f t="shared" si="27"/>
        <v>885.88888888888891</v>
      </c>
    </row>
    <row r="226" spans="1:16" x14ac:dyDescent="0.45">
      <c r="A226" t="s">
        <v>126</v>
      </c>
      <c r="B226" s="4">
        <v>45523</v>
      </c>
      <c r="C226" s="1">
        <f>13+22/60</f>
        <v>13.366666666666667</v>
      </c>
      <c r="D226" s="2">
        <v>555</v>
      </c>
      <c r="E226" s="2">
        <v>0</v>
      </c>
      <c r="F226" s="2">
        <v>8232</v>
      </c>
      <c r="G226" s="2">
        <f t="shared" si="23"/>
        <v>9796.25</v>
      </c>
      <c r="I226" s="1">
        <f t="shared" si="21"/>
        <v>14.566666666666666</v>
      </c>
      <c r="J226" s="2">
        <f t="shared" si="22"/>
        <v>568</v>
      </c>
      <c r="L226" s="1">
        <f t="shared" si="24"/>
        <v>18.240000000000002</v>
      </c>
      <c r="M226" s="2">
        <f t="shared" si="25"/>
        <v>733.7</v>
      </c>
      <c r="O226" s="1">
        <f t="shared" si="26"/>
        <v>19.587037037037039</v>
      </c>
      <c r="P226" s="2">
        <f t="shared" si="27"/>
        <v>804.30555555555554</v>
      </c>
    </row>
    <row r="227" spans="1:16" x14ac:dyDescent="0.45">
      <c r="A227" t="s">
        <v>113</v>
      </c>
      <c r="B227" s="4">
        <v>45530</v>
      </c>
      <c r="C227" s="1">
        <f>21+14/60</f>
        <v>21.233333333333334</v>
      </c>
      <c r="D227" s="2">
        <v>986</v>
      </c>
      <c r="E227" s="2">
        <v>0</v>
      </c>
      <c r="F227" s="2">
        <v>15321</v>
      </c>
      <c r="G227" s="2">
        <f t="shared" si="23"/>
        <v>10149</v>
      </c>
      <c r="I227" s="1">
        <f t="shared" si="21"/>
        <v>14.2875</v>
      </c>
      <c r="J227" s="2">
        <f t="shared" si="22"/>
        <v>616.5</v>
      </c>
      <c r="L227" s="1">
        <f t="shared" si="24"/>
        <v>16.945833333333333</v>
      </c>
      <c r="M227" s="2">
        <f t="shared" si="25"/>
        <v>682.65</v>
      </c>
      <c r="O227" s="1">
        <f t="shared" si="26"/>
        <v>17.631018518518516</v>
      </c>
      <c r="P227" s="2">
        <f t="shared" si="27"/>
        <v>716.66666666666663</v>
      </c>
    </row>
    <row r="228" spans="1:16" x14ac:dyDescent="0.45">
      <c r="B228" s="4">
        <v>45537</v>
      </c>
      <c r="C228" s="1">
        <f>13+57/60</f>
        <v>13.95</v>
      </c>
      <c r="D228" s="2">
        <v>495</v>
      </c>
      <c r="E228" s="2">
        <v>1</v>
      </c>
      <c r="F228" s="2">
        <v>9303</v>
      </c>
      <c r="G228" s="2">
        <f t="shared" si="23"/>
        <v>9958.75</v>
      </c>
      <c r="I228" s="1">
        <f t="shared" si="21"/>
        <v>14.412500000000001</v>
      </c>
      <c r="J228" s="2">
        <f t="shared" si="22"/>
        <v>602.75</v>
      </c>
      <c r="L228" s="1">
        <f t="shared" si="24"/>
        <v>15.853333333333333</v>
      </c>
      <c r="M228" s="2">
        <f t="shared" si="25"/>
        <v>644.25</v>
      </c>
      <c r="O228" s="1">
        <f t="shared" si="26"/>
        <v>18.11851851851852</v>
      </c>
      <c r="P228" s="2">
        <f t="shared" si="27"/>
        <v>745.97222222222217</v>
      </c>
    </row>
    <row r="229" spans="1:16" x14ac:dyDescent="0.45">
      <c r="B229" s="4">
        <v>45544</v>
      </c>
      <c r="C229" s="1">
        <f>20+49/60</f>
        <v>20.816666666666666</v>
      </c>
      <c r="D229" s="1">
        <v>968</v>
      </c>
      <c r="E229" s="2">
        <v>2</v>
      </c>
      <c r="F229" s="1">
        <v>16026</v>
      </c>
      <c r="G229" s="2">
        <f t="shared" si="23"/>
        <v>12220.5</v>
      </c>
      <c r="I229" s="1">
        <f t="shared" si="21"/>
        <v>17.341666666666665</v>
      </c>
      <c r="J229" s="2">
        <f t="shared" si="22"/>
        <v>751</v>
      </c>
      <c r="L229" s="1">
        <f t="shared" si="24"/>
        <v>15.413333333333332</v>
      </c>
      <c r="M229" s="2">
        <f t="shared" si="25"/>
        <v>636.25</v>
      </c>
      <c r="O229" s="1">
        <f t="shared" si="26"/>
        <v>17.111111111111111</v>
      </c>
      <c r="P229" s="2">
        <f t="shared" si="27"/>
        <v>685.97222222222217</v>
      </c>
    </row>
    <row r="230" spans="1:16" x14ac:dyDescent="0.45">
      <c r="B230" s="4">
        <v>45551</v>
      </c>
      <c r="C230" s="1">
        <f>17+41/60</f>
        <v>17.683333333333334</v>
      </c>
      <c r="D230" s="2">
        <v>752</v>
      </c>
      <c r="E230" s="2">
        <v>2</v>
      </c>
      <c r="F230" s="2">
        <v>13478</v>
      </c>
      <c r="G230" s="2">
        <f t="shared" si="23"/>
        <v>13532</v>
      </c>
      <c r="I230" s="1">
        <f t="shared" si="21"/>
        <v>18.420833333333334</v>
      </c>
      <c r="J230" s="2">
        <f t="shared" si="22"/>
        <v>800.25</v>
      </c>
      <c r="L230" s="1">
        <f t="shared" si="24"/>
        <v>15.805833333333331</v>
      </c>
      <c r="M230" s="2">
        <f t="shared" si="25"/>
        <v>667.7</v>
      </c>
      <c r="O230" s="1">
        <f t="shared" si="26"/>
        <v>16.124537037037037</v>
      </c>
      <c r="P230" s="2">
        <f t="shared" si="27"/>
        <v>648</v>
      </c>
    </row>
    <row r="231" spans="1:16" x14ac:dyDescent="0.45">
      <c r="A231" t="s">
        <v>112</v>
      </c>
      <c r="B231" s="4">
        <v>45558</v>
      </c>
      <c r="C231" s="1">
        <f>5+43/60</f>
        <v>5.7166666666666668</v>
      </c>
      <c r="D231" s="2">
        <v>253</v>
      </c>
      <c r="E231" s="2">
        <v>0</v>
      </c>
      <c r="F231" s="2">
        <v>1585</v>
      </c>
      <c r="G231" s="2">
        <f t="shared" si="23"/>
        <v>10098</v>
      </c>
      <c r="I231" s="1">
        <f t="shared" si="21"/>
        <v>14.541666666666668</v>
      </c>
      <c r="J231" s="2">
        <f t="shared" si="22"/>
        <v>617</v>
      </c>
      <c r="L231" s="1">
        <f t="shared" si="24"/>
        <v>15.800833333333333</v>
      </c>
      <c r="M231" s="2">
        <f t="shared" si="25"/>
        <v>677.5</v>
      </c>
      <c r="O231" s="1">
        <f t="shared" si="26"/>
        <v>14.361111111111111</v>
      </c>
      <c r="P231" s="2">
        <f t="shared" si="27"/>
        <v>609.05555555555554</v>
      </c>
    </row>
    <row r="232" spans="1:16" x14ac:dyDescent="0.45">
      <c r="B232" s="4">
        <v>45565</v>
      </c>
      <c r="C232" s="1">
        <f>26+45/60</f>
        <v>26.75</v>
      </c>
      <c r="D232" s="2">
        <v>1223</v>
      </c>
      <c r="E232" s="2">
        <v>0</v>
      </c>
      <c r="F232" s="2">
        <v>19484</v>
      </c>
      <c r="G232" s="2">
        <f t="shared" si="23"/>
        <v>12643.25</v>
      </c>
      <c r="I232" s="1">
        <f t="shared" ref="I232:I264" si="28">AVERAGE(C229:C232)</f>
        <v>17.741666666666667</v>
      </c>
      <c r="J232" s="2">
        <f t="shared" ref="J232:J264" si="29">AVERAGE(D229:D232)</f>
        <v>799</v>
      </c>
      <c r="L232" s="1">
        <f t="shared" ref="L232:L264" si="30">((1*C225)+(2*C226)+(3*C227)+(4*C228)+(4*C229)+(3*C230)+(2*C231)+(C232))/20</f>
        <v>16.491666666666667</v>
      </c>
      <c r="M232" s="2">
        <f t="shared" ref="M232:M264" si="31">((1*D225)+(2*D226)+(3*D227)+(4*D228)+(4*D229)+(3*D230)+(2*D231)+(D232))/20</f>
        <v>714</v>
      </c>
      <c r="O232" s="1">
        <f t="shared" ref="O232:O264" si="32">((C232)+(C231*2)+(C230*3)+(C229*4)+(C228*5)+(C227*6)+(C226*7)+(C225*8))/36</f>
        <v>14.944907407407406</v>
      </c>
      <c r="P232" s="2">
        <f t="shared" ref="P232:P264" si="33">((D232)+(D231*2)+(D230*3)+(D229*4)+(D228*5)+(D227*6)+(D226*7)+(D225*8))/36</f>
        <v>642.58333333333337</v>
      </c>
    </row>
    <row r="233" spans="1:16" x14ac:dyDescent="0.45">
      <c r="A233" t="s">
        <v>127</v>
      </c>
      <c r="B233" s="4">
        <v>45572</v>
      </c>
      <c r="C233" s="1">
        <f>13+12/60</f>
        <v>13.2</v>
      </c>
      <c r="D233" s="2">
        <v>684</v>
      </c>
      <c r="E233" s="2">
        <v>0</v>
      </c>
      <c r="F233" s="2">
        <v>10612</v>
      </c>
      <c r="G233" s="2">
        <f t="shared" si="23"/>
        <v>11289.75</v>
      </c>
      <c r="I233" s="1">
        <f t="shared" si="28"/>
        <v>15.837499999999999</v>
      </c>
      <c r="J233" s="2">
        <f t="shared" si="29"/>
        <v>728</v>
      </c>
      <c r="L233" s="1">
        <f t="shared" si="30"/>
        <v>16.776666666666664</v>
      </c>
      <c r="M233" s="2">
        <f t="shared" si="31"/>
        <v>739.05</v>
      </c>
      <c r="O233" s="1">
        <f t="shared" si="32"/>
        <v>16.609259259259257</v>
      </c>
      <c r="P233" s="2">
        <f t="shared" si="33"/>
        <v>723.58333333333337</v>
      </c>
    </row>
    <row r="234" spans="1:16" x14ac:dyDescent="0.45">
      <c r="B234" s="4">
        <v>45579</v>
      </c>
      <c r="C234" s="1">
        <v>0</v>
      </c>
      <c r="D234" s="2">
        <v>0</v>
      </c>
      <c r="E234" s="2">
        <v>0</v>
      </c>
      <c r="F234" s="2">
        <v>0</v>
      </c>
      <c r="G234" s="2">
        <f t="shared" si="23"/>
        <v>7920.25</v>
      </c>
      <c r="I234" s="1">
        <f t="shared" si="28"/>
        <v>11.416666666666668</v>
      </c>
      <c r="J234" s="2">
        <f t="shared" si="29"/>
        <v>540</v>
      </c>
      <c r="L234" s="1">
        <f t="shared" si="30"/>
        <v>15.591666666666665</v>
      </c>
      <c r="M234" s="2">
        <f t="shared" si="31"/>
        <v>696.85</v>
      </c>
      <c r="O234" s="1">
        <f t="shared" si="32"/>
        <v>16.954166666666666</v>
      </c>
      <c r="P234" s="2">
        <f t="shared" si="33"/>
        <v>749.16666666666663</v>
      </c>
    </row>
    <row r="235" spans="1:16" x14ac:dyDescent="0.45">
      <c r="B235" s="4">
        <v>45586</v>
      </c>
      <c r="C235" s="1">
        <v>0</v>
      </c>
      <c r="D235" s="2">
        <v>0</v>
      </c>
      <c r="E235" s="2">
        <v>0</v>
      </c>
      <c r="F235" s="2">
        <v>0</v>
      </c>
      <c r="G235" s="2">
        <f t="shared" si="23"/>
        <v>7524</v>
      </c>
      <c r="I235" s="1">
        <f t="shared" si="28"/>
        <v>9.9875000000000007</v>
      </c>
      <c r="J235" s="2">
        <f t="shared" si="29"/>
        <v>476.75</v>
      </c>
      <c r="L235" s="1">
        <f t="shared" si="30"/>
        <v>13.905000000000001</v>
      </c>
      <c r="M235" s="2">
        <f t="shared" si="31"/>
        <v>632.15</v>
      </c>
      <c r="O235" s="1">
        <f t="shared" si="32"/>
        <v>14.961111111111112</v>
      </c>
      <c r="P235" s="2">
        <f t="shared" si="33"/>
        <v>651.58333333333337</v>
      </c>
    </row>
    <row r="236" spans="1:16" x14ac:dyDescent="0.45">
      <c r="B236" s="4">
        <v>45593</v>
      </c>
      <c r="C236" s="1">
        <v>0</v>
      </c>
      <c r="D236" s="2">
        <v>0</v>
      </c>
      <c r="E236" s="2">
        <v>0</v>
      </c>
      <c r="F236" s="2">
        <v>0</v>
      </c>
      <c r="G236" s="2">
        <f t="shared" si="23"/>
        <v>2653</v>
      </c>
      <c r="I236" s="1">
        <f t="shared" si="28"/>
        <v>3.3</v>
      </c>
      <c r="J236" s="2">
        <f t="shared" si="29"/>
        <v>171</v>
      </c>
      <c r="L236" s="1">
        <f t="shared" si="30"/>
        <v>11.656666666666666</v>
      </c>
      <c r="M236" s="2">
        <f t="shared" si="31"/>
        <v>542.95000000000005</v>
      </c>
      <c r="O236" s="1">
        <f t="shared" si="32"/>
        <v>14.199074074074073</v>
      </c>
      <c r="P236" s="2">
        <f t="shared" si="33"/>
        <v>649.36111111111109</v>
      </c>
    </row>
    <row r="237" spans="1:16" x14ac:dyDescent="0.45">
      <c r="B237" s="4">
        <v>45600</v>
      </c>
      <c r="C237" s="1">
        <v>0</v>
      </c>
      <c r="D237" s="2">
        <v>0</v>
      </c>
      <c r="E237" s="2">
        <v>0</v>
      </c>
      <c r="F237" s="2">
        <v>0</v>
      </c>
      <c r="G237" s="2">
        <f t="shared" si="23"/>
        <v>0</v>
      </c>
      <c r="I237" s="1">
        <f t="shared" si="28"/>
        <v>0</v>
      </c>
      <c r="J237" s="2">
        <f t="shared" si="29"/>
        <v>0</v>
      </c>
      <c r="L237" s="1">
        <f t="shared" si="30"/>
        <v>8.1083333333333343</v>
      </c>
      <c r="M237" s="2">
        <f t="shared" si="31"/>
        <v>383.15</v>
      </c>
      <c r="O237" s="1">
        <f t="shared" si="32"/>
        <v>11.332870370370371</v>
      </c>
      <c r="P237" s="2">
        <f t="shared" si="33"/>
        <v>515.13888888888891</v>
      </c>
    </row>
    <row r="238" spans="1:16" x14ac:dyDescent="0.45">
      <c r="B238" s="4">
        <v>45607</v>
      </c>
      <c r="C238" s="1">
        <f>9+46/60</f>
        <v>9.7666666666666675</v>
      </c>
      <c r="D238" s="2">
        <v>413</v>
      </c>
      <c r="E238" s="2">
        <v>2</v>
      </c>
      <c r="F238" s="2">
        <v>8098</v>
      </c>
      <c r="G238" s="2">
        <f t="shared" si="23"/>
        <v>2024.5</v>
      </c>
      <c r="I238" s="1">
        <f t="shared" si="28"/>
        <v>2.4416666666666669</v>
      </c>
      <c r="J238" s="2">
        <f t="shared" si="29"/>
        <v>103.25</v>
      </c>
      <c r="L238" s="1">
        <f t="shared" si="30"/>
        <v>5.4291666666666663</v>
      </c>
      <c r="M238" s="2">
        <f t="shared" si="31"/>
        <v>258.2</v>
      </c>
      <c r="O238" s="1">
        <f t="shared" si="32"/>
        <v>8.9430555555555546</v>
      </c>
      <c r="P238" s="2">
        <f t="shared" si="33"/>
        <v>419.5</v>
      </c>
    </row>
    <row r="239" spans="1:16" x14ac:dyDescent="0.45">
      <c r="B239" s="4">
        <v>45614</v>
      </c>
      <c r="C239" s="1">
        <f>20+16/60</f>
        <v>20.266666666666666</v>
      </c>
      <c r="D239" s="2">
        <v>926</v>
      </c>
      <c r="E239" s="2">
        <v>1</v>
      </c>
      <c r="F239" s="2">
        <v>17141</v>
      </c>
      <c r="G239" s="2">
        <f t="shared" si="23"/>
        <v>6309.75</v>
      </c>
      <c r="I239" s="1">
        <f t="shared" si="28"/>
        <v>7.5083333333333329</v>
      </c>
      <c r="J239" s="2">
        <f t="shared" si="29"/>
        <v>334.75</v>
      </c>
      <c r="L239" s="1">
        <f t="shared" si="30"/>
        <v>4.6475</v>
      </c>
      <c r="M239" s="2">
        <f t="shared" si="31"/>
        <v>217.15</v>
      </c>
      <c r="O239" s="1">
        <f t="shared" si="32"/>
        <v>9.6166666666666671</v>
      </c>
      <c r="P239" s="2">
        <f t="shared" si="33"/>
        <v>453.44444444444446</v>
      </c>
    </row>
    <row r="240" spans="1:16" x14ac:dyDescent="0.45">
      <c r="B240" s="4">
        <v>45621</v>
      </c>
      <c r="C240" s="1">
        <f>16+35/60</f>
        <v>16.583333333333332</v>
      </c>
      <c r="D240" s="2">
        <v>809</v>
      </c>
      <c r="E240" s="2">
        <v>1</v>
      </c>
      <c r="F240" s="2">
        <v>13591</v>
      </c>
      <c r="G240" s="2">
        <f t="shared" si="23"/>
        <v>9707.5</v>
      </c>
      <c r="I240" s="1">
        <f t="shared" si="28"/>
        <v>11.654166666666665</v>
      </c>
      <c r="J240" s="2">
        <f t="shared" si="29"/>
        <v>537</v>
      </c>
      <c r="L240" s="1">
        <f t="shared" si="30"/>
        <v>4.980833333333333</v>
      </c>
      <c r="M240" s="2">
        <f t="shared" si="31"/>
        <v>229.2</v>
      </c>
      <c r="O240" s="1">
        <f t="shared" si="32"/>
        <v>5.3337962962962955</v>
      </c>
      <c r="P240" s="2">
        <f t="shared" si="33"/>
        <v>260.33333333333331</v>
      </c>
    </row>
    <row r="241" spans="1:18" x14ac:dyDescent="0.45">
      <c r="B241" s="4">
        <v>45628</v>
      </c>
      <c r="C241" s="1">
        <f>26+12/60</f>
        <v>26.2</v>
      </c>
      <c r="D241" s="2">
        <v>1463</v>
      </c>
      <c r="E241" s="2">
        <v>0</v>
      </c>
      <c r="F241" s="2">
        <v>21315</v>
      </c>
      <c r="G241" s="2">
        <f t="shared" si="23"/>
        <v>15036.25</v>
      </c>
      <c r="I241" s="1">
        <f t="shared" si="28"/>
        <v>18.204166666666666</v>
      </c>
      <c r="J241" s="2">
        <f t="shared" si="29"/>
        <v>902.75</v>
      </c>
      <c r="L241" s="1">
        <f t="shared" si="30"/>
        <v>7.961666666666666</v>
      </c>
      <c r="M241" s="2">
        <f t="shared" si="31"/>
        <v>375.55</v>
      </c>
      <c r="O241" s="1">
        <f t="shared" si="32"/>
        <v>4.4231481481481474</v>
      </c>
      <c r="P241" s="2">
        <f t="shared" si="33"/>
        <v>208.63888888888889</v>
      </c>
    </row>
    <row r="242" spans="1:18" x14ac:dyDescent="0.45">
      <c r="B242" s="4">
        <v>45635</v>
      </c>
      <c r="C242" s="1">
        <f>16+40/60</f>
        <v>16.666666666666668</v>
      </c>
      <c r="D242" s="2">
        <v>813</v>
      </c>
      <c r="E242" s="2">
        <v>2</v>
      </c>
      <c r="F242" s="2">
        <v>10012</v>
      </c>
      <c r="G242" s="2">
        <f t="shared" si="23"/>
        <v>15514.75</v>
      </c>
      <c r="I242" s="1">
        <f t="shared" si="28"/>
        <v>19.929166666666667</v>
      </c>
      <c r="J242" s="2">
        <f t="shared" si="29"/>
        <v>1002.75</v>
      </c>
      <c r="L242" s="1">
        <f t="shared" si="30"/>
        <v>11.9475</v>
      </c>
      <c r="M242" s="2">
        <f t="shared" si="31"/>
        <v>576.1</v>
      </c>
      <c r="O242" s="1">
        <f t="shared" si="32"/>
        <v>6.9087962962962965</v>
      </c>
      <c r="P242" s="2">
        <f t="shared" si="33"/>
        <v>331.52777777777777</v>
      </c>
    </row>
    <row r="243" spans="1:18" x14ac:dyDescent="0.45">
      <c r="B243" s="4">
        <v>45642</v>
      </c>
      <c r="C243" s="1">
        <f>20+20/50</f>
        <v>20.399999999999999</v>
      </c>
      <c r="D243" s="2">
        <v>1101</v>
      </c>
      <c r="E243" s="2">
        <v>1</v>
      </c>
      <c r="F243" s="2">
        <v>17250</v>
      </c>
      <c r="G243" s="2">
        <f t="shared" si="23"/>
        <v>15542</v>
      </c>
      <c r="I243" s="1">
        <f t="shared" si="28"/>
        <v>19.962499999999999</v>
      </c>
      <c r="J243" s="2">
        <f t="shared" si="29"/>
        <v>1046.5</v>
      </c>
      <c r="L243" s="1">
        <f t="shared" si="30"/>
        <v>15.451666666666664</v>
      </c>
      <c r="M243" s="2">
        <f t="shared" si="31"/>
        <v>764.75</v>
      </c>
      <c r="O243" s="1">
        <f t="shared" si="32"/>
        <v>9.9611111111111104</v>
      </c>
      <c r="P243" s="2">
        <f t="shared" si="33"/>
        <v>485</v>
      </c>
    </row>
    <row r="244" spans="1:18" x14ac:dyDescent="0.45">
      <c r="B244" s="4">
        <v>45649</v>
      </c>
      <c r="C244" s="1">
        <f>15+41/60</f>
        <v>15.683333333333334</v>
      </c>
      <c r="D244" s="2">
        <v>928</v>
      </c>
      <c r="E244" s="2">
        <v>1</v>
      </c>
      <c r="F244" s="2">
        <v>13665</v>
      </c>
      <c r="G244" s="2">
        <f t="shared" si="23"/>
        <v>15560.5</v>
      </c>
      <c r="I244" s="1">
        <f t="shared" si="28"/>
        <v>19.737500000000001</v>
      </c>
      <c r="J244" s="2">
        <f t="shared" si="29"/>
        <v>1076.25</v>
      </c>
      <c r="L244" s="1">
        <f t="shared" si="30"/>
        <v>17.897500000000001</v>
      </c>
      <c r="M244" s="2">
        <f t="shared" si="31"/>
        <v>913.05</v>
      </c>
      <c r="O244" s="1">
        <f t="shared" si="32"/>
        <v>13.449074074074073</v>
      </c>
      <c r="P244" s="2">
        <f t="shared" si="33"/>
        <v>664.25</v>
      </c>
    </row>
    <row r="245" spans="1:18" x14ac:dyDescent="0.45">
      <c r="B245" s="4">
        <v>45656</v>
      </c>
      <c r="C245" s="1">
        <f>20+14/60</f>
        <v>20.233333333333334</v>
      </c>
      <c r="D245" s="2">
        <v>1195</v>
      </c>
      <c r="E245" s="2">
        <v>1</v>
      </c>
      <c r="F245" s="2">
        <v>17601</v>
      </c>
      <c r="G245" s="2">
        <f t="shared" si="23"/>
        <v>14632</v>
      </c>
      <c r="I245" s="1">
        <f t="shared" si="28"/>
        <v>18.245833333333334</v>
      </c>
      <c r="J245" s="2">
        <f t="shared" si="29"/>
        <v>1009.25</v>
      </c>
      <c r="L245" s="1">
        <f t="shared" si="30"/>
        <v>19.215833333333332</v>
      </c>
      <c r="M245" s="2">
        <f t="shared" si="31"/>
        <v>1007.5</v>
      </c>
      <c r="O245" s="1">
        <f t="shared" si="32"/>
        <v>17.499074074074073</v>
      </c>
      <c r="P245" s="2">
        <f t="shared" si="33"/>
        <v>876.69444444444446</v>
      </c>
    </row>
    <row r="246" spans="1:18" x14ac:dyDescent="0.45">
      <c r="B246" s="4">
        <v>45663</v>
      </c>
      <c r="C246" s="1">
        <f>11+48/60</f>
        <v>11.8</v>
      </c>
      <c r="D246" s="2">
        <v>636</v>
      </c>
      <c r="E246" s="2">
        <v>1</v>
      </c>
      <c r="F246" s="2">
        <v>9821</v>
      </c>
      <c r="G246" s="2">
        <f t="shared" si="23"/>
        <v>14584.25</v>
      </c>
      <c r="I246" s="1">
        <f t="shared" si="28"/>
        <v>17.029166666666665</v>
      </c>
      <c r="J246" s="2">
        <f t="shared" si="29"/>
        <v>965</v>
      </c>
      <c r="L246" s="1">
        <f t="shared" si="30"/>
        <v>18.980833333333329</v>
      </c>
      <c r="M246" s="2">
        <f t="shared" si="31"/>
        <v>1019.95</v>
      </c>
      <c r="O246" s="1">
        <f t="shared" si="32"/>
        <v>19.435185185185183</v>
      </c>
      <c r="P246" s="2">
        <f t="shared" si="33"/>
        <v>1003.5555555555555</v>
      </c>
      <c r="Q246" s="2"/>
      <c r="R246" s="2"/>
    </row>
    <row r="247" spans="1:18" x14ac:dyDescent="0.45">
      <c r="B247" s="4">
        <v>45670</v>
      </c>
      <c r="C247" s="1">
        <f>24+6/60</f>
        <v>24.1</v>
      </c>
      <c r="D247" s="2">
        <v>1519</v>
      </c>
      <c r="E247" s="2">
        <v>0</v>
      </c>
      <c r="F247" s="2">
        <v>18320</v>
      </c>
      <c r="G247" s="2">
        <f t="shared" si="23"/>
        <v>14851.75</v>
      </c>
      <c r="I247" s="1">
        <f t="shared" si="28"/>
        <v>17.954166666666666</v>
      </c>
      <c r="J247" s="2">
        <f t="shared" si="29"/>
        <v>1069.5</v>
      </c>
      <c r="L247" s="1">
        <f t="shared" si="30"/>
        <v>18.585833333333333</v>
      </c>
      <c r="M247" s="2">
        <f t="shared" si="31"/>
        <v>1033.3</v>
      </c>
      <c r="O247" s="1">
        <f t="shared" si="32"/>
        <v>19.144444444444442</v>
      </c>
      <c r="P247" s="2">
        <f t="shared" si="33"/>
        <v>1032.8888888888889</v>
      </c>
      <c r="Q247" s="2"/>
      <c r="R247" s="2"/>
    </row>
    <row r="248" spans="1:18" x14ac:dyDescent="0.45">
      <c r="A248" t="s">
        <v>128</v>
      </c>
      <c r="B248" s="4">
        <v>45677</v>
      </c>
      <c r="C248" s="1">
        <f>13+36/60</f>
        <v>13.6</v>
      </c>
      <c r="D248" s="2">
        <v>749</v>
      </c>
      <c r="E248" s="2">
        <v>0</v>
      </c>
      <c r="F248" s="2">
        <v>10431</v>
      </c>
      <c r="G248" s="2">
        <f t="shared" si="23"/>
        <v>14043.25</v>
      </c>
      <c r="I248" s="1">
        <f t="shared" si="28"/>
        <v>17.433333333333334</v>
      </c>
      <c r="J248" s="2">
        <f t="shared" si="29"/>
        <v>1024.75</v>
      </c>
      <c r="L248" s="1">
        <f t="shared" si="30"/>
        <v>18.079999999999998</v>
      </c>
      <c r="M248" s="2">
        <f t="shared" si="31"/>
        <v>1028.95</v>
      </c>
      <c r="O248" s="1">
        <f t="shared" si="32"/>
        <v>19.589351851851852</v>
      </c>
      <c r="P248" s="2">
        <f t="shared" si="33"/>
        <v>1086.5555555555557</v>
      </c>
      <c r="Q248" s="2"/>
      <c r="R248" s="2"/>
    </row>
    <row r="249" spans="1:18" x14ac:dyDescent="0.45">
      <c r="B249" s="4">
        <v>45684</v>
      </c>
      <c r="C249" s="1">
        <f>10+52/60</f>
        <v>10.866666666666667</v>
      </c>
      <c r="D249" s="2">
        <v>613</v>
      </c>
      <c r="E249" s="2">
        <v>0</v>
      </c>
      <c r="F249" s="2">
        <v>9082</v>
      </c>
      <c r="G249" s="2">
        <f t="shared" si="23"/>
        <v>11913.5</v>
      </c>
      <c r="I249" s="1">
        <f t="shared" si="28"/>
        <v>15.091666666666669</v>
      </c>
      <c r="J249" s="2">
        <f t="shared" si="29"/>
        <v>879.25</v>
      </c>
      <c r="L249" s="1">
        <f t="shared" si="30"/>
        <v>17.150833333333331</v>
      </c>
      <c r="M249" s="2">
        <f t="shared" si="31"/>
        <v>989.55</v>
      </c>
      <c r="O249" s="1">
        <f t="shared" si="32"/>
        <v>17.471296296296298</v>
      </c>
      <c r="P249" s="2">
        <f t="shared" si="33"/>
        <v>971.27777777777783</v>
      </c>
      <c r="Q249" s="2"/>
      <c r="R249" s="2"/>
    </row>
    <row r="250" spans="1:18" x14ac:dyDescent="0.45">
      <c r="A250" t="s">
        <v>43</v>
      </c>
      <c r="B250" s="4">
        <v>45691</v>
      </c>
      <c r="C250" s="1">
        <f>20+4/60</f>
        <v>20.066666666666666</v>
      </c>
      <c r="D250" s="2">
        <v>1180</v>
      </c>
      <c r="E250" s="2">
        <v>0</v>
      </c>
      <c r="F250" s="2">
        <v>17279</v>
      </c>
      <c r="G250" s="2">
        <f t="shared" si="23"/>
        <v>13778</v>
      </c>
      <c r="I250" s="1">
        <f t="shared" si="28"/>
        <v>17.158333333333335</v>
      </c>
      <c r="J250" s="2">
        <f t="shared" si="29"/>
        <v>1015.25</v>
      </c>
      <c r="L250" s="1">
        <f t="shared" si="30"/>
        <v>16.933333333333337</v>
      </c>
      <c r="M250" s="2">
        <f t="shared" si="31"/>
        <v>990.75</v>
      </c>
      <c r="O250" s="1">
        <f t="shared" si="32"/>
        <v>17.5662037037037</v>
      </c>
      <c r="P250" s="2">
        <f t="shared" si="33"/>
        <v>1010.6388888888889</v>
      </c>
      <c r="Q250" s="2"/>
      <c r="R250" s="2"/>
    </row>
    <row r="251" spans="1:18" x14ac:dyDescent="0.45">
      <c r="A251" t="s">
        <v>129</v>
      </c>
      <c r="B251" s="4">
        <v>45698</v>
      </c>
      <c r="C251" s="1">
        <f>13+49/60</f>
        <v>13.816666666666666</v>
      </c>
      <c r="D251" s="2">
        <v>732</v>
      </c>
      <c r="E251" s="2">
        <v>0</v>
      </c>
      <c r="F251" s="2">
        <v>10757</v>
      </c>
      <c r="G251" s="2">
        <f t="shared" si="23"/>
        <v>11887.25</v>
      </c>
      <c r="I251" s="1">
        <f t="shared" si="28"/>
        <v>14.587499999999999</v>
      </c>
      <c r="J251" s="2">
        <f t="shared" si="29"/>
        <v>818.5</v>
      </c>
      <c r="L251" s="1">
        <f t="shared" si="30"/>
        <v>16.445</v>
      </c>
      <c r="M251" s="2">
        <f t="shared" si="31"/>
        <v>961.45</v>
      </c>
      <c r="O251" s="1">
        <f t="shared" si="32"/>
        <v>16.648611111111112</v>
      </c>
      <c r="P251" s="2">
        <f t="shared" si="33"/>
        <v>975.75</v>
      </c>
      <c r="Q251" s="2"/>
      <c r="R251" s="2"/>
    </row>
    <row r="252" spans="1:18" x14ac:dyDescent="0.45">
      <c r="A252" t="s">
        <v>130</v>
      </c>
      <c r="B252" s="4">
        <v>45705</v>
      </c>
      <c r="C252" s="1">
        <f>17+1/60</f>
        <v>17.016666666666666</v>
      </c>
      <c r="D252" s="2">
        <v>872</v>
      </c>
      <c r="E252" s="2">
        <v>1</v>
      </c>
      <c r="F252" s="2">
        <v>14016</v>
      </c>
      <c r="G252" s="2">
        <f t="shared" si="23"/>
        <v>12783.5</v>
      </c>
      <c r="I252" s="1">
        <f t="shared" si="28"/>
        <v>15.441666666666666</v>
      </c>
      <c r="J252" s="2">
        <f t="shared" si="29"/>
        <v>849.25</v>
      </c>
      <c r="L252" s="1">
        <f t="shared" si="30"/>
        <v>15.942500000000001</v>
      </c>
      <c r="M252" s="2">
        <f t="shared" si="31"/>
        <v>917.4</v>
      </c>
      <c r="O252" s="1">
        <f t="shared" si="32"/>
        <v>16.816203703703707</v>
      </c>
      <c r="P252" s="2">
        <f t="shared" si="33"/>
        <v>977.75</v>
      </c>
      <c r="Q252" s="2"/>
      <c r="R252" s="2"/>
    </row>
    <row r="253" spans="1:18" x14ac:dyDescent="0.45">
      <c r="B253" s="4">
        <v>45712</v>
      </c>
      <c r="C253" s="1">
        <f>22+35/60</f>
        <v>22.583333333333332</v>
      </c>
      <c r="D253" s="2">
        <v>1201</v>
      </c>
      <c r="E253" s="2">
        <v>1</v>
      </c>
      <c r="F253" s="2">
        <v>18749</v>
      </c>
      <c r="G253" s="2">
        <f t="shared" si="23"/>
        <v>15200.25</v>
      </c>
      <c r="I253" s="1">
        <f t="shared" si="28"/>
        <v>18.370833333333334</v>
      </c>
      <c r="J253" s="2">
        <f t="shared" si="29"/>
        <v>996.25</v>
      </c>
      <c r="L253" s="1">
        <f t="shared" si="30"/>
        <v>16.13</v>
      </c>
      <c r="M253" s="2">
        <f t="shared" si="31"/>
        <v>911.7</v>
      </c>
      <c r="O253" s="1">
        <f t="shared" si="32"/>
        <v>16.037962962962965</v>
      </c>
      <c r="P253" s="2">
        <f t="shared" si="33"/>
        <v>920.58333333333337</v>
      </c>
      <c r="Q253" s="2"/>
      <c r="R253" s="2"/>
    </row>
    <row r="254" spans="1:18" x14ac:dyDescent="0.45">
      <c r="B254" s="4">
        <v>45719</v>
      </c>
      <c r="C254" s="1">
        <f>9+49/60</f>
        <v>9.8166666666666664</v>
      </c>
      <c r="D254" s="2">
        <v>473</v>
      </c>
      <c r="E254" s="2">
        <v>1</v>
      </c>
      <c r="F254" s="2">
        <v>7576</v>
      </c>
      <c r="G254" s="2">
        <f t="shared" si="23"/>
        <v>12774.5</v>
      </c>
      <c r="I254" s="1">
        <f t="shared" si="28"/>
        <v>15.808333333333334</v>
      </c>
      <c r="J254" s="2">
        <f t="shared" si="29"/>
        <v>819.5</v>
      </c>
      <c r="L254" s="1">
        <f t="shared" si="30"/>
        <v>16.273333333333333</v>
      </c>
      <c r="M254" s="2">
        <f t="shared" si="31"/>
        <v>899.75</v>
      </c>
      <c r="O254" s="1">
        <f t="shared" si="32"/>
        <v>17.078703703703702</v>
      </c>
      <c r="P254" s="2">
        <f t="shared" si="33"/>
        <v>983.11111111111109</v>
      </c>
      <c r="Q254" s="2"/>
      <c r="R254" s="2"/>
    </row>
    <row r="255" spans="1:18" x14ac:dyDescent="0.45">
      <c r="A255" t="s">
        <v>75</v>
      </c>
      <c r="B255" s="4">
        <v>45726</v>
      </c>
      <c r="C255" s="1">
        <f>17+25/60</f>
        <v>17.416666666666668</v>
      </c>
      <c r="D255" s="2">
        <v>749</v>
      </c>
      <c r="E255" s="2">
        <v>1</v>
      </c>
      <c r="F255" s="2">
        <v>3600</v>
      </c>
      <c r="G255" s="2">
        <f t="shared" si="23"/>
        <v>10985.25</v>
      </c>
      <c r="I255" s="1">
        <f t="shared" si="28"/>
        <v>16.708333333333332</v>
      </c>
      <c r="J255" s="2">
        <f t="shared" si="29"/>
        <v>823.75</v>
      </c>
      <c r="L255" s="1">
        <f t="shared" si="30"/>
        <v>16.183333333333334</v>
      </c>
      <c r="M255" s="2">
        <f t="shared" si="31"/>
        <v>861.45</v>
      </c>
      <c r="O255" s="1">
        <f t="shared" si="32"/>
        <v>15.200462962962964</v>
      </c>
      <c r="P255" s="2">
        <f t="shared" si="33"/>
        <v>828.02777777777783</v>
      </c>
      <c r="Q255" s="2"/>
      <c r="R255" s="2"/>
    </row>
    <row r="256" spans="1:18" x14ac:dyDescent="0.45">
      <c r="A256" s="1" t="s">
        <v>131</v>
      </c>
      <c r="B256" s="4">
        <v>45733</v>
      </c>
      <c r="C256">
        <f>12+12/60</f>
        <v>12.2</v>
      </c>
      <c r="D256" s="2">
        <v>661</v>
      </c>
      <c r="E256" s="2">
        <v>0</v>
      </c>
      <c r="F256" s="2">
        <v>9753</v>
      </c>
      <c r="G256" s="2">
        <f t="shared" si="23"/>
        <v>9919.5</v>
      </c>
      <c r="I256" s="1">
        <f t="shared" si="28"/>
        <v>15.504166666666666</v>
      </c>
      <c r="J256" s="2">
        <f t="shared" si="29"/>
        <v>771</v>
      </c>
      <c r="L256" s="1">
        <f t="shared" si="30"/>
        <v>16.366666666666664</v>
      </c>
      <c r="M256" s="2">
        <f t="shared" si="31"/>
        <v>851.95</v>
      </c>
      <c r="O256" s="1">
        <f t="shared" si="32"/>
        <v>15.616666666666667</v>
      </c>
      <c r="P256" s="2">
        <f t="shared" si="33"/>
        <v>841.61111111111109</v>
      </c>
      <c r="Q256" s="2"/>
      <c r="R256" s="2"/>
    </row>
    <row r="257" spans="1:18" x14ac:dyDescent="0.45">
      <c r="A257" t="s">
        <v>132</v>
      </c>
      <c r="B257" s="4">
        <v>45740</v>
      </c>
      <c r="C257" s="1">
        <f>18+24/60</f>
        <v>18.399999999999999</v>
      </c>
      <c r="D257" s="2">
        <v>874</v>
      </c>
      <c r="E257" s="2">
        <v>0</v>
      </c>
      <c r="F257" s="2">
        <v>10895</v>
      </c>
      <c r="G257" s="2">
        <f t="shared" si="23"/>
        <v>7956</v>
      </c>
      <c r="I257" s="1">
        <f t="shared" si="28"/>
        <v>14.458333333333334</v>
      </c>
      <c r="J257" s="2">
        <f t="shared" si="29"/>
        <v>689.25</v>
      </c>
      <c r="L257" s="1">
        <f t="shared" si="30"/>
        <v>16.169999999999995</v>
      </c>
      <c r="M257" s="2">
        <f t="shared" si="31"/>
        <v>819.95</v>
      </c>
      <c r="O257" s="1">
        <f t="shared" si="32"/>
        <v>16.849537037037035</v>
      </c>
      <c r="P257" s="2">
        <f t="shared" si="33"/>
        <v>892.66666666666663</v>
      </c>
      <c r="Q257" s="2"/>
      <c r="R257" s="2"/>
    </row>
    <row r="258" spans="1:18" x14ac:dyDescent="0.45">
      <c r="B258" s="4">
        <v>45747</v>
      </c>
      <c r="C258" s="1">
        <f>13+27/60</f>
        <v>13.45</v>
      </c>
      <c r="D258" s="2">
        <v>612</v>
      </c>
      <c r="E258" s="2">
        <v>0</v>
      </c>
      <c r="F258" s="2">
        <v>9949</v>
      </c>
      <c r="G258" s="2">
        <f t="shared" si="23"/>
        <v>8549.25</v>
      </c>
      <c r="I258" s="1">
        <f t="shared" si="28"/>
        <v>15.366666666666667</v>
      </c>
      <c r="J258" s="2">
        <f t="shared" si="29"/>
        <v>724</v>
      </c>
      <c r="L258" s="1">
        <f t="shared" si="30"/>
        <v>15.569166666666666</v>
      </c>
      <c r="M258" s="2">
        <f t="shared" si="31"/>
        <v>765.5</v>
      </c>
      <c r="O258" s="1">
        <f t="shared" si="32"/>
        <v>15.854166666666666</v>
      </c>
      <c r="P258" s="2">
        <f t="shared" si="33"/>
        <v>801.94444444444446</v>
      </c>
      <c r="Q258" s="2"/>
      <c r="R258" s="2"/>
    </row>
    <row r="259" spans="1:18" x14ac:dyDescent="0.45">
      <c r="A259" t="s">
        <v>113</v>
      </c>
      <c r="B259" s="4">
        <v>45754</v>
      </c>
      <c r="C259" s="1">
        <f>21+21/60</f>
        <v>21.35</v>
      </c>
      <c r="D259" s="2">
        <v>1211</v>
      </c>
      <c r="E259" s="2">
        <v>0</v>
      </c>
      <c r="F259" s="2">
        <v>16249</v>
      </c>
      <c r="G259" s="2">
        <f t="shared" si="23"/>
        <v>11711.5</v>
      </c>
      <c r="I259" s="1">
        <f t="shared" si="28"/>
        <v>16.350000000000001</v>
      </c>
      <c r="J259" s="2">
        <f t="shared" si="29"/>
        <v>839.5</v>
      </c>
      <c r="L259" s="1">
        <f t="shared" si="30"/>
        <v>15.6775</v>
      </c>
      <c r="M259" s="2">
        <f t="shared" si="31"/>
        <v>769.5</v>
      </c>
      <c r="O259" s="1">
        <f t="shared" si="32"/>
        <v>16.456944444444446</v>
      </c>
      <c r="P259" s="2">
        <f t="shared" si="33"/>
        <v>824.08333333333337</v>
      </c>
      <c r="Q259" s="2"/>
      <c r="R259" s="2"/>
    </row>
    <row r="260" spans="1:18" x14ac:dyDescent="0.45">
      <c r="B260" s="4">
        <v>45761</v>
      </c>
      <c r="C260" s="1">
        <f>19+57/60</f>
        <v>19.95</v>
      </c>
      <c r="D260" s="2">
        <v>910</v>
      </c>
      <c r="E260" s="2">
        <v>1</v>
      </c>
      <c r="F260" s="2">
        <v>15119</v>
      </c>
      <c r="G260" s="2">
        <f t="shared" si="23"/>
        <v>13053</v>
      </c>
      <c r="I260" s="1">
        <f t="shared" si="28"/>
        <v>18.287500000000001</v>
      </c>
      <c r="J260" s="2">
        <f t="shared" si="29"/>
        <v>901.75</v>
      </c>
      <c r="L260" s="1">
        <f t="shared" si="30"/>
        <v>15.993333333333331</v>
      </c>
      <c r="M260" s="2">
        <f t="shared" si="31"/>
        <v>785.1</v>
      </c>
      <c r="O260" s="1">
        <f t="shared" si="32"/>
        <v>16.430092592592594</v>
      </c>
      <c r="P260" s="2">
        <f t="shared" si="33"/>
        <v>816.16666666666663</v>
      </c>
      <c r="Q260" s="2"/>
      <c r="R260" s="2"/>
    </row>
    <row r="261" spans="1:18" x14ac:dyDescent="0.45">
      <c r="B261" s="4">
        <v>45768</v>
      </c>
      <c r="C261" s="1">
        <f>24+14/60</f>
        <v>24.233333333333334</v>
      </c>
      <c r="D261" s="2">
        <v>1216</v>
      </c>
      <c r="E261" s="2">
        <v>1</v>
      </c>
      <c r="F261" s="2">
        <v>19479</v>
      </c>
      <c r="G261" s="2">
        <f t="shared" si="23"/>
        <v>15199</v>
      </c>
      <c r="I261" s="1">
        <f t="shared" si="28"/>
        <v>19.745833333333334</v>
      </c>
      <c r="J261" s="2">
        <f t="shared" si="29"/>
        <v>987.25</v>
      </c>
      <c r="L261" s="1">
        <f t="shared" si="30"/>
        <v>16.841666666666665</v>
      </c>
      <c r="M261" s="2">
        <f t="shared" si="31"/>
        <v>828.35</v>
      </c>
      <c r="O261" s="1">
        <f t="shared" si="32"/>
        <v>15.212037037037037</v>
      </c>
      <c r="P261" s="2">
        <f t="shared" si="33"/>
        <v>735.55555555555554</v>
      </c>
      <c r="Q261" s="2"/>
      <c r="R261" s="2"/>
    </row>
    <row r="262" spans="1:18" x14ac:dyDescent="0.45">
      <c r="B262" s="4">
        <v>45775</v>
      </c>
      <c r="C262" s="1">
        <f>21+29/60</f>
        <v>21.483333333333334</v>
      </c>
      <c r="D262" s="2">
        <v>1097</v>
      </c>
      <c r="E262" s="2">
        <v>1</v>
      </c>
      <c r="F262" s="2">
        <v>17698</v>
      </c>
      <c r="G262" s="2">
        <f t="shared" ref="G262:G266" si="34">AVERAGE(F259:F262)</f>
        <v>17136.25</v>
      </c>
      <c r="I262" s="1">
        <f t="shared" si="28"/>
        <v>21.754166666666666</v>
      </c>
      <c r="J262" s="2">
        <f t="shared" si="29"/>
        <v>1108.5</v>
      </c>
      <c r="L262" s="1">
        <f t="shared" si="30"/>
        <v>18.300833333333333</v>
      </c>
      <c r="M262" s="2">
        <f t="shared" si="31"/>
        <v>912.2</v>
      </c>
      <c r="O262" s="1">
        <f t="shared" si="32"/>
        <v>17.155092592592595</v>
      </c>
      <c r="P262" s="2">
        <f t="shared" si="33"/>
        <v>834.05555555555554</v>
      </c>
      <c r="Q262" s="2"/>
      <c r="R262" s="2"/>
    </row>
    <row r="263" spans="1:18" x14ac:dyDescent="0.45">
      <c r="A263" t="s">
        <v>133</v>
      </c>
      <c r="B263" s="4">
        <v>45782</v>
      </c>
      <c r="C263" s="1">
        <f>19+50/60</f>
        <v>19.833333333333332</v>
      </c>
      <c r="D263" s="2">
        <v>1347</v>
      </c>
      <c r="E263" s="2">
        <v>0</v>
      </c>
      <c r="F263" s="2">
        <v>17594</v>
      </c>
      <c r="G263" s="2">
        <f t="shared" si="34"/>
        <v>17472.5</v>
      </c>
      <c r="I263" s="1">
        <f t="shared" si="28"/>
        <v>21.375</v>
      </c>
      <c r="J263" s="2">
        <f t="shared" si="29"/>
        <v>1142.5</v>
      </c>
      <c r="L263" s="1">
        <f t="shared" si="30"/>
        <v>19.502500000000001</v>
      </c>
      <c r="M263" s="2">
        <f t="shared" si="31"/>
        <v>995.9</v>
      </c>
      <c r="O263" s="1">
        <f t="shared" si="32"/>
        <v>17.476388888888888</v>
      </c>
      <c r="P263" s="2">
        <f t="shared" si="33"/>
        <v>887.83333333333337</v>
      </c>
      <c r="Q263" s="2"/>
      <c r="R263" s="2"/>
    </row>
    <row r="264" spans="1:18" x14ac:dyDescent="0.45">
      <c r="B264" s="4">
        <v>45789</v>
      </c>
      <c r="C264" s="1">
        <f>10+42/60</f>
        <v>10.7</v>
      </c>
      <c r="D264" s="2">
        <v>430</v>
      </c>
      <c r="E264" s="2">
        <v>1</v>
      </c>
      <c r="F264" s="2">
        <v>7993</v>
      </c>
      <c r="G264" s="2">
        <f t="shared" si="34"/>
        <v>15691</v>
      </c>
      <c r="I264" s="1">
        <f t="shared" si="28"/>
        <v>19.0625</v>
      </c>
      <c r="J264" s="2">
        <f t="shared" si="29"/>
        <v>1022.5</v>
      </c>
      <c r="L264" s="1">
        <f t="shared" si="30"/>
        <v>20.045000000000002</v>
      </c>
      <c r="M264" s="2">
        <f t="shared" si="31"/>
        <v>1032.5</v>
      </c>
      <c r="O264" s="1">
        <f t="shared" si="32"/>
        <v>18.915277777777778</v>
      </c>
      <c r="P264" s="2">
        <f t="shared" si="33"/>
        <v>954.75</v>
      </c>
      <c r="Q264" s="2"/>
      <c r="R264" s="2"/>
    </row>
    <row r="265" spans="1:18" x14ac:dyDescent="0.45">
      <c r="B265" s="4">
        <v>45796</v>
      </c>
      <c r="C265" s="1">
        <f>24+16/60</f>
        <v>24.266666666666666</v>
      </c>
      <c r="D265" s="2">
        <v>1140</v>
      </c>
      <c r="E265" s="2">
        <v>1</v>
      </c>
      <c r="F265" s="2">
        <v>19138</v>
      </c>
      <c r="G265" s="2">
        <f t="shared" si="34"/>
        <v>15605.75</v>
      </c>
      <c r="I265" s="1">
        <f t="shared" ref="I265:I268" si="35">AVERAGE(C262:C265)</f>
        <v>19.070833333333333</v>
      </c>
      <c r="J265" s="2">
        <f t="shared" ref="J265:J268" si="36">AVERAGE(D262:D265)</f>
        <v>1003.5</v>
      </c>
      <c r="L265" s="1">
        <f t="shared" ref="L265:L268" si="37">((1*C258)+(2*C259)+(3*C260)+(4*C261)+(4*C262)+(3*C263)+(2*C264)+(C265))/20</f>
        <v>20.201666666666664</v>
      </c>
      <c r="M265" s="2">
        <f t="shared" ref="M265:M268" si="38">((1*D258)+(2*D259)+(3*D260)+(4*D261)+(4*D262)+(3*D263)+(2*D264)+(D265))/20</f>
        <v>1052.8499999999999</v>
      </c>
      <c r="O265" s="1">
        <f t="shared" ref="O265:O268" si="39">((C265)+(C264*2)+(C263*3)+(C262*4)+(C261*5)+(C260*6)+(C259*7)+(C258*8))/36</f>
        <v>19.139351851851853</v>
      </c>
      <c r="P265" s="2">
        <f t="shared" ref="P265:P268" si="40">((D265)+(D264*2)+(D263*3)+(D262*4)+(D261*5)+(D260*6)+(D259*7)+(D258*8))/36</f>
        <v>981.72222222222217</v>
      </c>
      <c r="Q265" s="2"/>
      <c r="R265" s="2"/>
    </row>
    <row r="266" spans="1:18" x14ac:dyDescent="0.45">
      <c r="A266" t="s">
        <v>134</v>
      </c>
      <c r="B266" s="4">
        <v>45803</v>
      </c>
      <c r="C266" s="1">
        <f>20+40/60</f>
        <v>20.666666666666668</v>
      </c>
      <c r="D266" s="2">
        <v>795</v>
      </c>
      <c r="E266" s="2">
        <v>1</v>
      </c>
      <c r="F266" s="2">
        <v>15244</v>
      </c>
      <c r="G266" s="2">
        <f t="shared" si="34"/>
        <v>14992.25</v>
      </c>
      <c r="I266" s="1">
        <f t="shared" si="35"/>
        <v>18.866666666666667</v>
      </c>
      <c r="J266" s="2">
        <f t="shared" si="36"/>
        <v>928</v>
      </c>
      <c r="L266" s="1">
        <f t="shared" si="37"/>
        <v>20.025833333333331</v>
      </c>
      <c r="M266" s="2">
        <f t="shared" si="38"/>
        <v>1041</v>
      </c>
      <c r="O266" s="1">
        <f t="shared" si="39"/>
        <v>20.663888888888891</v>
      </c>
      <c r="P266" s="2">
        <f t="shared" si="40"/>
        <v>1072</v>
      </c>
      <c r="Q266" s="2"/>
      <c r="R266" s="2"/>
    </row>
    <row r="267" spans="1:18" x14ac:dyDescent="0.45">
      <c r="A267" t="s">
        <v>134</v>
      </c>
      <c r="B267" s="4">
        <v>45810</v>
      </c>
      <c r="C267" s="1">
        <f>19+3/60</f>
        <v>19.05</v>
      </c>
      <c r="D267" s="2">
        <v>853</v>
      </c>
      <c r="E267" s="2">
        <v>1</v>
      </c>
      <c r="F267" s="2">
        <v>14585</v>
      </c>
      <c r="G267" s="2">
        <f t="shared" ref="G267:G269" si="41">AVERAGE(F264:F267)</f>
        <v>14240</v>
      </c>
      <c r="I267" s="1">
        <f t="shared" si="35"/>
        <v>18.670833333333334</v>
      </c>
      <c r="J267" s="2">
        <f t="shared" si="36"/>
        <v>804.5</v>
      </c>
      <c r="L267" s="1">
        <f t="shared" si="37"/>
        <v>19.409166666666668</v>
      </c>
      <c r="M267" s="2">
        <f t="shared" si="38"/>
        <v>980.2</v>
      </c>
      <c r="O267" s="1">
        <f t="shared" si="39"/>
        <v>20.36898148148148</v>
      </c>
      <c r="P267" s="2">
        <f t="shared" si="40"/>
        <v>1019.2222222222222</v>
      </c>
      <c r="Q267" s="2"/>
      <c r="R267" s="2"/>
    </row>
    <row r="268" spans="1:18" x14ac:dyDescent="0.45">
      <c r="A268" t="s">
        <v>134</v>
      </c>
      <c r="B268" s="4">
        <v>45817</v>
      </c>
      <c r="C268" s="1">
        <f>18+31/60</f>
        <v>18.516666666666666</v>
      </c>
      <c r="D268" s="2">
        <v>856</v>
      </c>
      <c r="E268" s="2">
        <v>2</v>
      </c>
      <c r="F268" s="2">
        <v>13634</v>
      </c>
      <c r="G268" s="2">
        <f t="shared" si="41"/>
        <v>15650.25</v>
      </c>
      <c r="I268" s="1">
        <f t="shared" si="35"/>
        <v>20.625</v>
      </c>
      <c r="J268" s="2">
        <f t="shared" si="36"/>
        <v>911</v>
      </c>
      <c r="L268" s="1">
        <f t="shared" si="37"/>
        <v>19.259166666666665</v>
      </c>
      <c r="M268" s="2">
        <f t="shared" si="38"/>
        <v>933.9</v>
      </c>
      <c r="O268" s="1">
        <f t="shared" si="39"/>
        <v>20.345370370370368</v>
      </c>
      <c r="P268" s="2">
        <f t="shared" si="40"/>
        <v>1031.8333333333333</v>
      </c>
      <c r="Q268" s="2"/>
      <c r="R268" s="2"/>
    </row>
    <row r="269" spans="1:18" x14ac:dyDescent="0.45">
      <c r="A269" t="s">
        <v>135</v>
      </c>
      <c r="B269" s="4">
        <v>45824</v>
      </c>
      <c r="C269" s="1">
        <f>16+41/60</f>
        <v>16.683333333333334</v>
      </c>
      <c r="D269" s="2">
        <v>896</v>
      </c>
      <c r="E269" s="2">
        <v>0</v>
      </c>
      <c r="F269" s="2">
        <v>13299</v>
      </c>
      <c r="G269" s="2">
        <f t="shared" si="41"/>
        <v>14190.5</v>
      </c>
      <c r="I269" s="1">
        <f t="shared" ref="I269:I270" si="42">AVERAGE(C266:C269)</f>
        <v>18.729166666666668</v>
      </c>
      <c r="J269" s="2">
        <f t="shared" ref="J269:J270" si="43">AVERAGE(D266:D269)</f>
        <v>850</v>
      </c>
      <c r="L269" s="1">
        <f t="shared" ref="L269:L270" si="44">((1*C262)+(2*C263)+(3*C264)+(4*C265)+(4*C266)+(3*C267)+(2*C268)+(C269))/20</f>
        <v>19.192499999999999</v>
      </c>
      <c r="M269" s="2">
        <f t="shared" ref="M269:M270" si="45">((1*D262)+(2*D263)+(3*D264)+(4*D265)+(4*D266)+(3*D267)+(2*D268)+(D269))/20</f>
        <v>899.4</v>
      </c>
      <c r="O269" s="1">
        <f t="shared" ref="O269:O270" si="46">((C269)+(C268*2)+(C267*3)+(C266*4)+(C265*5)+(C264*6)+(C263*7)+(C262*8))/36</f>
        <v>19.160185185185185</v>
      </c>
      <c r="P269" s="2">
        <f t="shared" ref="P269:P270" si="47">((D269)+(D268*2)+(D267*3)+(D266*4)+(D265*5)+(D264*6)+(D263*7)+(D262*8))/36</f>
        <v>967.55555555555554</v>
      </c>
      <c r="Q269" s="2"/>
      <c r="R269" s="2"/>
    </row>
    <row r="270" spans="1:18" x14ac:dyDescent="0.45">
      <c r="B270" s="4">
        <v>45831</v>
      </c>
      <c r="C270" s="1">
        <f>20+21/60</f>
        <v>20.350000000000001</v>
      </c>
      <c r="D270" s="2">
        <v>904</v>
      </c>
      <c r="E270" s="2">
        <v>0</v>
      </c>
      <c r="F270" s="2">
        <v>10339</v>
      </c>
      <c r="G270" s="2">
        <f t="shared" ref="G270" si="48">AVERAGE(F267:F270)</f>
        <v>12964.25</v>
      </c>
      <c r="I270" s="1">
        <f t="shared" si="42"/>
        <v>18.649999999999999</v>
      </c>
      <c r="J270" s="2">
        <f t="shared" si="43"/>
        <v>877.25</v>
      </c>
      <c r="L270" s="1">
        <f t="shared" si="44"/>
        <v>19.108333333333334</v>
      </c>
      <c r="M270" s="2">
        <f t="shared" si="45"/>
        <v>874.15</v>
      </c>
      <c r="O270" s="1">
        <f t="shared" si="46"/>
        <v>18.554629629629627</v>
      </c>
      <c r="P270" s="2">
        <f t="shared" si="47"/>
        <v>924.36111111111109</v>
      </c>
      <c r="Q270" s="2"/>
      <c r="R270" s="2"/>
    </row>
    <row r="271" spans="1:18" x14ac:dyDescent="0.45">
      <c r="A271" t="s">
        <v>136</v>
      </c>
      <c r="B271" s="4">
        <v>45838</v>
      </c>
      <c r="C271" s="1">
        <f>13+27/60</f>
        <v>13.45</v>
      </c>
      <c r="D271" s="2">
        <v>612</v>
      </c>
      <c r="E271" s="2">
        <v>0</v>
      </c>
      <c r="F271" s="2">
        <v>9414</v>
      </c>
      <c r="G271" s="2">
        <f t="shared" ref="G271:G273" si="49">AVERAGE(F268:F271)</f>
        <v>11671.5</v>
      </c>
      <c r="I271" s="1">
        <f t="shared" ref="I271:I273" si="50">AVERAGE(C268:C271)</f>
        <v>17.25</v>
      </c>
      <c r="J271" s="2">
        <f t="shared" ref="J271:J273" si="51">AVERAGE(D268:D271)</f>
        <v>817</v>
      </c>
      <c r="L271" s="1">
        <f t="shared" ref="L271:L273" si="52">((1*C264)+(2*C265)+(3*C266)+(4*C267)+(4*C268)+(3*C269)+(2*C270)+(C271))/20</f>
        <v>18.785</v>
      </c>
      <c r="M271" s="2">
        <f t="shared" ref="M271:M273" si="53">((1*D264)+(2*D265)+(3*D266)+(4*D267)+(4*D268)+(3*D269)+(2*D270)+(D271))/20</f>
        <v>851.95</v>
      </c>
      <c r="O271" s="1">
        <f t="shared" ref="O271:O273" si="54">((C271)+(C270*2)+(C269*3)+(C268*4)+(C267*5)+(C266*6)+(C265*7)+(C264*8))/36</f>
        <v>18.138425925925926</v>
      </c>
      <c r="P271" s="2">
        <f t="shared" ref="P271:P273" si="55">((D271)+(D270*2)+(D269*3)+(D268*4)+(D267*5)+(D266*6)+(D265*7)+(D264*8))/36</f>
        <v>805.19444444444446</v>
      </c>
      <c r="Q271" s="2"/>
      <c r="R271" s="2"/>
    </row>
    <row r="272" spans="1:18" x14ac:dyDescent="0.45">
      <c r="A272" t="s">
        <v>137</v>
      </c>
      <c r="B272" s="4">
        <v>45845</v>
      </c>
      <c r="C272" s="1">
        <f>25+33/60</f>
        <v>25.55</v>
      </c>
      <c r="D272" s="2">
        <v>1255</v>
      </c>
      <c r="E272" s="2">
        <v>0</v>
      </c>
      <c r="F272" s="2">
        <v>17086</v>
      </c>
      <c r="G272" s="2">
        <f t="shared" si="49"/>
        <v>12534.5</v>
      </c>
      <c r="I272" s="1">
        <f t="shared" si="50"/>
        <v>19.008333333333333</v>
      </c>
      <c r="J272" s="2">
        <f t="shared" si="51"/>
        <v>916.75</v>
      </c>
      <c r="L272" s="1">
        <f t="shared" si="52"/>
        <v>18.852499999999999</v>
      </c>
      <c r="M272" s="2">
        <f t="shared" si="53"/>
        <v>874.4</v>
      </c>
      <c r="O272" s="1">
        <f t="shared" si="54"/>
        <v>20.164351851851851</v>
      </c>
      <c r="P272" s="2">
        <f t="shared" si="55"/>
        <v>912.72222222222217</v>
      </c>
      <c r="Q272" s="2"/>
      <c r="R272" s="2"/>
    </row>
    <row r="273" spans="1:18" x14ac:dyDescent="0.45">
      <c r="B273" s="4">
        <v>45852</v>
      </c>
      <c r="C273" s="1">
        <f>10+53/60</f>
        <v>10.883333333333333</v>
      </c>
      <c r="D273" s="2">
        <v>368</v>
      </c>
      <c r="E273" s="2">
        <v>0</v>
      </c>
      <c r="F273" s="2">
        <v>7158</v>
      </c>
      <c r="G273" s="2">
        <f t="shared" si="49"/>
        <v>10999.25</v>
      </c>
      <c r="I273" s="1">
        <f t="shared" si="50"/>
        <v>17.55833333333333</v>
      </c>
      <c r="J273" s="2">
        <f t="shared" si="51"/>
        <v>784.75</v>
      </c>
      <c r="L273" s="1">
        <f t="shared" si="52"/>
        <v>18.239166666666669</v>
      </c>
      <c r="M273" s="2">
        <f t="shared" si="53"/>
        <v>849.15</v>
      </c>
      <c r="O273" s="1">
        <f t="shared" si="54"/>
        <v>18.803703703703704</v>
      </c>
      <c r="P273" s="2">
        <f t="shared" si="55"/>
        <v>841.02777777777783</v>
      </c>
      <c r="Q273" s="2"/>
      <c r="R273" s="2"/>
    </row>
    <row r="274" spans="1:18" x14ac:dyDescent="0.45">
      <c r="B274" s="4">
        <v>45859</v>
      </c>
      <c r="C274" s="1">
        <f>1+14/60</f>
        <v>1.2333333333333334</v>
      </c>
      <c r="D274" s="2">
        <v>35</v>
      </c>
      <c r="E274" s="2">
        <v>0</v>
      </c>
      <c r="F274" s="2">
        <v>727</v>
      </c>
      <c r="G274" s="2">
        <f t="shared" ref="G274:G276" si="56">AVERAGE(F271:F274)</f>
        <v>8596.25</v>
      </c>
      <c r="I274" s="1">
        <f t="shared" ref="I274:I276" si="57">AVERAGE(C271:C274)</f>
        <v>12.779166666666667</v>
      </c>
      <c r="J274" s="2">
        <f t="shared" ref="J274:J276" si="58">AVERAGE(D271:D274)</f>
        <v>567.5</v>
      </c>
      <c r="L274" s="1">
        <f t="shared" ref="L274:L276" si="59">((1*C267)+(2*C268)+(3*C269)+(4*C270)+(4*C271)+(3*C272)+(2*C273)+(C274))/20</f>
        <v>17.049166666666668</v>
      </c>
      <c r="M274" s="2">
        <f t="shared" ref="M274:M276" si="60">((1*D267)+(2*D268)+(3*D269)+(4*D270)+(4*D271)+(3*D272)+(2*D273)+(D274))/20</f>
        <v>792.65</v>
      </c>
      <c r="O274" s="1">
        <f t="shared" ref="O274:O276" si="61">((C274)+(C273*2)+(C272*3)+(C271*4)+(C270*5)+(C269*6)+(C268*7)+(C267*8))/36</f>
        <v>17.703240740740739</v>
      </c>
      <c r="P274" s="2">
        <f t="shared" ref="P274:P276" si="62">((D274)+(D273*2)+(D272*3)+(D271*4)+(D270*5)+(D269*6)+(D268*7)+(D267*8))/36</f>
        <v>824.88888888888891</v>
      </c>
      <c r="Q274" s="2"/>
      <c r="R274" s="2"/>
    </row>
    <row r="275" spans="1:18" x14ac:dyDescent="0.45">
      <c r="A275" t="s">
        <v>83</v>
      </c>
      <c r="B275" s="4">
        <v>45866</v>
      </c>
      <c r="C275" s="1">
        <f>15+4/60</f>
        <v>15.066666666666666</v>
      </c>
      <c r="D275" s="2">
        <v>598</v>
      </c>
      <c r="E275" s="2">
        <v>0</v>
      </c>
      <c r="F275" s="2">
        <v>8719</v>
      </c>
      <c r="G275" s="2">
        <f t="shared" si="56"/>
        <v>8422.5</v>
      </c>
      <c r="I275" s="1">
        <f t="shared" si="57"/>
        <v>13.183333333333334</v>
      </c>
      <c r="J275" s="2">
        <f t="shared" si="58"/>
        <v>564</v>
      </c>
      <c r="L275" s="1">
        <f t="shared" si="59"/>
        <v>15.955833333333331</v>
      </c>
      <c r="M275" s="2">
        <f t="shared" si="60"/>
        <v>730</v>
      </c>
      <c r="O275" s="1">
        <f t="shared" si="61"/>
        <v>16.851388888888888</v>
      </c>
      <c r="P275" s="2">
        <f t="shared" si="62"/>
        <v>788.77777777777783</v>
      </c>
      <c r="Q275" s="2"/>
      <c r="R275" s="2"/>
    </row>
    <row r="276" spans="1:18" x14ac:dyDescent="0.45">
      <c r="A276" t="s">
        <v>138</v>
      </c>
      <c r="B276" s="4">
        <v>45873</v>
      </c>
      <c r="C276" s="1">
        <f>11+50/60</f>
        <v>11.833333333333334</v>
      </c>
      <c r="D276" s="2">
        <v>441</v>
      </c>
      <c r="E276" s="2">
        <v>1</v>
      </c>
      <c r="F276" s="2">
        <v>6048</v>
      </c>
      <c r="G276" s="2">
        <f t="shared" si="56"/>
        <v>5663</v>
      </c>
      <c r="I276" s="1">
        <f t="shared" si="57"/>
        <v>9.7541666666666664</v>
      </c>
      <c r="J276" s="2">
        <f t="shared" si="58"/>
        <v>360.5</v>
      </c>
      <c r="L276" s="1">
        <f t="shared" si="59"/>
        <v>14.456666666666667</v>
      </c>
      <c r="M276" s="2">
        <f t="shared" si="60"/>
        <v>638.70000000000005</v>
      </c>
      <c r="O276" s="1">
        <f t="shared" si="61"/>
        <v>15.932407407407409</v>
      </c>
      <c r="P276" s="2">
        <f t="shared" si="62"/>
        <v>740.47222222222217</v>
      </c>
      <c r="Q276" s="2"/>
      <c r="R276" s="2"/>
    </row>
    <row r="277" spans="1:18" x14ac:dyDescent="0.45">
      <c r="B277" s="4">
        <v>45880</v>
      </c>
      <c r="C277" s="1">
        <f>22+48/60</f>
        <v>22.8</v>
      </c>
      <c r="D277" s="2">
        <v>918</v>
      </c>
      <c r="E277" s="2">
        <v>1</v>
      </c>
      <c r="F277" s="2">
        <v>15986</v>
      </c>
      <c r="G277" s="2">
        <f t="shared" ref="G277" si="63">AVERAGE(F274:F277)</f>
        <v>7870</v>
      </c>
      <c r="I277" s="1">
        <f t="shared" ref="I277" si="64">AVERAGE(C274:C277)</f>
        <v>12.733333333333334</v>
      </c>
      <c r="J277" s="2">
        <f t="shared" ref="J277" si="65">AVERAGE(D274:D277)</f>
        <v>498</v>
      </c>
      <c r="L277" s="1">
        <f t="shared" ref="L277" si="66">((1*C270)+(2*C271)+(3*C272)+(4*C273)+(4*C274)+(3*C275)+(2*C276)+(C277))/20</f>
        <v>13.201666666666664</v>
      </c>
      <c r="M277" s="2">
        <f t="shared" ref="M277" si="67">((1*D270)+(2*D271)+(3*D272)+(4*D273)+(4*D274)+(3*D275)+(2*D276)+(D277))/20</f>
        <v>554.95000000000005</v>
      </c>
      <c r="O277" s="1">
        <f t="shared" ref="O277" si="68">((C277)+(C276*2)+(C275*3)+(C274*4)+(C273*5)+(C272*6)+(C271*7)+(C270*8))/36</f>
        <v>15.59074074074074</v>
      </c>
      <c r="P277" s="2">
        <f t="shared" ref="P277" si="69">((D277)+(D276*2)+(D275*3)+(D274*4)+(D273*5)+(D272*6)+(D271*7)+(D270*8))/36</f>
        <v>683.88888888888891</v>
      </c>
      <c r="Q277" s="2"/>
      <c r="R277" s="2"/>
    </row>
    <row r="278" spans="1:18" x14ac:dyDescent="0.45">
      <c r="B278" s="4">
        <v>45887</v>
      </c>
      <c r="C278" s="1">
        <f>17+56/60</f>
        <v>17.933333333333334</v>
      </c>
      <c r="D278" s="2">
        <v>840</v>
      </c>
      <c r="E278" s="2">
        <v>1</v>
      </c>
      <c r="F278" s="2">
        <v>13814</v>
      </c>
      <c r="G278" s="2">
        <f t="shared" ref="G278" si="70">AVERAGE(F275:F278)</f>
        <v>11141.75</v>
      </c>
      <c r="I278" s="1">
        <f t="shared" ref="I278" si="71">AVERAGE(C275:C278)</f>
        <v>16.908333333333335</v>
      </c>
      <c r="J278" s="2">
        <f t="shared" ref="J278" si="72">AVERAGE(D275:D278)</f>
        <v>699.25</v>
      </c>
      <c r="L278" s="1">
        <f t="shared" ref="L278" si="73">((1*C271)+(2*C272)+(3*C273)+(4*C274)+(4*C275)+(3*C276)+(2*C277)+(C278))/20</f>
        <v>13.071666666666664</v>
      </c>
      <c r="M278" s="2">
        <f t="shared" ref="M278" si="74">((1*D271)+(2*D272)+(3*D273)+(4*D274)+(4*D275)+(3*D276)+(2*D277)+(D278))/20</f>
        <v>537.85</v>
      </c>
      <c r="O278" s="1">
        <f t="shared" ref="O278" si="75">((C278)+(C277*2)+(C276*3)+(C275*4)+(C274*5)+(C273*6)+(C272*7)+(C271*8))/36</f>
        <v>14.36712962962963</v>
      </c>
      <c r="P278" s="2">
        <f t="shared" ref="P278" si="76">((D278)+(D277*2)+(D276*3)+(D275*4)+(D274*5)+(D273*6)+(D272*7)+(D271*8))/36</f>
        <v>623.75</v>
      </c>
      <c r="Q278" s="2"/>
      <c r="R278" s="2"/>
    </row>
    <row r="279" spans="1:18" x14ac:dyDescent="0.45">
      <c r="B279" s="4">
        <v>45894</v>
      </c>
      <c r="C279" s="1">
        <f>21+53/60</f>
        <v>21.883333333333333</v>
      </c>
      <c r="D279" s="2">
        <v>1037</v>
      </c>
      <c r="E279" s="2">
        <v>0</v>
      </c>
      <c r="F279" s="2">
        <v>16762</v>
      </c>
      <c r="G279" s="2">
        <f t="shared" ref="G279" si="77">AVERAGE(F276:F279)</f>
        <v>13152.5</v>
      </c>
      <c r="I279" s="1">
        <f t="shared" ref="I279" si="78">AVERAGE(C276:C279)</f>
        <v>18.612499999999997</v>
      </c>
      <c r="J279" s="2">
        <f t="shared" ref="J279" si="79">AVERAGE(D276:D279)</f>
        <v>809</v>
      </c>
      <c r="L279" s="1">
        <f t="shared" ref="L279" si="80">((1*C272)+(2*C273)+(3*C274)+(4*C275)+(4*C276)+(3*C277)+(2*C278)+(C279))/20</f>
        <v>14.238333333333333</v>
      </c>
      <c r="M279" s="2">
        <f t="shared" ref="M279" si="81">((1*D272)+(2*D273)+(3*D274)+(4*D275)+(4*D276)+(3*D277)+(2*D278)+(D279))/20</f>
        <v>586.15</v>
      </c>
      <c r="O279" s="1">
        <f t="shared" ref="O279" si="82">((C279)+(C278*2)+(C277*3)+(C276*4)+(C275*5)+(C274*6)+(C273*7)+(C272*8))/36</f>
        <v>14.91111111111111</v>
      </c>
      <c r="P279" s="2">
        <f t="shared" ref="P279" si="83">((D279)+(D278*2)+(D277*3)+(D276*4)+(D275*5)+(D274*6)+(D273*7)+(D272*8))/36</f>
        <v>640.30555555555554</v>
      </c>
      <c r="Q279" s="2"/>
      <c r="R279" s="2"/>
    </row>
    <row r="280" spans="1:18" x14ac:dyDescent="0.45">
      <c r="B280" s="4">
        <v>45901</v>
      </c>
      <c r="C280" s="1">
        <f>17+30/60</f>
        <v>17.5</v>
      </c>
      <c r="D280" s="2">
        <v>862</v>
      </c>
      <c r="E280" s="2">
        <v>0</v>
      </c>
      <c r="F280" s="2">
        <v>10074</v>
      </c>
      <c r="G280" s="2">
        <f t="shared" ref="G280:G282" si="84">AVERAGE(F277:F280)</f>
        <v>14159</v>
      </c>
      <c r="I280" s="1">
        <f t="shared" ref="I280:I282" si="85">AVERAGE(C277:C280)</f>
        <v>20.029166666666669</v>
      </c>
      <c r="J280" s="2">
        <f t="shared" ref="J280:J282" si="86">AVERAGE(D277:D280)</f>
        <v>914.25</v>
      </c>
      <c r="L280" s="1">
        <f t="shared" ref="L280:L282" si="87">((1*C273)+(2*C274)+(3*C275)+(4*C276)+(4*C277)+(3*C278)+(2*C279)+(C280))/20</f>
        <v>15.607499999999998</v>
      </c>
      <c r="M280" s="2">
        <f t="shared" ref="M280:M282" si="88">((1*D273)+(2*D274)+(3*D275)+(4*D276)+(4*D277)+(3*D278)+(2*D279)+(D280))/20</f>
        <v>656.2</v>
      </c>
      <c r="O280" s="1">
        <f t="shared" ref="O280:O282" si="89">((C280)+(C279*2)+(C278*3)+(C277*4)+(C276*5)+(C275*6)+(C274*7)+(C273*8))/36</f>
        <v>12.542592592592593</v>
      </c>
      <c r="P280" s="2">
        <f t="shared" ref="P280:P282" si="90">((D280)+(D279*2)+(D278*3)+(D277*4)+(D276*5)+(D275*6)+(D274*7)+(D273*8))/36</f>
        <v>503.05555555555554</v>
      </c>
    </row>
    <row r="281" spans="1:18" x14ac:dyDescent="0.45">
      <c r="B281" s="4">
        <v>45908</v>
      </c>
      <c r="C281" s="1">
        <f>21+2/60</f>
        <v>21.033333333333335</v>
      </c>
      <c r="D281" s="2">
        <v>1063</v>
      </c>
      <c r="E281" s="2">
        <v>0</v>
      </c>
      <c r="F281" s="2">
        <v>16388</v>
      </c>
      <c r="G281" s="2">
        <f t="shared" si="84"/>
        <v>14259.5</v>
      </c>
      <c r="I281" s="1">
        <f t="shared" si="85"/>
        <v>19.587499999999999</v>
      </c>
      <c r="J281" s="2">
        <f t="shared" si="86"/>
        <v>950.5</v>
      </c>
      <c r="L281" s="1">
        <f t="shared" si="87"/>
        <v>17.57416666666667</v>
      </c>
      <c r="M281" s="2">
        <f t="shared" si="88"/>
        <v>774.2</v>
      </c>
      <c r="O281" s="1">
        <f t="shared" si="89"/>
        <v>13.715277777777779</v>
      </c>
      <c r="P281" s="2">
        <f t="shared" si="90"/>
        <v>582.22222222222217</v>
      </c>
    </row>
    <row r="282" spans="1:18" x14ac:dyDescent="0.45">
      <c r="B282" s="4">
        <v>45915</v>
      </c>
      <c r="C282" s="1">
        <f>20+2/60</f>
        <v>20.033333333333335</v>
      </c>
      <c r="D282" s="2">
        <v>880</v>
      </c>
      <c r="E282" s="2">
        <v>0</v>
      </c>
      <c r="F282" s="2">
        <v>15808</v>
      </c>
      <c r="G282" s="2">
        <f t="shared" si="84"/>
        <v>14758</v>
      </c>
      <c r="I282" s="1">
        <f t="shared" si="85"/>
        <v>20.112500000000001</v>
      </c>
      <c r="J282" s="2">
        <f t="shared" si="86"/>
        <v>960.5</v>
      </c>
      <c r="L282" s="1">
        <f t="shared" si="87"/>
        <v>19.05</v>
      </c>
      <c r="M282" s="2">
        <f t="shared" si="88"/>
        <v>866.7</v>
      </c>
      <c r="O282" s="1">
        <f t="shared" si="89"/>
        <v>17.55462962962963</v>
      </c>
      <c r="P282" s="2">
        <f t="shared" si="90"/>
        <v>758.86111111111109</v>
      </c>
    </row>
    <row r="283" spans="1:18" x14ac:dyDescent="0.45">
      <c r="B283" s="4"/>
      <c r="C283" s="1"/>
    </row>
    <row r="284" spans="1:18" x14ac:dyDescent="0.45">
      <c r="C284" s="1"/>
    </row>
    <row r="285" spans="1:18" x14ac:dyDescent="0.45">
      <c r="C285" s="1"/>
    </row>
    <row r="286" spans="1:18" x14ac:dyDescent="0.45">
      <c r="C286" s="1"/>
    </row>
    <row r="287" spans="1:18" x14ac:dyDescent="0.45">
      <c r="C287" s="1"/>
    </row>
    <row r="288" spans="1:18" x14ac:dyDescent="0.45">
      <c r="C288" s="1"/>
    </row>
    <row r="289" spans="3:3" x14ac:dyDescent="0.45">
      <c r="C289" s="1"/>
    </row>
    <row r="290" spans="3:3" x14ac:dyDescent="0.45">
      <c r="C290" s="1"/>
    </row>
    <row r="291" spans="3:3" x14ac:dyDescent="0.45">
      <c r="C291" s="1"/>
    </row>
    <row r="292" spans="3:3" x14ac:dyDescent="0.45">
      <c r="C292" s="1"/>
    </row>
    <row r="293" spans="3:3" x14ac:dyDescent="0.45">
      <c r="C293" s="1"/>
    </row>
    <row r="294" spans="3:3" x14ac:dyDescent="0.45">
      <c r="C294" s="1"/>
    </row>
    <row r="295" spans="3:3" x14ac:dyDescent="0.45">
      <c r="C295" s="1"/>
    </row>
    <row r="296" spans="3:3" x14ac:dyDescent="0.45">
      <c r="C296" s="1"/>
    </row>
    <row r="297" spans="3:3" x14ac:dyDescent="0.45">
      <c r="C297" s="1"/>
    </row>
    <row r="298" spans="3:3" x14ac:dyDescent="0.45">
      <c r="C298" s="1"/>
    </row>
    <row r="299" spans="3:3" x14ac:dyDescent="0.45">
      <c r="C299" s="1"/>
    </row>
    <row r="300" spans="3:3" x14ac:dyDescent="0.45">
      <c r="C300" s="1"/>
    </row>
    <row r="301" spans="3:3" x14ac:dyDescent="0.45">
      <c r="C301" s="1"/>
    </row>
    <row r="302" spans="3:3" x14ac:dyDescent="0.45">
      <c r="C302" s="1"/>
    </row>
    <row r="303" spans="3:3" x14ac:dyDescent="0.45">
      <c r="C303" s="1"/>
    </row>
    <row r="304" spans="3:3" x14ac:dyDescent="0.45">
      <c r="C304" s="1"/>
    </row>
    <row r="305" spans="3:3" x14ac:dyDescent="0.45">
      <c r="C305" s="1"/>
    </row>
    <row r="306" spans="3:3" x14ac:dyDescent="0.45">
      <c r="C306" s="1"/>
    </row>
    <row r="307" spans="3:3" x14ac:dyDescent="0.45">
      <c r="C307" s="1"/>
    </row>
    <row r="308" spans="3:3" x14ac:dyDescent="0.45">
      <c r="C308" s="1"/>
    </row>
    <row r="309" spans="3:3" x14ac:dyDescent="0.45">
      <c r="C309" s="1"/>
    </row>
    <row r="310" spans="3:3" x14ac:dyDescent="0.45">
      <c r="C310" s="1"/>
    </row>
    <row r="311" spans="3:3" x14ac:dyDescent="0.45">
      <c r="C311" s="1"/>
    </row>
    <row r="312" spans="3:3" x14ac:dyDescent="0.45">
      <c r="C312" s="1"/>
    </row>
    <row r="313" spans="3:3" x14ac:dyDescent="0.45">
      <c r="C313" s="1"/>
    </row>
    <row r="314" spans="3:3" x14ac:dyDescent="0.45">
      <c r="C314" s="1"/>
    </row>
    <row r="315" spans="3:3" x14ac:dyDescent="0.45">
      <c r="C315" s="1"/>
    </row>
    <row r="316" spans="3:3" x14ac:dyDescent="0.45">
      <c r="C316" s="1"/>
    </row>
    <row r="317" spans="3:3" x14ac:dyDescent="0.45">
      <c r="C317" s="1"/>
    </row>
    <row r="318" spans="3:3" x14ac:dyDescent="0.45">
      <c r="C318" s="1"/>
    </row>
    <row r="319" spans="3:3" x14ac:dyDescent="0.45">
      <c r="C319" s="1"/>
    </row>
    <row r="320" spans="3:3" x14ac:dyDescent="0.45">
      <c r="C320" s="1"/>
    </row>
  </sheetData>
  <conditionalFormatting sqref="G5:G282">
    <cfRule type="colorScale" priority="1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I5:I282">
    <cfRule type="colorScale" priority="19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J5:J282">
    <cfRule type="colorScale" priority="18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L9:L282">
    <cfRule type="colorScale" priority="17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M282">
    <cfRule type="colorScale" priority="16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O13:O282">
    <cfRule type="colorScale" priority="13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O13:P282">
    <cfRule type="colorScale" priority="14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3:P282">
    <cfRule type="colorScale" priority="12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312"/>
  <sheetViews>
    <sheetView zoomScale="85" zoomScaleNormal="85" workbookViewId="0">
      <pane ySplit="1" topLeftCell="A272" activePane="bottomLeft" state="frozen"/>
      <selection pane="bottomLeft" activeCell="G287" sqref="G287:P290"/>
    </sheetView>
  </sheetViews>
  <sheetFormatPr defaultRowHeight="14.25" x14ac:dyDescent="0.45"/>
  <cols>
    <col min="1" max="1" width="25.265625" customWidth="1"/>
    <col min="2" max="2" width="12.265625" customWidth="1"/>
    <col min="3" max="3" width="11.59765625" customWidth="1"/>
    <col min="6" max="6" width="9.265625" customWidth="1"/>
    <col min="7" max="7" width="11.1328125" customWidth="1"/>
    <col min="8" max="8" width="1.3984375" customWidth="1"/>
    <col min="9" max="9" width="12.73046875" customWidth="1"/>
    <col min="10" max="10" width="10.1328125" customWidth="1"/>
    <col min="11" max="11" width="1.3984375" customWidth="1"/>
    <col min="12" max="12" width="16.1328125" customWidth="1"/>
    <col min="13" max="13" width="19" customWidth="1"/>
    <col min="14" max="14" width="1.73046875" customWidth="1"/>
    <col min="15" max="15" width="10.86328125" customWidth="1"/>
    <col min="16" max="18" width="12.86328125" customWidth="1"/>
    <col min="19" max="19" width="10" customWidth="1"/>
    <col min="20" max="20" width="13" customWidth="1"/>
    <col min="21" max="23" width="9.1328125" customWidth="1"/>
    <col min="24" max="24" width="11" customWidth="1"/>
    <col min="25" max="25" width="1.1328125" customWidth="1"/>
    <col min="26" max="26" width="11.265625" customWidth="1"/>
    <col min="27" max="27" width="9.1328125" customWidth="1"/>
    <col min="28" max="28" width="1.265625" customWidth="1"/>
    <col min="29" max="29" width="17.1328125" customWidth="1"/>
    <col min="30" max="30" width="18.59765625" customWidth="1"/>
    <col min="31" max="31" width="1.3984375" customWidth="1"/>
    <col min="32" max="32" width="11.1328125" customWidth="1"/>
    <col min="33" max="33" width="12.265625" customWidth="1"/>
  </cols>
  <sheetData>
    <row r="1" spans="1:18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  <c r="Q1" s="3"/>
      <c r="R1" s="3"/>
    </row>
    <row r="2" spans="1:18" x14ac:dyDescent="0.45">
      <c r="A2" t="s">
        <v>10</v>
      </c>
      <c r="B2" s="4">
        <v>43899</v>
      </c>
      <c r="C2" s="1">
        <v>11.33</v>
      </c>
      <c r="D2">
        <v>556</v>
      </c>
      <c r="E2">
        <v>1</v>
      </c>
      <c r="F2">
        <v>8720</v>
      </c>
      <c r="G2" s="5"/>
      <c r="I2" s="9"/>
      <c r="J2" s="6"/>
      <c r="K2" s="2"/>
      <c r="L2" s="5"/>
      <c r="M2" s="6"/>
      <c r="N2" s="7"/>
      <c r="O2" s="6"/>
      <c r="P2" s="6"/>
      <c r="Q2" s="6"/>
      <c r="R2" s="6"/>
    </row>
    <row r="3" spans="1:18" x14ac:dyDescent="0.45">
      <c r="B3" s="4">
        <v>43906</v>
      </c>
      <c r="C3" s="1">
        <v>18.5</v>
      </c>
      <c r="D3">
        <v>883</v>
      </c>
      <c r="E3">
        <v>2</v>
      </c>
      <c r="F3">
        <v>13818</v>
      </c>
    </row>
    <row r="4" spans="1:18" x14ac:dyDescent="0.45">
      <c r="A4" t="s">
        <v>11</v>
      </c>
      <c r="B4" s="4">
        <v>43913</v>
      </c>
      <c r="C4" s="1">
        <v>10.66</v>
      </c>
      <c r="D4">
        <v>655</v>
      </c>
      <c r="E4">
        <v>2</v>
      </c>
      <c r="F4">
        <v>8236</v>
      </c>
    </row>
    <row r="5" spans="1:18" x14ac:dyDescent="0.45">
      <c r="B5" s="4">
        <v>43920</v>
      </c>
      <c r="C5" s="1">
        <v>15.5</v>
      </c>
      <c r="D5">
        <v>841</v>
      </c>
      <c r="E5">
        <v>1</v>
      </c>
      <c r="F5">
        <v>11704</v>
      </c>
      <c r="G5" s="2">
        <f>AVERAGE(F2:F5)</f>
        <v>10619.5</v>
      </c>
      <c r="I5" s="1">
        <f t="shared" ref="I5:I68" si="0">AVERAGE(C2:C5)</f>
        <v>13.997499999999999</v>
      </c>
      <c r="J5" s="2">
        <f t="shared" ref="J5:J68" si="1">AVERAGE(D2:D5)</f>
        <v>733.75</v>
      </c>
    </row>
    <row r="6" spans="1:18" x14ac:dyDescent="0.45">
      <c r="B6" s="4">
        <v>43927</v>
      </c>
      <c r="C6" s="1">
        <v>15.75</v>
      </c>
      <c r="D6">
        <v>925</v>
      </c>
      <c r="E6">
        <v>2</v>
      </c>
      <c r="F6">
        <v>12312</v>
      </c>
      <c r="G6" s="2">
        <f t="shared" ref="G6:G69" si="2">AVERAGE(F3:F6)</f>
        <v>11517.5</v>
      </c>
      <c r="I6" s="1">
        <f t="shared" si="0"/>
        <v>15.102499999999999</v>
      </c>
      <c r="J6" s="2">
        <f t="shared" si="1"/>
        <v>826</v>
      </c>
    </row>
    <row r="7" spans="1:18" x14ac:dyDescent="0.45">
      <c r="B7" s="4">
        <v>43934</v>
      </c>
      <c r="C7" s="1">
        <v>14</v>
      </c>
      <c r="D7">
        <v>898</v>
      </c>
      <c r="E7">
        <v>2</v>
      </c>
      <c r="F7">
        <v>11959</v>
      </c>
      <c r="G7" s="2">
        <f t="shared" si="2"/>
        <v>11052.75</v>
      </c>
      <c r="I7" s="1">
        <f t="shared" si="0"/>
        <v>13.977499999999999</v>
      </c>
      <c r="J7" s="2">
        <f t="shared" si="1"/>
        <v>829.75</v>
      </c>
    </row>
    <row r="8" spans="1:18" x14ac:dyDescent="0.45">
      <c r="A8" t="s">
        <v>12</v>
      </c>
      <c r="B8" s="4">
        <v>43941</v>
      </c>
      <c r="C8" s="1">
        <v>16.25</v>
      </c>
      <c r="D8">
        <v>944</v>
      </c>
      <c r="E8">
        <v>2</v>
      </c>
      <c r="F8">
        <v>12425</v>
      </c>
      <c r="G8" s="2">
        <f t="shared" si="2"/>
        <v>12100</v>
      </c>
      <c r="I8" s="1">
        <f t="shared" si="0"/>
        <v>15.375</v>
      </c>
      <c r="J8" s="2">
        <f t="shared" si="1"/>
        <v>902</v>
      </c>
    </row>
    <row r="9" spans="1:18" x14ac:dyDescent="0.45">
      <c r="B9" s="4">
        <v>43948</v>
      </c>
      <c r="C9" s="1">
        <v>12.33</v>
      </c>
      <c r="D9">
        <v>552</v>
      </c>
      <c r="E9">
        <v>2</v>
      </c>
      <c r="F9">
        <v>8248</v>
      </c>
      <c r="G9" s="2">
        <f t="shared" si="2"/>
        <v>11236</v>
      </c>
      <c r="I9" s="1">
        <f t="shared" si="0"/>
        <v>14.5825</v>
      </c>
      <c r="J9" s="2">
        <f t="shared" si="1"/>
        <v>829.75</v>
      </c>
      <c r="L9" s="1">
        <f t="shared" ref="L9:L72" si="3">((1*C2)+(2*C3)+(3*C4)+(4*C5)+(4*C6)+(3*C7)+(2*C8)+(C9))/20</f>
        <v>14.606999999999999</v>
      </c>
      <c r="M9" s="2">
        <f t="shared" ref="M9:M72" si="4">((1*D2)+(2*D3)+(3*D4)+(4*D5)+(4*D6)+(3*D7)+(2*D8)+(D9))/20</f>
        <v>824.25</v>
      </c>
      <c r="N9" s="2"/>
    </row>
    <row r="10" spans="1:18" x14ac:dyDescent="0.45">
      <c r="A10" s="12">
        <v>5040</v>
      </c>
      <c r="B10" s="4">
        <v>43955</v>
      </c>
      <c r="C10" s="1">
        <v>18.5</v>
      </c>
      <c r="D10">
        <v>1042</v>
      </c>
      <c r="E10">
        <v>2</v>
      </c>
      <c r="F10">
        <v>13327</v>
      </c>
      <c r="G10" s="2">
        <f t="shared" si="2"/>
        <v>11489.75</v>
      </c>
      <c r="I10" s="1">
        <f t="shared" si="0"/>
        <v>15.27</v>
      </c>
      <c r="J10" s="2">
        <f t="shared" si="1"/>
        <v>859</v>
      </c>
      <c r="L10" s="1">
        <f t="shared" si="3"/>
        <v>14.861500000000001</v>
      </c>
      <c r="M10" s="2">
        <f t="shared" si="4"/>
        <v>849.3</v>
      </c>
      <c r="N10" s="2"/>
    </row>
    <row r="11" spans="1:18" x14ac:dyDescent="0.45">
      <c r="A11" s="12">
        <v>11708</v>
      </c>
      <c r="B11" s="4">
        <v>43962</v>
      </c>
      <c r="C11" s="1">
        <v>18.329999999999998</v>
      </c>
      <c r="D11">
        <v>1068</v>
      </c>
      <c r="E11">
        <v>2</v>
      </c>
      <c r="F11">
        <v>15265</v>
      </c>
      <c r="G11" s="2">
        <f t="shared" si="2"/>
        <v>12316.25</v>
      </c>
      <c r="I11" s="1">
        <f t="shared" si="0"/>
        <v>16.352499999999999</v>
      </c>
      <c r="J11" s="2">
        <f t="shared" si="1"/>
        <v>901.5</v>
      </c>
      <c r="L11" s="1">
        <f t="shared" si="3"/>
        <v>15.111499999999998</v>
      </c>
      <c r="M11" s="2">
        <f t="shared" si="4"/>
        <v>864.4</v>
      </c>
      <c r="N11" s="2"/>
      <c r="O11" s="1"/>
      <c r="P11" s="1"/>
      <c r="Q11" s="1"/>
      <c r="R11" s="1"/>
    </row>
    <row r="12" spans="1:18" x14ac:dyDescent="0.45">
      <c r="A12" s="12">
        <v>18375</v>
      </c>
      <c r="B12" s="4">
        <v>43969</v>
      </c>
      <c r="C12" s="1">
        <v>19</v>
      </c>
      <c r="D12">
        <v>1003</v>
      </c>
      <c r="E12">
        <v>2</v>
      </c>
      <c r="F12">
        <v>12690</v>
      </c>
      <c r="G12" s="2">
        <f t="shared" si="2"/>
        <v>12382.5</v>
      </c>
      <c r="I12" s="1">
        <f t="shared" si="0"/>
        <v>17.04</v>
      </c>
      <c r="J12" s="2">
        <f t="shared" si="1"/>
        <v>916.25</v>
      </c>
      <c r="L12" s="1">
        <f t="shared" si="3"/>
        <v>15.724</v>
      </c>
      <c r="M12" s="2">
        <f t="shared" si="4"/>
        <v>881.7</v>
      </c>
      <c r="N12" s="2"/>
      <c r="O12" s="1"/>
      <c r="P12" s="1"/>
      <c r="Q12" s="1"/>
      <c r="R12" s="1"/>
    </row>
    <row r="13" spans="1:18" x14ac:dyDescent="0.45">
      <c r="B13" s="4">
        <v>43976</v>
      </c>
      <c r="C13" s="1">
        <v>22.75</v>
      </c>
      <c r="D13">
        <v>186</v>
      </c>
      <c r="E13">
        <v>2</v>
      </c>
      <c r="F13">
        <v>15851</v>
      </c>
      <c r="G13" s="2">
        <f t="shared" si="2"/>
        <v>14283.25</v>
      </c>
      <c r="I13" s="1">
        <f t="shared" si="0"/>
        <v>19.645</v>
      </c>
      <c r="J13" s="2">
        <f t="shared" si="1"/>
        <v>824.75</v>
      </c>
      <c r="L13" s="1">
        <f t="shared" si="3"/>
        <v>16.577999999999999</v>
      </c>
      <c r="M13" s="2">
        <f t="shared" si="4"/>
        <v>866.25</v>
      </c>
      <c r="N13" s="2"/>
      <c r="O13" s="1">
        <f t="shared" ref="O13:O76" si="5">((C13)+(C12*2)+(C11*3)+(C10*4)+(C9*5)+(C8*6)+(C7*7)+(C6*8))/36</f>
        <v>15.913611111111111</v>
      </c>
      <c r="P13" s="2">
        <f t="shared" ref="P13:P76" si="6">((D13)+(D12*2)+(D11*3)+(D10*4)+(D9*5)+(D8*6)+(D7*7)+(D6*8))/36</f>
        <v>879.83333333333337</v>
      </c>
      <c r="Q13" s="2"/>
      <c r="R13" s="2"/>
    </row>
    <row r="14" spans="1:18" x14ac:dyDescent="0.45">
      <c r="B14" s="4">
        <v>43983</v>
      </c>
      <c r="C14" s="1">
        <v>8.66</v>
      </c>
      <c r="D14">
        <v>415</v>
      </c>
      <c r="E14">
        <v>2</v>
      </c>
      <c r="F14">
        <v>6074</v>
      </c>
      <c r="G14" s="2">
        <f t="shared" si="2"/>
        <v>12470</v>
      </c>
      <c r="I14" s="1">
        <f t="shared" si="0"/>
        <v>17.184999999999999</v>
      </c>
      <c r="J14" s="2">
        <f t="shared" si="1"/>
        <v>668</v>
      </c>
      <c r="L14" s="1">
        <f t="shared" si="3"/>
        <v>17.098500000000001</v>
      </c>
      <c r="M14" s="2">
        <f t="shared" si="4"/>
        <v>833.9</v>
      </c>
      <c r="N14" s="2"/>
      <c r="O14" s="1">
        <f t="shared" si="5"/>
        <v>16.019722222222224</v>
      </c>
      <c r="P14" s="2">
        <f t="shared" si="6"/>
        <v>843.94444444444446</v>
      </c>
      <c r="Q14" s="2"/>
      <c r="R14" s="2"/>
    </row>
    <row r="15" spans="1:18" x14ac:dyDescent="0.45">
      <c r="B15" s="4">
        <v>43990</v>
      </c>
      <c r="C15" s="1">
        <v>17.75</v>
      </c>
      <c r="D15">
        <v>811</v>
      </c>
      <c r="E15">
        <v>2</v>
      </c>
      <c r="F15">
        <v>12210</v>
      </c>
      <c r="G15" s="2">
        <f t="shared" si="2"/>
        <v>11706.25</v>
      </c>
      <c r="I15" s="1">
        <f t="shared" si="0"/>
        <v>17.04</v>
      </c>
      <c r="J15" s="2">
        <f t="shared" si="1"/>
        <v>603.75</v>
      </c>
      <c r="L15" s="1">
        <f t="shared" si="3"/>
        <v>17.452500000000001</v>
      </c>
      <c r="M15" s="2">
        <f t="shared" si="4"/>
        <v>782.85</v>
      </c>
      <c r="N15" s="2"/>
      <c r="O15" s="1">
        <f t="shared" si="5"/>
        <v>16.61888888888889</v>
      </c>
      <c r="P15" s="2">
        <f t="shared" si="6"/>
        <v>811.63888888888891</v>
      </c>
      <c r="Q15" s="2"/>
      <c r="R15" s="2"/>
    </row>
    <row r="16" spans="1:18" x14ac:dyDescent="0.45">
      <c r="B16" s="4">
        <v>43997</v>
      </c>
      <c r="C16" s="1">
        <v>17.5</v>
      </c>
      <c r="D16">
        <v>858</v>
      </c>
      <c r="E16">
        <v>2</v>
      </c>
      <c r="F16">
        <v>11300</v>
      </c>
      <c r="G16" s="2">
        <f t="shared" si="2"/>
        <v>11358.75</v>
      </c>
      <c r="I16" s="1">
        <f t="shared" si="0"/>
        <v>16.664999999999999</v>
      </c>
      <c r="J16" s="2">
        <f t="shared" si="1"/>
        <v>567.5</v>
      </c>
      <c r="L16" s="1">
        <f t="shared" si="3"/>
        <v>17.515000000000001</v>
      </c>
      <c r="M16" s="2">
        <f t="shared" si="4"/>
        <v>716.05</v>
      </c>
      <c r="N16" s="2"/>
      <c r="O16" s="1">
        <f t="shared" si="5"/>
        <v>16.75277777777778</v>
      </c>
      <c r="P16" s="2">
        <f t="shared" si="6"/>
        <v>766.72222222222217</v>
      </c>
      <c r="Q16" s="2"/>
      <c r="R16" s="2"/>
    </row>
    <row r="17" spans="2:18" x14ac:dyDescent="0.45">
      <c r="B17" s="4">
        <v>44004</v>
      </c>
      <c r="C17" s="1">
        <v>17</v>
      </c>
      <c r="D17">
        <v>965</v>
      </c>
      <c r="E17">
        <v>3</v>
      </c>
      <c r="F17">
        <v>13005</v>
      </c>
      <c r="G17" s="2">
        <f t="shared" si="2"/>
        <v>10647.25</v>
      </c>
      <c r="I17" s="1">
        <f t="shared" si="0"/>
        <v>15.227499999999999</v>
      </c>
      <c r="J17" s="2">
        <f t="shared" si="1"/>
        <v>762.25</v>
      </c>
      <c r="L17" s="1">
        <f t="shared" si="3"/>
        <v>17.1525</v>
      </c>
      <c r="M17" s="2">
        <f t="shared" si="4"/>
        <v>685.25</v>
      </c>
      <c r="N17" s="2"/>
      <c r="O17" s="1">
        <f t="shared" si="5"/>
        <v>17.887500000000003</v>
      </c>
      <c r="P17" s="2">
        <f t="shared" si="6"/>
        <v>820.38888888888891</v>
      </c>
      <c r="Q17" s="2"/>
      <c r="R17" s="2"/>
    </row>
    <row r="18" spans="2:18" x14ac:dyDescent="0.45">
      <c r="B18" s="4">
        <v>44011</v>
      </c>
      <c r="C18" s="1">
        <v>14.75</v>
      </c>
      <c r="D18">
        <v>744</v>
      </c>
      <c r="E18">
        <v>2</v>
      </c>
      <c r="F18">
        <v>10202</v>
      </c>
      <c r="G18" s="2">
        <f t="shared" si="2"/>
        <v>11679.25</v>
      </c>
      <c r="I18" s="1">
        <f t="shared" si="0"/>
        <v>16.75</v>
      </c>
      <c r="J18" s="2">
        <f t="shared" si="1"/>
        <v>844.5</v>
      </c>
      <c r="L18" s="1">
        <f t="shared" si="3"/>
        <v>16.573500000000003</v>
      </c>
      <c r="M18" s="2">
        <f t="shared" si="4"/>
        <v>689.2</v>
      </c>
      <c r="N18" s="2"/>
      <c r="O18" s="1">
        <f t="shared" si="5"/>
        <v>17.546944444444446</v>
      </c>
      <c r="P18" s="2">
        <f t="shared" si="6"/>
        <v>756.88888888888891</v>
      </c>
      <c r="Q18" s="2"/>
      <c r="R18" s="2"/>
    </row>
    <row r="19" spans="2:18" x14ac:dyDescent="0.45">
      <c r="B19" s="4">
        <v>44018</v>
      </c>
      <c r="C19" s="1">
        <v>12</v>
      </c>
      <c r="D19">
        <v>714</v>
      </c>
      <c r="E19">
        <v>2</v>
      </c>
      <c r="F19">
        <v>8149</v>
      </c>
      <c r="G19" s="2">
        <f t="shared" si="2"/>
        <v>10664</v>
      </c>
      <c r="I19" s="1">
        <f t="shared" si="0"/>
        <v>15.3125</v>
      </c>
      <c r="J19" s="2">
        <f t="shared" si="1"/>
        <v>820.25</v>
      </c>
      <c r="L19" s="1">
        <f t="shared" si="3"/>
        <v>16.199000000000002</v>
      </c>
      <c r="M19" s="2">
        <f t="shared" si="4"/>
        <v>719.65</v>
      </c>
      <c r="N19" s="2"/>
      <c r="O19" s="1">
        <f t="shared" si="5"/>
        <v>17.068333333333335</v>
      </c>
      <c r="P19" s="2">
        <f t="shared" si="6"/>
        <v>677.77777777777783</v>
      </c>
      <c r="Q19" s="2"/>
      <c r="R19" s="2"/>
    </row>
    <row r="20" spans="2:18" x14ac:dyDescent="0.45">
      <c r="B20" s="4">
        <v>44025</v>
      </c>
      <c r="C20" s="1">
        <v>10</v>
      </c>
      <c r="D20">
        <v>686</v>
      </c>
      <c r="E20">
        <v>1</v>
      </c>
      <c r="F20">
        <v>8044</v>
      </c>
      <c r="G20" s="2">
        <f t="shared" si="2"/>
        <v>9850</v>
      </c>
      <c r="I20" s="1">
        <f t="shared" si="0"/>
        <v>13.4375</v>
      </c>
      <c r="J20" s="2">
        <f t="shared" si="1"/>
        <v>777.25</v>
      </c>
      <c r="L20" s="1">
        <f t="shared" si="3"/>
        <v>15.4785</v>
      </c>
      <c r="M20" s="2">
        <f t="shared" si="4"/>
        <v>754.35</v>
      </c>
      <c r="N20" s="2"/>
      <c r="O20" s="1">
        <f t="shared" si="5"/>
        <v>16.190833333333334</v>
      </c>
      <c r="P20" s="2">
        <f t="shared" si="6"/>
        <v>604.30555555555554</v>
      </c>
      <c r="Q20" s="2"/>
      <c r="R20" s="2"/>
    </row>
    <row r="21" spans="2:18" x14ac:dyDescent="0.45">
      <c r="B21" s="4">
        <v>44032</v>
      </c>
      <c r="C21" s="1">
        <v>15</v>
      </c>
      <c r="D21">
        <v>796</v>
      </c>
      <c r="E21">
        <v>2</v>
      </c>
      <c r="F21">
        <v>9457</v>
      </c>
      <c r="G21" s="2">
        <f t="shared" si="2"/>
        <v>8963</v>
      </c>
      <c r="I21" s="1">
        <f t="shared" si="0"/>
        <v>12.9375</v>
      </c>
      <c r="J21" s="2">
        <f t="shared" si="1"/>
        <v>735</v>
      </c>
      <c r="L21" s="1">
        <f t="shared" si="3"/>
        <v>14.732999999999999</v>
      </c>
      <c r="M21" s="2">
        <f t="shared" si="4"/>
        <v>787.85</v>
      </c>
      <c r="N21" s="2"/>
      <c r="O21" s="1">
        <f t="shared" si="5"/>
        <v>14.264722222222222</v>
      </c>
      <c r="P21" s="2">
        <f t="shared" si="6"/>
        <v>729.33333333333337</v>
      </c>
      <c r="Q21" s="2"/>
      <c r="R21" s="2"/>
    </row>
    <row r="22" spans="2:18" x14ac:dyDescent="0.45">
      <c r="B22" s="4">
        <v>44039</v>
      </c>
      <c r="C22" s="1">
        <v>20.329999999999998</v>
      </c>
      <c r="D22">
        <v>978</v>
      </c>
      <c r="E22">
        <v>2</v>
      </c>
      <c r="F22">
        <v>12575</v>
      </c>
      <c r="G22" s="2">
        <f t="shared" si="2"/>
        <v>9556.25</v>
      </c>
      <c r="I22" s="1">
        <f t="shared" si="0"/>
        <v>14.3325</v>
      </c>
      <c r="J22" s="2">
        <f t="shared" si="1"/>
        <v>793.5</v>
      </c>
      <c r="L22" s="1">
        <f t="shared" si="3"/>
        <v>14.553999999999998</v>
      </c>
      <c r="M22" s="2">
        <f t="shared" si="4"/>
        <v>794.1</v>
      </c>
      <c r="N22" s="2"/>
      <c r="O22" s="1">
        <f t="shared" si="5"/>
        <v>15.793888888888887</v>
      </c>
      <c r="P22" s="2">
        <f t="shared" si="6"/>
        <v>819.11111111111109</v>
      </c>
      <c r="Q22" s="2"/>
      <c r="R22" s="2"/>
    </row>
    <row r="23" spans="2:18" x14ac:dyDescent="0.45">
      <c r="B23" s="4">
        <v>44046</v>
      </c>
      <c r="C23" s="1">
        <v>14.33</v>
      </c>
      <c r="D23">
        <v>789</v>
      </c>
      <c r="E23">
        <v>2</v>
      </c>
      <c r="F23">
        <v>9596</v>
      </c>
      <c r="G23" s="2">
        <f t="shared" si="2"/>
        <v>9918</v>
      </c>
      <c r="I23" s="1">
        <f t="shared" si="0"/>
        <v>14.914999999999999</v>
      </c>
      <c r="J23" s="2">
        <f t="shared" si="1"/>
        <v>812.25</v>
      </c>
      <c r="L23" s="1">
        <f t="shared" si="3"/>
        <v>14.186999999999998</v>
      </c>
      <c r="M23" s="2">
        <f t="shared" si="4"/>
        <v>787.65</v>
      </c>
      <c r="N23" s="2"/>
      <c r="O23" s="1">
        <f t="shared" si="5"/>
        <v>15.208055555555555</v>
      </c>
      <c r="P23" s="2">
        <f t="shared" si="6"/>
        <v>820.27777777777783</v>
      </c>
      <c r="Q23" s="2"/>
      <c r="R23" s="2"/>
    </row>
    <row r="24" spans="2:18" x14ac:dyDescent="0.45">
      <c r="B24" s="4">
        <v>44053</v>
      </c>
      <c r="C24" s="1">
        <v>8</v>
      </c>
      <c r="D24">
        <v>523</v>
      </c>
      <c r="E24">
        <v>0</v>
      </c>
      <c r="F24">
        <v>4774</v>
      </c>
      <c r="G24" s="2">
        <f t="shared" si="2"/>
        <v>9100.5</v>
      </c>
      <c r="I24" s="1">
        <f t="shared" si="0"/>
        <v>14.414999999999999</v>
      </c>
      <c r="J24" s="2">
        <f t="shared" si="1"/>
        <v>771.5</v>
      </c>
      <c r="L24" s="1">
        <f t="shared" si="3"/>
        <v>14.007500000000002</v>
      </c>
      <c r="M24" s="2">
        <f t="shared" si="4"/>
        <v>777.9</v>
      </c>
      <c r="N24" s="2"/>
      <c r="O24" s="1">
        <f t="shared" si="5"/>
        <v>14.413888888888888</v>
      </c>
      <c r="P24" s="2">
        <f t="shared" si="6"/>
        <v>801.69444444444446</v>
      </c>
      <c r="Q24" s="2"/>
      <c r="R24" s="2"/>
    </row>
    <row r="25" spans="2:18" x14ac:dyDescent="0.45">
      <c r="B25" s="4">
        <v>44060</v>
      </c>
      <c r="C25" s="1">
        <v>0</v>
      </c>
      <c r="D25">
        <v>0</v>
      </c>
      <c r="E25">
        <v>0</v>
      </c>
      <c r="F25">
        <v>0</v>
      </c>
      <c r="G25" s="2">
        <f t="shared" si="2"/>
        <v>6736.25</v>
      </c>
      <c r="I25" s="1">
        <f t="shared" si="0"/>
        <v>10.664999999999999</v>
      </c>
      <c r="J25" s="2">
        <f t="shared" si="1"/>
        <v>572.5</v>
      </c>
      <c r="L25" s="1">
        <f t="shared" si="3"/>
        <v>13.452999999999999</v>
      </c>
      <c r="M25" s="2">
        <f t="shared" si="4"/>
        <v>736.95</v>
      </c>
      <c r="N25" s="2"/>
      <c r="O25" s="1">
        <f t="shared" si="5"/>
        <v>13.258611111111112</v>
      </c>
      <c r="P25" s="2">
        <f t="shared" si="6"/>
        <v>732.52777777777783</v>
      </c>
      <c r="Q25" s="2"/>
      <c r="R25" s="2"/>
    </row>
    <row r="26" spans="2:18" x14ac:dyDescent="0.45">
      <c r="B26" s="4">
        <v>44067</v>
      </c>
      <c r="C26" s="1">
        <v>0</v>
      </c>
      <c r="D26">
        <v>0</v>
      </c>
      <c r="E26">
        <v>0</v>
      </c>
      <c r="F26">
        <v>0</v>
      </c>
      <c r="G26" s="2">
        <f t="shared" si="2"/>
        <v>3592.5</v>
      </c>
      <c r="I26" s="1">
        <f t="shared" si="0"/>
        <v>5.5824999999999996</v>
      </c>
      <c r="J26" s="2">
        <f t="shared" si="1"/>
        <v>328</v>
      </c>
      <c r="L26" s="1">
        <f t="shared" si="3"/>
        <v>11.981999999999999</v>
      </c>
      <c r="M26" s="2">
        <f t="shared" si="4"/>
        <v>655.55</v>
      </c>
      <c r="N26" s="2"/>
      <c r="O26" s="1">
        <f t="shared" si="5"/>
        <v>12.19361111111111</v>
      </c>
      <c r="P26" s="2">
        <f t="shared" si="6"/>
        <v>691.80555555555554</v>
      </c>
      <c r="Q26" s="2"/>
      <c r="R26" s="2"/>
    </row>
    <row r="27" spans="2:18" x14ac:dyDescent="0.45">
      <c r="B27" s="4">
        <v>44074</v>
      </c>
      <c r="C27" s="1">
        <v>16.25</v>
      </c>
      <c r="D27">
        <v>626</v>
      </c>
      <c r="E27">
        <v>2</v>
      </c>
      <c r="F27">
        <v>11106</v>
      </c>
      <c r="G27" s="2">
        <f t="shared" si="2"/>
        <v>3970</v>
      </c>
      <c r="I27" s="1">
        <f t="shared" si="0"/>
        <v>6.0625</v>
      </c>
      <c r="J27" s="2">
        <f t="shared" si="1"/>
        <v>287.25</v>
      </c>
      <c r="L27" s="1">
        <f t="shared" si="3"/>
        <v>10.327999999999999</v>
      </c>
      <c r="M27" s="2">
        <f t="shared" si="4"/>
        <v>554.29999999999995</v>
      </c>
      <c r="N27" s="2"/>
      <c r="O27" s="1">
        <f t="shared" si="5"/>
        <v>11.857777777777777</v>
      </c>
      <c r="P27" s="2">
        <f t="shared" si="6"/>
        <v>655.30555555555554</v>
      </c>
      <c r="Q27" s="2"/>
      <c r="R27" s="2"/>
    </row>
    <row r="28" spans="2:18" x14ac:dyDescent="0.45">
      <c r="B28" s="4">
        <v>44081</v>
      </c>
      <c r="C28" s="1">
        <v>20.5</v>
      </c>
      <c r="D28">
        <v>1002</v>
      </c>
      <c r="E28">
        <v>2</v>
      </c>
      <c r="F28">
        <v>15934</v>
      </c>
      <c r="G28" s="2">
        <f t="shared" si="2"/>
        <v>6760</v>
      </c>
      <c r="I28" s="1">
        <f t="shared" si="0"/>
        <v>9.1875</v>
      </c>
      <c r="J28" s="2">
        <f t="shared" si="1"/>
        <v>407</v>
      </c>
      <c r="L28" s="1">
        <f t="shared" si="3"/>
        <v>9.182500000000001</v>
      </c>
      <c r="M28" s="2">
        <f t="shared" si="4"/>
        <v>473.25</v>
      </c>
      <c r="N28" s="2"/>
      <c r="O28" s="1">
        <f t="shared" si="5"/>
        <v>12.258055555555556</v>
      </c>
      <c r="P28" s="2">
        <f t="shared" si="6"/>
        <v>633.80555555555554</v>
      </c>
      <c r="Q28" s="2"/>
      <c r="R28" s="2"/>
    </row>
    <row r="29" spans="2:18" x14ac:dyDescent="0.45">
      <c r="B29" s="4">
        <v>44088</v>
      </c>
      <c r="C29" s="1">
        <v>20</v>
      </c>
      <c r="D29">
        <v>1085</v>
      </c>
      <c r="E29">
        <v>2</v>
      </c>
      <c r="F29">
        <v>15008</v>
      </c>
      <c r="G29" s="2">
        <f t="shared" si="2"/>
        <v>10512</v>
      </c>
      <c r="I29" s="1">
        <f t="shared" si="0"/>
        <v>14.1875</v>
      </c>
      <c r="J29" s="2">
        <f t="shared" si="1"/>
        <v>678.25</v>
      </c>
      <c r="L29" s="1">
        <f t="shared" si="3"/>
        <v>9.1370000000000005</v>
      </c>
      <c r="M29" s="2">
        <f t="shared" si="4"/>
        <v>454.6</v>
      </c>
      <c r="N29" s="2"/>
      <c r="O29" s="1">
        <f t="shared" si="5"/>
        <v>11.68611111111111</v>
      </c>
      <c r="P29" s="2">
        <f t="shared" si="6"/>
        <v>595.88888888888891</v>
      </c>
      <c r="Q29" s="2"/>
      <c r="R29" s="2"/>
    </row>
    <row r="30" spans="2:18" x14ac:dyDescent="0.45">
      <c r="B30" s="4">
        <v>44095</v>
      </c>
      <c r="C30" s="1">
        <v>22</v>
      </c>
      <c r="D30">
        <v>1163</v>
      </c>
      <c r="E30">
        <v>0</v>
      </c>
      <c r="F30">
        <v>15875</v>
      </c>
      <c r="G30" s="2">
        <f t="shared" si="2"/>
        <v>14480.75</v>
      </c>
      <c r="I30" s="1">
        <f t="shared" si="0"/>
        <v>19.6875</v>
      </c>
      <c r="J30" s="2">
        <f t="shared" si="1"/>
        <v>969</v>
      </c>
      <c r="L30" s="1">
        <f t="shared" si="3"/>
        <v>10.9415</v>
      </c>
      <c r="M30" s="2">
        <f t="shared" si="4"/>
        <v>533.9</v>
      </c>
      <c r="N30" s="2"/>
      <c r="O30" s="1">
        <f t="shared" si="5"/>
        <v>9.9761111111111109</v>
      </c>
      <c r="P30" s="2">
        <f t="shared" si="6"/>
        <v>522.66666666666663</v>
      </c>
      <c r="Q30" s="2"/>
      <c r="R30" s="2"/>
    </row>
    <row r="31" spans="2:18" x14ac:dyDescent="0.45">
      <c r="B31" s="4">
        <v>44102</v>
      </c>
      <c r="C31" s="1">
        <v>16.5</v>
      </c>
      <c r="D31">
        <v>900</v>
      </c>
      <c r="E31">
        <v>2</v>
      </c>
      <c r="F31">
        <v>12467</v>
      </c>
      <c r="G31" s="2">
        <f t="shared" si="2"/>
        <v>14821</v>
      </c>
      <c r="I31" s="1">
        <f t="shared" si="0"/>
        <v>19.75</v>
      </c>
      <c r="J31" s="2">
        <f t="shared" si="1"/>
        <v>1037.5</v>
      </c>
      <c r="L31" s="1">
        <f t="shared" si="3"/>
        <v>13.775</v>
      </c>
      <c r="M31" s="2">
        <f t="shared" si="4"/>
        <v>675.8</v>
      </c>
      <c r="N31" s="2"/>
      <c r="O31" s="1">
        <f t="shared" si="5"/>
        <v>9.6597222222222214</v>
      </c>
      <c r="P31" s="2">
        <f t="shared" si="6"/>
        <v>494.52777777777777</v>
      </c>
      <c r="Q31" s="2"/>
      <c r="R31" s="2"/>
    </row>
    <row r="32" spans="2:18" x14ac:dyDescent="0.45">
      <c r="B32" s="4">
        <v>44109</v>
      </c>
      <c r="C32" s="1">
        <v>18</v>
      </c>
      <c r="D32">
        <v>939</v>
      </c>
      <c r="E32">
        <v>2</v>
      </c>
      <c r="F32">
        <v>14678</v>
      </c>
      <c r="G32" s="2">
        <f t="shared" si="2"/>
        <v>14507</v>
      </c>
      <c r="I32" s="1">
        <f t="shared" si="0"/>
        <v>19.125</v>
      </c>
      <c r="J32" s="2">
        <f t="shared" si="1"/>
        <v>1021.75</v>
      </c>
      <c r="L32" s="1">
        <f t="shared" si="3"/>
        <v>16.387499999999999</v>
      </c>
      <c r="M32" s="2">
        <f t="shared" si="4"/>
        <v>822.7</v>
      </c>
      <c r="N32" s="2"/>
      <c r="O32" s="1">
        <f t="shared" si="5"/>
        <v>11.027777777777779</v>
      </c>
      <c r="P32" s="2">
        <f t="shared" si="6"/>
        <v>537.05555555555554</v>
      </c>
      <c r="Q32" s="2"/>
      <c r="R32" s="2"/>
    </row>
    <row r="33" spans="1:18" x14ac:dyDescent="0.45">
      <c r="B33" s="4">
        <v>44116</v>
      </c>
      <c r="C33" s="1">
        <v>21</v>
      </c>
      <c r="D33">
        <v>1199</v>
      </c>
      <c r="E33">
        <v>2</v>
      </c>
      <c r="F33">
        <v>16589</v>
      </c>
      <c r="G33" s="2">
        <f t="shared" si="2"/>
        <v>14902.25</v>
      </c>
      <c r="I33" s="1">
        <f t="shared" si="0"/>
        <v>19.375</v>
      </c>
      <c r="J33" s="2">
        <f t="shared" si="1"/>
        <v>1050.25</v>
      </c>
      <c r="L33" s="1">
        <f t="shared" si="3"/>
        <v>18.425000000000001</v>
      </c>
      <c r="M33" s="2">
        <f t="shared" si="4"/>
        <v>951.35</v>
      </c>
      <c r="N33" s="2"/>
      <c r="O33" s="1">
        <f t="shared" si="5"/>
        <v>14.756944444444445</v>
      </c>
      <c r="P33" s="2">
        <f t="shared" si="6"/>
        <v>729.11111111111109</v>
      </c>
      <c r="Q33" s="2"/>
      <c r="R33" s="2"/>
    </row>
    <row r="34" spans="1:18" x14ac:dyDescent="0.45">
      <c r="B34" s="4">
        <v>44123</v>
      </c>
      <c r="C34" s="1">
        <v>17.75</v>
      </c>
      <c r="D34">
        <v>961</v>
      </c>
      <c r="E34">
        <v>2</v>
      </c>
      <c r="F34">
        <v>13753</v>
      </c>
      <c r="G34" s="2">
        <f t="shared" si="2"/>
        <v>14371.75</v>
      </c>
      <c r="I34" s="1">
        <f t="shared" si="0"/>
        <v>18.3125</v>
      </c>
      <c r="J34" s="2">
        <f t="shared" si="1"/>
        <v>999.75</v>
      </c>
      <c r="L34" s="1">
        <f t="shared" si="3"/>
        <v>19.25</v>
      </c>
      <c r="M34" s="2">
        <f t="shared" si="4"/>
        <v>1015.65</v>
      </c>
      <c r="N34" s="2"/>
      <c r="O34" s="1">
        <f t="shared" si="5"/>
        <v>18.979166666666668</v>
      </c>
      <c r="P34" s="2">
        <f t="shared" si="6"/>
        <v>947.86111111111109</v>
      </c>
      <c r="Q34" s="2"/>
      <c r="R34" s="2"/>
    </row>
    <row r="35" spans="1:18" x14ac:dyDescent="0.45">
      <c r="B35" s="4">
        <v>44130</v>
      </c>
      <c r="C35" s="1">
        <v>8.25</v>
      </c>
      <c r="D35">
        <v>456</v>
      </c>
      <c r="E35">
        <v>1</v>
      </c>
      <c r="F35">
        <v>6006</v>
      </c>
      <c r="G35" s="2">
        <f t="shared" si="2"/>
        <v>12756.5</v>
      </c>
      <c r="I35" s="1">
        <f t="shared" si="0"/>
        <v>16.25</v>
      </c>
      <c r="J35" s="2">
        <f t="shared" si="1"/>
        <v>888.75</v>
      </c>
      <c r="L35" s="1">
        <f t="shared" si="3"/>
        <v>18.5625</v>
      </c>
      <c r="M35" s="2">
        <f t="shared" si="4"/>
        <v>999.6</v>
      </c>
      <c r="N35" s="2"/>
      <c r="O35" s="1">
        <f t="shared" si="5"/>
        <v>19.368055555555557</v>
      </c>
      <c r="P35" s="2">
        <f t="shared" si="6"/>
        <v>1022.7777777777778</v>
      </c>
      <c r="Q35" s="2"/>
      <c r="R35" s="2"/>
    </row>
    <row r="36" spans="1:18" x14ac:dyDescent="0.45">
      <c r="A36" t="s">
        <v>13</v>
      </c>
      <c r="B36" s="4">
        <v>44137</v>
      </c>
      <c r="C36" s="1">
        <v>23.25</v>
      </c>
      <c r="D36">
        <v>1480</v>
      </c>
      <c r="E36">
        <v>0</v>
      </c>
      <c r="F36">
        <v>18631</v>
      </c>
      <c r="G36" s="2">
        <f t="shared" si="2"/>
        <v>13744.75</v>
      </c>
      <c r="I36" s="1">
        <f t="shared" si="0"/>
        <v>17.5625</v>
      </c>
      <c r="J36" s="2">
        <f t="shared" si="1"/>
        <v>1024</v>
      </c>
      <c r="L36" s="1">
        <f t="shared" si="3"/>
        <v>18.125</v>
      </c>
      <c r="M36" s="2">
        <f t="shared" si="4"/>
        <v>996.9</v>
      </c>
      <c r="N36" s="2"/>
      <c r="O36" s="1">
        <f t="shared" si="5"/>
        <v>18.888888888888889</v>
      </c>
      <c r="P36" s="2">
        <f t="shared" si="6"/>
        <v>1027.4166666666667</v>
      </c>
      <c r="Q36" s="2"/>
      <c r="R36" s="2"/>
    </row>
    <row r="37" spans="1:18" x14ac:dyDescent="0.45">
      <c r="B37" s="4">
        <v>44144</v>
      </c>
      <c r="C37" s="1">
        <v>10</v>
      </c>
      <c r="D37">
        <v>532</v>
      </c>
      <c r="E37">
        <v>2</v>
      </c>
      <c r="F37">
        <v>7966</v>
      </c>
      <c r="G37" s="2">
        <f t="shared" si="2"/>
        <v>11589</v>
      </c>
      <c r="I37" s="1">
        <f t="shared" si="0"/>
        <v>14.8125</v>
      </c>
      <c r="J37" s="2">
        <f t="shared" si="1"/>
        <v>857.25</v>
      </c>
      <c r="L37" s="1">
        <f t="shared" si="3"/>
        <v>17.262499999999999</v>
      </c>
      <c r="M37" s="2">
        <f t="shared" si="4"/>
        <v>964</v>
      </c>
      <c r="N37" s="2"/>
      <c r="O37" s="1">
        <f t="shared" si="5"/>
        <v>18.243055555555557</v>
      </c>
      <c r="P37" s="2">
        <f t="shared" si="6"/>
        <v>998.25</v>
      </c>
      <c r="Q37" s="2"/>
      <c r="R37" s="2"/>
    </row>
    <row r="38" spans="1:18" x14ac:dyDescent="0.45">
      <c r="B38" s="4">
        <v>44151</v>
      </c>
      <c r="C38" s="1">
        <v>11.5</v>
      </c>
      <c r="D38">
        <v>745</v>
      </c>
      <c r="E38">
        <v>2</v>
      </c>
      <c r="F38">
        <v>7929</v>
      </c>
      <c r="G38" s="2">
        <f t="shared" si="2"/>
        <v>10133</v>
      </c>
      <c r="I38" s="1">
        <f t="shared" si="0"/>
        <v>13.25</v>
      </c>
      <c r="J38" s="2">
        <f t="shared" si="1"/>
        <v>803.25</v>
      </c>
      <c r="L38" s="1">
        <f t="shared" si="3"/>
        <v>16.037500000000001</v>
      </c>
      <c r="M38" s="2">
        <f t="shared" si="4"/>
        <v>914.6</v>
      </c>
      <c r="N38" s="2"/>
      <c r="O38" s="1">
        <f t="shared" si="5"/>
        <v>16.861111111111111</v>
      </c>
      <c r="P38" s="2">
        <f t="shared" si="6"/>
        <v>940.13888888888891</v>
      </c>
      <c r="Q38" s="2"/>
      <c r="R38" s="2"/>
    </row>
    <row r="39" spans="1:18" x14ac:dyDescent="0.45">
      <c r="A39" t="s">
        <v>14</v>
      </c>
      <c r="B39" s="4">
        <v>44158</v>
      </c>
      <c r="C39" s="1">
        <v>12.33</v>
      </c>
      <c r="D39">
        <v>745</v>
      </c>
      <c r="E39">
        <v>1</v>
      </c>
      <c r="F39">
        <v>7669</v>
      </c>
      <c r="G39" s="2">
        <f t="shared" si="2"/>
        <v>10548.75</v>
      </c>
      <c r="I39" s="1">
        <f t="shared" si="0"/>
        <v>14.27</v>
      </c>
      <c r="J39" s="2">
        <f t="shared" si="1"/>
        <v>875.5</v>
      </c>
      <c r="L39" s="1">
        <f t="shared" si="3"/>
        <v>15.228999999999999</v>
      </c>
      <c r="M39" s="2">
        <f t="shared" si="4"/>
        <v>889.75</v>
      </c>
      <c r="N39" s="2"/>
      <c r="O39" s="1">
        <f t="shared" si="5"/>
        <v>16.585555555555555</v>
      </c>
      <c r="P39" s="2">
        <f t="shared" si="6"/>
        <v>936.16666666666663</v>
      </c>
      <c r="Q39" s="2"/>
      <c r="R39" s="2"/>
    </row>
    <row r="40" spans="1:18" x14ac:dyDescent="0.45">
      <c r="A40" t="s">
        <v>15</v>
      </c>
      <c r="B40" s="4">
        <v>44165</v>
      </c>
      <c r="C40" s="1">
        <v>18.5</v>
      </c>
      <c r="D40">
        <v>903</v>
      </c>
      <c r="E40">
        <v>0</v>
      </c>
      <c r="F40">
        <v>6736</v>
      </c>
      <c r="G40" s="2">
        <f t="shared" si="2"/>
        <v>7575</v>
      </c>
      <c r="I40" s="1">
        <f t="shared" si="0"/>
        <v>13.0825</v>
      </c>
      <c r="J40" s="2">
        <f t="shared" si="1"/>
        <v>731.25</v>
      </c>
      <c r="L40" s="1">
        <f t="shared" si="3"/>
        <v>14.595500000000001</v>
      </c>
      <c r="M40" s="2">
        <f t="shared" si="4"/>
        <v>858.25</v>
      </c>
      <c r="N40" s="2"/>
      <c r="O40" s="1">
        <f t="shared" si="5"/>
        <v>15.990555555555554</v>
      </c>
      <c r="P40" s="2">
        <f t="shared" si="6"/>
        <v>922.52777777777783</v>
      </c>
      <c r="Q40" s="2"/>
      <c r="R40" s="2"/>
    </row>
    <row r="41" spans="1:18" x14ac:dyDescent="0.45">
      <c r="B41" s="4">
        <v>44172</v>
      </c>
      <c r="C41" s="1">
        <v>5</v>
      </c>
      <c r="D41">
        <v>235</v>
      </c>
      <c r="E41">
        <v>2</v>
      </c>
      <c r="F41">
        <v>3492</v>
      </c>
      <c r="G41" s="2">
        <f t="shared" si="2"/>
        <v>6456.5</v>
      </c>
      <c r="I41" s="1">
        <f t="shared" si="0"/>
        <v>11.8325</v>
      </c>
      <c r="J41" s="2">
        <f t="shared" si="1"/>
        <v>657</v>
      </c>
      <c r="L41" s="1">
        <f t="shared" si="3"/>
        <v>13.4495</v>
      </c>
      <c r="M41" s="2">
        <f t="shared" si="4"/>
        <v>784.85</v>
      </c>
      <c r="N41" s="2"/>
      <c r="O41" s="1">
        <f t="shared" si="5"/>
        <v>14.284444444444444</v>
      </c>
      <c r="P41" s="2">
        <f t="shared" si="6"/>
        <v>824.33333333333337</v>
      </c>
      <c r="Q41" s="2"/>
      <c r="R41" s="2"/>
    </row>
    <row r="42" spans="1:18" x14ac:dyDescent="0.45">
      <c r="A42" t="s">
        <v>139</v>
      </c>
      <c r="B42" s="4">
        <v>44179</v>
      </c>
      <c r="C42" s="1">
        <v>1.33</v>
      </c>
      <c r="D42">
        <v>45</v>
      </c>
      <c r="E42">
        <v>0</v>
      </c>
      <c r="F42">
        <v>949</v>
      </c>
      <c r="G42" s="2">
        <f t="shared" si="2"/>
        <v>4711.5</v>
      </c>
      <c r="I42" s="1">
        <f t="shared" si="0"/>
        <v>9.2899999999999991</v>
      </c>
      <c r="J42" s="2">
        <f t="shared" si="1"/>
        <v>482</v>
      </c>
      <c r="L42" s="1">
        <f t="shared" si="3"/>
        <v>12.345000000000001</v>
      </c>
      <c r="M42" s="2">
        <f t="shared" si="4"/>
        <v>709.8</v>
      </c>
      <c r="N42" s="2"/>
      <c r="O42" s="1">
        <f t="shared" si="5"/>
        <v>12.844444444444443</v>
      </c>
      <c r="P42" s="2">
        <f t="shared" si="6"/>
        <v>753.58333333333337</v>
      </c>
      <c r="Q42" s="2"/>
      <c r="R42" s="2"/>
    </row>
    <row r="43" spans="1:18" x14ac:dyDescent="0.45">
      <c r="B43" s="4">
        <v>44186</v>
      </c>
      <c r="C43" s="1">
        <v>6</v>
      </c>
      <c r="D43">
        <v>179</v>
      </c>
      <c r="E43">
        <v>2</v>
      </c>
      <c r="F43">
        <v>3718</v>
      </c>
      <c r="G43" s="2">
        <f t="shared" si="2"/>
        <v>3723.75</v>
      </c>
      <c r="I43" s="1">
        <f t="shared" si="0"/>
        <v>7.7074999999999996</v>
      </c>
      <c r="J43" s="2">
        <f t="shared" si="1"/>
        <v>340.5</v>
      </c>
      <c r="L43" s="1">
        <f t="shared" si="3"/>
        <v>11.236499999999999</v>
      </c>
      <c r="M43" s="2">
        <f t="shared" si="4"/>
        <v>617.25</v>
      </c>
      <c r="N43" s="2"/>
      <c r="O43" s="1">
        <f t="shared" si="5"/>
        <v>13.453055555555556</v>
      </c>
      <c r="P43" s="2">
        <f t="shared" si="6"/>
        <v>787.36111111111109</v>
      </c>
      <c r="Q43" s="2"/>
      <c r="R43" s="2"/>
    </row>
    <row r="44" spans="1:18" x14ac:dyDescent="0.45">
      <c r="B44" s="4">
        <v>44193</v>
      </c>
      <c r="C44" s="1">
        <v>8</v>
      </c>
      <c r="D44">
        <v>276</v>
      </c>
      <c r="E44">
        <v>1</v>
      </c>
      <c r="F44">
        <v>5365</v>
      </c>
      <c r="G44" s="2">
        <f t="shared" si="2"/>
        <v>3381</v>
      </c>
      <c r="I44" s="1">
        <f t="shared" si="0"/>
        <v>5.0824999999999996</v>
      </c>
      <c r="J44" s="2">
        <f t="shared" si="1"/>
        <v>183.75</v>
      </c>
      <c r="L44" s="1">
        <f t="shared" si="3"/>
        <v>9.3990000000000009</v>
      </c>
      <c r="M44" s="2">
        <f t="shared" si="4"/>
        <v>478.9</v>
      </c>
      <c r="N44" s="2"/>
      <c r="O44" s="1">
        <f t="shared" si="5"/>
        <v>10.304722222222223</v>
      </c>
      <c r="P44" s="2">
        <f t="shared" si="6"/>
        <v>560.13888888888891</v>
      </c>
      <c r="Q44" s="2"/>
      <c r="R44" s="2"/>
    </row>
    <row r="45" spans="1:18" x14ac:dyDescent="0.45">
      <c r="B45" s="4">
        <v>44200</v>
      </c>
      <c r="C45" s="1">
        <v>13.75</v>
      </c>
      <c r="D45">
        <v>650</v>
      </c>
      <c r="E45" s="22">
        <v>2</v>
      </c>
      <c r="F45">
        <v>10701</v>
      </c>
      <c r="G45" s="2">
        <f t="shared" si="2"/>
        <v>5183.25</v>
      </c>
      <c r="I45" s="1">
        <f t="shared" si="0"/>
        <v>7.27</v>
      </c>
      <c r="J45" s="2">
        <f t="shared" si="1"/>
        <v>287.5</v>
      </c>
      <c r="L45" s="1">
        <f t="shared" si="3"/>
        <v>8.2364999999999995</v>
      </c>
      <c r="M45" s="2">
        <f t="shared" si="4"/>
        <v>390.15</v>
      </c>
      <c r="N45" s="2"/>
      <c r="O45" s="1">
        <f t="shared" si="5"/>
        <v>10.205</v>
      </c>
      <c r="P45" s="2">
        <f t="shared" si="6"/>
        <v>546.86111111111109</v>
      </c>
      <c r="Q45" s="2"/>
      <c r="R45" s="2"/>
    </row>
    <row r="46" spans="1:18" x14ac:dyDescent="0.45">
      <c r="A46" t="s">
        <v>16</v>
      </c>
      <c r="B46" s="4">
        <v>44207</v>
      </c>
      <c r="C46" s="1">
        <v>18</v>
      </c>
      <c r="D46">
        <v>984</v>
      </c>
      <c r="E46">
        <v>0</v>
      </c>
      <c r="F46">
        <v>14017</v>
      </c>
      <c r="G46" s="2">
        <f t="shared" si="2"/>
        <v>8450.25</v>
      </c>
      <c r="I46" s="1">
        <f t="shared" si="0"/>
        <v>11.4375</v>
      </c>
      <c r="J46" s="2">
        <f t="shared" si="1"/>
        <v>522.25</v>
      </c>
      <c r="L46" s="1">
        <f t="shared" si="3"/>
        <v>8.1575000000000006</v>
      </c>
      <c r="M46" s="2">
        <f t="shared" si="4"/>
        <v>363.2</v>
      </c>
      <c r="N46" s="2"/>
      <c r="O46" s="1">
        <f t="shared" si="5"/>
        <v>9.9524999999999988</v>
      </c>
      <c r="P46" s="2">
        <f t="shared" si="6"/>
        <v>492.88888888888891</v>
      </c>
      <c r="Q46" s="2"/>
      <c r="R46" s="2"/>
    </row>
    <row r="47" spans="1:18" x14ac:dyDescent="0.45">
      <c r="B47" s="4">
        <v>44214</v>
      </c>
      <c r="C47" s="1">
        <v>14.5</v>
      </c>
      <c r="D47">
        <v>774</v>
      </c>
      <c r="E47">
        <v>1</v>
      </c>
      <c r="F47">
        <v>11307</v>
      </c>
      <c r="G47" s="2">
        <f t="shared" si="2"/>
        <v>10347.5</v>
      </c>
      <c r="I47" s="1">
        <f t="shared" si="0"/>
        <v>13.5625</v>
      </c>
      <c r="J47" s="2">
        <f t="shared" si="1"/>
        <v>671</v>
      </c>
      <c r="L47" s="1">
        <f t="shared" si="3"/>
        <v>9.0120000000000005</v>
      </c>
      <c r="M47" s="2">
        <f t="shared" si="4"/>
        <v>401</v>
      </c>
      <c r="N47" s="2"/>
      <c r="O47" s="1">
        <f t="shared" si="5"/>
        <v>9.5758333333333336</v>
      </c>
      <c r="P47" s="2">
        <f t="shared" si="6"/>
        <v>439.72222222222223</v>
      </c>
      <c r="Q47" s="2"/>
      <c r="R47" s="2"/>
    </row>
    <row r="48" spans="1:18" x14ac:dyDescent="0.45">
      <c r="B48" s="4">
        <v>44221</v>
      </c>
      <c r="C48" s="1">
        <v>13.25</v>
      </c>
      <c r="D48">
        <v>675</v>
      </c>
      <c r="E48">
        <v>2</v>
      </c>
      <c r="F48">
        <v>8387</v>
      </c>
      <c r="G48" s="2">
        <f t="shared" si="2"/>
        <v>11103</v>
      </c>
      <c r="I48" s="1">
        <f t="shared" si="0"/>
        <v>14.875</v>
      </c>
      <c r="J48" s="2">
        <f t="shared" si="1"/>
        <v>770.75</v>
      </c>
      <c r="L48" s="1">
        <f t="shared" si="3"/>
        <v>10.445499999999999</v>
      </c>
      <c r="M48" s="2">
        <f t="shared" si="4"/>
        <v>487.05</v>
      </c>
      <c r="N48" s="2"/>
      <c r="O48" s="1">
        <f t="shared" si="5"/>
        <v>7.6822222222222223</v>
      </c>
      <c r="P48" s="2">
        <f t="shared" si="6"/>
        <v>345.11111111111109</v>
      </c>
      <c r="Q48" s="2"/>
      <c r="R48" s="2"/>
    </row>
    <row r="49" spans="1:18" x14ac:dyDescent="0.45">
      <c r="B49" s="4">
        <v>44228</v>
      </c>
      <c r="C49" s="1">
        <v>19</v>
      </c>
      <c r="D49">
        <v>997</v>
      </c>
      <c r="E49">
        <v>3</v>
      </c>
      <c r="F49">
        <v>12604</v>
      </c>
      <c r="G49" s="2">
        <f t="shared" si="2"/>
        <v>11578.75</v>
      </c>
      <c r="I49" s="1">
        <f t="shared" si="0"/>
        <v>16.1875</v>
      </c>
      <c r="J49" s="2">
        <f t="shared" si="1"/>
        <v>857.5</v>
      </c>
      <c r="L49" s="1">
        <f t="shared" si="3"/>
        <v>12.666499999999999</v>
      </c>
      <c r="M49" s="2">
        <f t="shared" si="4"/>
        <v>621.79999999999995</v>
      </c>
      <c r="N49" s="2"/>
      <c r="O49" s="1">
        <f t="shared" si="5"/>
        <v>9.1775000000000002</v>
      </c>
      <c r="P49" s="2">
        <f t="shared" si="6"/>
        <v>420.11111111111109</v>
      </c>
      <c r="Q49" s="2"/>
      <c r="R49" s="2"/>
    </row>
    <row r="50" spans="1:18" x14ac:dyDescent="0.45">
      <c r="A50" t="s">
        <v>17</v>
      </c>
      <c r="B50" s="4">
        <v>44235</v>
      </c>
      <c r="C50" s="1">
        <v>16.75</v>
      </c>
      <c r="D50">
        <v>899</v>
      </c>
      <c r="E50">
        <v>2</v>
      </c>
      <c r="F50">
        <v>11845</v>
      </c>
      <c r="G50" s="2">
        <f t="shared" si="2"/>
        <v>11035.75</v>
      </c>
      <c r="I50" s="1">
        <f t="shared" si="0"/>
        <v>15.875</v>
      </c>
      <c r="J50" s="2">
        <f t="shared" si="1"/>
        <v>836.25</v>
      </c>
      <c r="L50" s="1">
        <f t="shared" si="3"/>
        <v>14.387499999999999</v>
      </c>
      <c r="M50" s="2">
        <f t="shared" si="4"/>
        <v>731.55</v>
      </c>
      <c r="N50" s="2"/>
      <c r="O50" s="1">
        <f t="shared" si="5"/>
        <v>11.916666666666666</v>
      </c>
      <c r="P50" s="2">
        <f t="shared" si="6"/>
        <v>561.05555555555554</v>
      </c>
      <c r="Q50" s="2"/>
      <c r="R50" s="2"/>
    </row>
    <row r="51" spans="1:18" x14ac:dyDescent="0.45">
      <c r="B51" s="4">
        <v>44242</v>
      </c>
      <c r="C51" s="1">
        <v>11.5</v>
      </c>
      <c r="D51">
        <v>490</v>
      </c>
      <c r="E51">
        <v>1</v>
      </c>
      <c r="F51">
        <v>7642</v>
      </c>
      <c r="G51" s="2">
        <f t="shared" si="2"/>
        <v>10119.5</v>
      </c>
      <c r="I51" s="1">
        <f t="shared" si="0"/>
        <v>15.125</v>
      </c>
      <c r="J51" s="2">
        <f t="shared" si="1"/>
        <v>765.25</v>
      </c>
      <c r="L51" s="1">
        <f t="shared" si="3"/>
        <v>15.125</v>
      </c>
      <c r="M51" s="2">
        <f t="shared" si="4"/>
        <v>780.15</v>
      </c>
      <c r="N51" s="2"/>
      <c r="O51" s="1">
        <f t="shared" si="5"/>
        <v>13.770833333333334</v>
      </c>
      <c r="P51" s="2">
        <f t="shared" si="6"/>
        <v>680.86111111111109</v>
      </c>
      <c r="Q51" s="2"/>
      <c r="R51" s="2"/>
    </row>
    <row r="52" spans="1:18" x14ac:dyDescent="0.45">
      <c r="A52" t="s">
        <v>18</v>
      </c>
      <c r="B52" s="4">
        <v>44249</v>
      </c>
      <c r="C52" s="1">
        <v>8.66</v>
      </c>
      <c r="D52">
        <v>491</v>
      </c>
      <c r="E52">
        <v>0</v>
      </c>
      <c r="F52">
        <v>3704</v>
      </c>
      <c r="G52" s="2">
        <f t="shared" si="2"/>
        <v>8948.75</v>
      </c>
      <c r="I52" s="1">
        <f t="shared" si="0"/>
        <v>13.977499999999999</v>
      </c>
      <c r="J52" s="2">
        <f t="shared" si="1"/>
        <v>719.25</v>
      </c>
      <c r="L52" s="1">
        <f t="shared" si="3"/>
        <v>15.208000000000002</v>
      </c>
      <c r="M52" s="2">
        <f t="shared" si="4"/>
        <v>789.8</v>
      </c>
      <c r="N52" s="2"/>
      <c r="O52" s="1">
        <f t="shared" si="5"/>
        <v>15.198888888888888</v>
      </c>
      <c r="P52" s="2">
        <f t="shared" si="6"/>
        <v>785.08333333333337</v>
      </c>
      <c r="Q52" s="2"/>
      <c r="R52" s="2"/>
    </row>
    <row r="53" spans="1:18" x14ac:dyDescent="0.45">
      <c r="B53" s="4">
        <v>44256</v>
      </c>
      <c r="C53" s="1">
        <v>6</v>
      </c>
      <c r="D53">
        <v>281</v>
      </c>
      <c r="E53">
        <v>1</v>
      </c>
      <c r="F53">
        <v>4687</v>
      </c>
      <c r="G53" s="2">
        <f t="shared" si="2"/>
        <v>6969.5</v>
      </c>
      <c r="I53" s="1">
        <f t="shared" si="0"/>
        <v>10.727499999999999</v>
      </c>
      <c r="J53" s="2">
        <f t="shared" si="1"/>
        <v>540.25</v>
      </c>
      <c r="L53" s="1">
        <f t="shared" si="3"/>
        <v>14.378499999999999</v>
      </c>
      <c r="M53" s="2">
        <f t="shared" si="4"/>
        <v>743.7</v>
      </c>
      <c r="N53" s="2"/>
      <c r="O53" s="1">
        <f t="shared" si="5"/>
        <v>15.133888888888887</v>
      </c>
      <c r="P53" s="2">
        <f t="shared" si="6"/>
        <v>795.94444444444446</v>
      </c>
      <c r="Q53" s="2"/>
      <c r="R53" s="2"/>
    </row>
    <row r="54" spans="1:18" x14ac:dyDescent="0.45">
      <c r="B54" s="4">
        <v>44263</v>
      </c>
      <c r="C54" s="1">
        <v>15.5</v>
      </c>
      <c r="D54">
        <v>813</v>
      </c>
      <c r="E54">
        <v>2</v>
      </c>
      <c r="F54">
        <v>6121</v>
      </c>
      <c r="G54" s="2">
        <f t="shared" si="2"/>
        <v>5538.5</v>
      </c>
      <c r="I54" s="1">
        <f t="shared" si="0"/>
        <v>10.414999999999999</v>
      </c>
      <c r="J54" s="2">
        <f t="shared" si="1"/>
        <v>518.75</v>
      </c>
      <c r="L54" s="1">
        <f t="shared" si="3"/>
        <v>13.224</v>
      </c>
      <c r="M54" s="2">
        <f t="shared" si="4"/>
        <v>675.95</v>
      </c>
      <c r="N54" s="2"/>
      <c r="O54" s="1">
        <f t="shared" si="5"/>
        <v>14.055</v>
      </c>
      <c r="P54" s="2">
        <f t="shared" si="6"/>
        <v>727.83333333333337</v>
      </c>
      <c r="Q54" s="2"/>
      <c r="R54" s="2"/>
    </row>
    <row r="55" spans="1:18" x14ac:dyDescent="0.45">
      <c r="B55" s="4">
        <v>44270</v>
      </c>
      <c r="C55" s="1">
        <v>3.5</v>
      </c>
      <c r="D55">
        <v>268</v>
      </c>
      <c r="E55">
        <v>0</v>
      </c>
      <c r="F55">
        <v>3255</v>
      </c>
      <c r="G55" s="2">
        <f t="shared" si="2"/>
        <v>4441.75</v>
      </c>
      <c r="I55" s="1">
        <f t="shared" si="0"/>
        <v>8.4149999999999991</v>
      </c>
      <c r="J55" s="2">
        <f t="shared" si="1"/>
        <v>463.25</v>
      </c>
      <c r="L55" s="1">
        <f t="shared" si="3"/>
        <v>11.731999999999999</v>
      </c>
      <c r="M55" s="2">
        <f t="shared" si="4"/>
        <v>601.35</v>
      </c>
      <c r="N55" s="2"/>
      <c r="O55" s="1">
        <f t="shared" si="5"/>
        <v>13.448333333333332</v>
      </c>
      <c r="P55" s="2">
        <f t="shared" si="6"/>
        <v>692.33333333333337</v>
      </c>
      <c r="Q55" s="2"/>
      <c r="R55" s="2"/>
    </row>
    <row r="56" spans="1:18" x14ac:dyDescent="0.45">
      <c r="B56" s="4">
        <v>44277</v>
      </c>
      <c r="C56" s="1">
        <v>18.75</v>
      </c>
      <c r="D56">
        <v>960</v>
      </c>
      <c r="E56">
        <v>1</v>
      </c>
      <c r="F56">
        <v>13632</v>
      </c>
      <c r="G56" s="2">
        <f t="shared" si="2"/>
        <v>6923.75</v>
      </c>
      <c r="I56" s="1">
        <f t="shared" si="0"/>
        <v>10.9375</v>
      </c>
      <c r="J56" s="2">
        <f t="shared" si="1"/>
        <v>580.5</v>
      </c>
      <c r="L56" s="1">
        <f t="shared" si="3"/>
        <v>10.894499999999999</v>
      </c>
      <c r="M56" s="2">
        <f t="shared" si="4"/>
        <v>564.4</v>
      </c>
      <c r="N56" s="2"/>
      <c r="O56" s="1">
        <f t="shared" si="5"/>
        <v>13.272222222222222</v>
      </c>
      <c r="P56" s="2">
        <f t="shared" si="6"/>
        <v>686.75</v>
      </c>
      <c r="Q56" s="2"/>
      <c r="R56" s="2"/>
    </row>
    <row r="57" spans="1:18" x14ac:dyDescent="0.45">
      <c r="A57" t="s">
        <v>19</v>
      </c>
      <c r="B57" s="4">
        <v>44284</v>
      </c>
      <c r="C57" s="1">
        <v>18.5</v>
      </c>
      <c r="D57">
        <v>995</v>
      </c>
      <c r="E57">
        <v>0</v>
      </c>
      <c r="F57">
        <v>14302</v>
      </c>
      <c r="G57" s="2">
        <f t="shared" si="2"/>
        <v>9327.5</v>
      </c>
      <c r="I57" s="1">
        <f t="shared" si="0"/>
        <v>14.0625</v>
      </c>
      <c r="J57" s="2">
        <f t="shared" si="1"/>
        <v>759</v>
      </c>
      <c r="L57" s="1">
        <f t="shared" si="3"/>
        <v>10.9115</v>
      </c>
      <c r="M57" s="2">
        <f t="shared" si="4"/>
        <v>572.35</v>
      </c>
      <c r="N57" s="2"/>
      <c r="O57" s="1">
        <f t="shared" si="5"/>
        <v>11.804444444444446</v>
      </c>
      <c r="P57" s="2">
        <f t="shared" si="6"/>
        <v>609.55555555555554</v>
      </c>
      <c r="Q57" s="2"/>
      <c r="R57" s="2"/>
    </row>
    <row r="58" spans="1:18" x14ac:dyDescent="0.45">
      <c r="B58" s="4">
        <v>44291</v>
      </c>
      <c r="C58" s="1">
        <v>19.66</v>
      </c>
      <c r="D58">
        <v>1095</v>
      </c>
      <c r="E58">
        <v>2</v>
      </c>
      <c r="F58">
        <v>15450</v>
      </c>
      <c r="G58" s="2">
        <f t="shared" si="2"/>
        <v>11659.75</v>
      </c>
      <c r="I58" s="1">
        <f t="shared" si="0"/>
        <v>15.102499999999999</v>
      </c>
      <c r="J58" s="2">
        <f t="shared" si="1"/>
        <v>829.5</v>
      </c>
      <c r="L58" s="1">
        <f t="shared" si="3"/>
        <v>11.7865</v>
      </c>
      <c r="M58" s="2">
        <f t="shared" si="4"/>
        <v>630.20000000000005</v>
      </c>
      <c r="N58" s="2"/>
      <c r="O58" s="1">
        <f t="shared" si="5"/>
        <v>10.917499999999999</v>
      </c>
      <c r="P58" s="2">
        <f t="shared" si="6"/>
        <v>559.58333333333337</v>
      </c>
      <c r="Q58" s="2"/>
      <c r="R58" s="2"/>
    </row>
    <row r="59" spans="1:18" x14ac:dyDescent="0.45">
      <c r="B59" s="4">
        <v>44298</v>
      </c>
      <c r="C59" s="1">
        <v>19.5</v>
      </c>
      <c r="D59">
        <v>1045</v>
      </c>
      <c r="E59">
        <v>2</v>
      </c>
      <c r="F59">
        <v>15303</v>
      </c>
      <c r="G59" s="2">
        <f t="shared" si="2"/>
        <v>14671.75</v>
      </c>
      <c r="I59" s="1">
        <f t="shared" si="0"/>
        <v>19.102499999999999</v>
      </c>
      <c r="J59" s="2">
        <f t="shared" si="1"/>
        <v>1023.75</v>
      </c>
      <c r="L59" s="1">
        <f t="shared" si="3"/>
        <v>13.524000000000001</v>
      </c>
      <c r="M59" s="2">
        <f t="shared" si="4"/>
        <v>731.2</v>
      </c>
      <c r="N59" s="2"/>
      <c r="O59" s="1">
        <f t="shared" si="5"/>
        <v>11.419444444444444</v>
      </c>
      <c r="P59" s="2">
        <f t="shared" si="6"/>
        <v>615.91666666666663</v>
      </c>
      <c r="Q59" s="2"/>
      <c r="R59" s="2"/>
    </row>
    <row r="60" spans="1:18" x14ac:dyDescent="0.45">
      <c r="B60" s="4">
        <v>44305</v>
      </c>
      <c r="C60" s="1">
        <v>16</v>
      </c>
      <c r="D60">
        <v>689</v>
      </c>
      <c r="E60">
        <v>1</v>
      </c>
      <c r="F60">
        <v>9799</v>
      </c>
      <c r="G60" s="2">
        <f t="shared" si="2"/>
        <v>13713.5</v>
      </c>
      <c r="I60" s="1">
        <f t="shared" si="0"/>
        <v>18.414999999999999</v>
      </c>
      <c r="J60" s="2">
        <f t="shared" si="1"/>
        <v>956</v>
      </c>
      <c r="L60" s="1">
        <f t="shared" si="3"/>
        <v>15.524000000000001</v>
      </c>
      <c r="M60" s="2">
        <f t="shared" si="4"/>
        <v>829.75</v>
      </c>
      <c r="N60" s="2"/>
      <c r="O60" s="1">
        <f t="shared" si="5"/>
        <v>12.756388888888889</v>
      </c>
      <c r="P60" s="2">
        <f t="shared" si="6"/>
        <v>677.52777777777783</v>
      </c>
      <c r="Q60" s="2"/>
      <c r="R60" s="2"/>
    </row>
    <row r="61" spans="1:18" x14ac:dyDescent="0.45">
      <c r="A61" t="s">
        <v>20</v>
      </c>
      <c r="B61" s="4">
        <v>44312</v>
      </c>
      <c r="C61" s="1">
        <v>22.5</v>
      </c>
      <c r="D61">
        <v>1260</v>
      </c>
      <c r="E61">
        <v>0</v>
      </c>
      <c r="F61">
        <v>17443</v>
      </c>
      <c r="G61" s="2">
        <f t="shared" si="2"/>
        <v>14498.75</v>
      </c>
      <c r="I61" s="1">
        <f t="shared" si="0"/>
        <v>19.414999999999999</v>
      </c>
      <c r="J61" s="2">
        <f t="shared" si="1"/>
        <v>1022.25</v>
      </c>
      <c r="L61" s="1">
        <f t="shared" si="3"/>
        <v>17.2195</v>
      </c>
      <c r="M61" s="2">
        <f t="shared" si="4"/>
        <v>918.1</v>
      </c>
      <c r="N61" s="2"/>
      <c r="O61" s="1">
        <f t="shared" si="5"/>
        <v>15.142777777777777</v>
      </c>
      <c r="P61" s="2">
        <f t="shared" si="6"/>
        <v>813</v>
      </c>
      <c r="Q61" s="2"/>
      <c r="R61" s="2"/>
    </row>
    <row r="62" spans="1:18" x14ac:dyDescent="0.45">
      <c r="B62" s="4">
        <v>44319</v>
      </c>
      <c r="C62" s="1">
        <v>7.33</v>
      </c>
      <c r="D62">
        <v>275</v>
      </c>
      <c r="E62">
        <v>1</v>
      </c>
      <c r="F62">
        <v>5504</v>
      </c>
      <c r="G62" s="2">
        <f t="shared" si="2"/>
        <v>12012.25</v>
      </c>
      <c r="I62" s="1">
        <f t="shared" si="0"/>
        <v>16.3325</v>
      </c>
      <c r="J62" s="2">
        <f t="shared" si="1"/>
        <v>817.25</v>
      </c>
      <c r="L62" s="1">
        <f t="shared" si="3"/>
        <v>17.673499999999997</v>
      </c>
      <c r="M62" s="2">
        <f t="shared" si="4"/>
        <v>929.75</v>
      </c>
      <c r="N62" s="2"/>
      <c r="O62" s="1">
        <f t="shared" si="5"/>
        <v>15.191111111111111</v>
      </c>
      <c r="P62" s="2">
        <f t="shared" si="6"/>
        <v>815.30555555555554</v>
      </c>
      <c r="Q62" s="2"/>
      <c r="R62" s="2"/>
    </row>
    <row r="63" spans="1:18" x14ac:dyDescent="0.45">
      <c r="B63" s="4">
        <v>44326</v>
      </c>
      <c r="C63" s="1">
        <v>19.66</v>
      </c>
      <c r="D63">
        <v>1007</v>
      </c>
      <c r="E63">
        <v>2</v>
      </c>
      <c r="F63">
        <v>13727</v>
      </c>
      <c r="G63" s="2">
        <f t="shared" si="2"/>
        <v>11618.25</v>
      </c>
      <c r="I63" s="1">
        <f t="shared" si="0"/>
        <v>16.372499999999999</v>
      </c>
      <c r="J63" s="2">
        <f t="shared" si="1"/>
        <v>807.75</v>
      </c>
      <c r="L63" s="1">
        <f t="shared" si="3"/>
        <v>17.927500000000002</v>
      </c>
      <c r="M63" s="2">
        <f t="shared" si="4"/>
        <v>925.4</v>
      </c>
      <c r="N63" s="2"/>
      <c r="O63" s="1">
        <f t="shared" si="5"/>
        <v>18.355</v>
      </c>
      <c r="P63" s="2">
        <f t="shared" si="6"/>
        <v>959.25</v>
      </c>
      <c r="Q63" s="2"/>
      <c r="R63" s="2"/>
    </row>
    <row r="64" spans="1:18" x14ac:dyDescent="0.45">
      <c r="B64" s="4">
        <v>44333</v>
      </c>
      <c r="C64" s="1">
        <v>18.5</v>
      </c>
      <c r="D64">
        <v>999</v>
      </c>
      <c r="E64">
        <v>2</v>
      </c>
      <c r="F64">
        <v>12208</v>
      </c>
      <c r="G64" s="2">
        <f t="shared" si="2"/>
        <v>12220.5</v>
      </c>
      <c r="I64" s="1">
        <f t="shared" si="0"/>
        <v>16.997499999999999</v>
      </c>
      <c r="J64" s="2">
        <f t="shared" si="1"/>
        <v>885.25</v>
      </c>
      <c r="L64" s="1">
        <f t="shared" si="3"/>
        <v>17.506499999999999</v>
      </c>
      <c r="M64" s="2">
        <f t="shared" si="4"/>
        <v>897.7</v>
      </c>
      <c r="N64" s="2"/>
      <c r="O64" s="1">
        <f t="shared" si="5"/>
        <v>18.123055555555556</v>
      </c>
      <c r="P64" s="2">
        <f t="shared" si="6"/>
        <v>950.5</v>
      </c>
      <c r="Q64" s="2"/>
      <c r="R64" s="2"/>
    </row>
    <row r="65" spans="1:18" x14ac:dyDescent="0.45">
      <c r="B65" s="4">
        <v>44340</v>
      </c>
      <c r="C65" s="1">
        <v>14.33</v>
      </c>
      <c r="D65">
        <v>786</v>
      </c>
      <c r="E65">
        <v>2</v>
      </c>
      <c r="F65">
        <v>7151</v>
      </c>
      <c r="G65" s="2">
        <f t="shared" si="2"/>
        <v>9647.5</v>
      </c>
      <c r="I65" s="1">
        <f t="shared" si="0"/>
        <v>14.955</v>
      </c>
      <c r="J65" s="2">
        <f t="shared" si="1"/>
        <v>766.75</v>
      </c>
      <c r="L65" s="1">
        <f t="shared" si="3"/>
        <v>16.814499999999999</v>
      </c>
      <c r="M65" s="2">
        <f t="shared" si="4"/>
        <v>859.85</v>
      </c>
      <c r="N65" s="2"/>
      <c r="O65" s="1">
        <f t="shared" si="5"/>
        <v>17.830833333333331</v>
      </c>
      <c r="P65" s="2">
        <f t="shared" si="6"/>
        <v>928.16666666666663</v>
      </c>
      <c r="Q65" s="2"/>
      <c r="R65" s="2"/>
    </row>
    <row r="66" spans="1:18" x14ac:dyDescent="0.45">
      <c r="B66" s="4">
        <v>44347</v>
      </c>
      <c r="C66" s="1">
        <v>14</v>
      </c>
      <c r="D66">
        <v>625</v>
      </c>
      <c r="E66">
        <v>2</v>
      </c>
      <c r="F66">
        <v>9853</v>
      </c>
      <c r="G66" s="2">
        <f t="shared" si="2"/>
        <v>10734.75</v>
      </c>
      <c r="I66" s="1">
        <f t="shared" si="0"/>
        <v>16.622499999999999</v>
      </c>
      <c r="J66" s="2">
        <f t="shared" si="1"/>
        <v>854.25</v>
      </c>
      <c r="L66" s="1">
        <f t="shared" si="3"/>
        <v>16.256</v>
      </c>
      <c r="M66" s="2">
        <f t="shared" si="4"/>
        <v>826.25</v>
      </c>
      <c r="N66" s="2"/>
      <c r="O66" s="1">
        <f t="shared" si="5"/>
        <v>17.123611111111114</v>
      </c>
      <c r="P66" s="2">
        <f t="shared" si="6"/>
        <v>870.55555555555554</v>
      </c>
      <c r="Q66" s="2"/>
      <c r="R66" s="2"/>
    </row>
    <row r="67" spans="1:18" x14ac:dyDescent="0.45">
      <c r="B67" s="4">
        <v>44354</v>
      </c>
      <c r="C67" s="1">
        <v>21</v>
      </c>
      <c r="D67">
        <v>1047</v>
      </c>
      <c r="E67">
        <v>1</v>
      </c>
      <c r="F67">
        <v>15788</v>
      </c>
      <c r="G67" s="2">
        <f t="shared" si="2"/>
        <v>11250</v>
      </c>
      <c r="I67" s="1">
        <f t="shared" si="0"/>
        <v>16.9575</v>
      </c>
      <c r="J67" s="2">
        <f t="shared" si="1"/>
        <v>864.25</v>
      </c>
      <c r="L67" s="1">
        <f t="shared" si="3"/>
        <v>16.381</v>
      </c>
      <c r="M67" s="2">
        <f t="shared" si="4"/>
        <v>835.65</v>
      </c>
      <c r="N67" s="2"/>
      <c r="O67" s="1">
        <f t="shared" si="5"/>
        <v>16.493611111111111</v>
      </c>
      <c r="P67" s="2">
        <f t="shared" si="6"/>
        <v>824.11111111111109</v>
      </c>
      <c r="Q67" s="2"/>
      <c r="R67" s="2"/>
    </row>
    <row r="68" spans="1:18" x14ac:dyDescent="0.45">
      <c r="B68" s="4">
        <v>44361</v>
      </c>
      <c r="C68" s="1">
        <v>16</v>
      </c>
      <c r="D68">
        <v>783</v>
      </c>
      <c r="E68">
        <v>2</v>
      </c>
      <c r="F68">
        <v>10174</v>
      </c>
      <c r="G68" s="2">
        <f t="shared" si="2"/>
        <v>10741.5</v>
      </c>
      <c r="I68" s="1">
        <f t="shared" si="0"/>
        <v>16.3325</v>
      </c>
      <c r="J68" s="2">
        <f t="shared" si="1"/>
        <v>810.25</v>
      </c>
      <c r="L68" s="1">
        <f t="shared" si="3"/>
        <v>16.372999999999998</v>
      </c>
      <c r="M68" s="2">
        <f t="shared" si="4"/>
        <v>836.15</v>
      </c>
      <c r="N68" s="2"/>
      <c r="O68" s="1">
        <f t="shared" si="5"/>
        <v>16.641388888888887</v>
      </c>
      <c r="P68" s="2">
        <f t="shared" si="6"/>
        <v>859.38888888888891</v>
      </c>
      <c r="Q68" s="2"/>
      <c r="R68" s="2"/>
    </row>
    <row r="69" spans="1:18" x14ac:dyDescent="0.45">
      <c r="B69" s="4">
        <v>44368</v>
      </c>
      <c r="C69" s="1">
        <v>17.25</v>
      </c>
      <c r="D69">
        <v>753</v>
      </c>
      <c r="E69">
        <v>2</v>
      </c>
      <c r="F69">
        <v>12348</v>
      </c>
      <c r="G69" s="2">
        <f t="shared" si="2"/>
        <v>12040.75</v>
      </c>
      <c r="I69" s="1">
        <f t="shared" ref="I69:I132" si="7">AVERAGE(C66:C69)</f>
        <v>17.0625</v>
      </c>
      <c r="J69" s="2">
        <f t="shared" ref="J69:J132" si="8">AVERAGE(D66:D69)</f>
        <v>802</v>
      </c>
      <c r="L69" s="1">
        <f t="shared" si="3"/>
        <v>16.386000000000003</v>
      </c>
      <c r="M69" s="2">
        <f t="shared" si="4"/>
        <v>819.5</v>
      </c>
      <c r="N69" s="2"/>
      <c r="O69" s="1">
        <f t="shared" si="5"/>
        <v>15.198888888888888</v>
      </c>
      <c r="P69" s="2">
        <f t="shared" si="6"/>
        <v>753.69444444444446</v>
      </c>
      <c r="Q69" s="2"/>
      <c r="R69" s="2"/>
    </row>
    <row r="70" spans="1:18" x14ac:dyDescent="0.45">
      <c r="B70" s="4">
        <v>44375</v>
      </c>
      <c r="C70" s="1">
        <v>12.5</v>
      </c>
      <c r="D70">
        <v>578</v>
      </c>
      <c r="E70">
        <v>0</v>
      </c>
      <c r="F70">
        <v>9278</v>
      </c>
      <c r="G70" s="2">
        <f t="shared" ref="G70:G133" si="9">AVERAGE(F67:F70)</f>
        <v>11897</v>
      </c>
      <c r="I70" s="1">
        <f t="shared" si="7"/>
        <v>16.6875</v>
      </c>
      <c r="J70" s="2">
        <f t="shared" si="8"/>
        <v>790.25</v>
      </c>
      <c r="L70" s="1">
        <f t="shared" si="3"/>
        <v>16.732499999999998</v>
      </c>
      <c r="M70" s="2">
        <f t="shared" si="4"/>
        <v>824.2</v>
      </c>
      <c r="N70" s="2"/>
      <c r="O70" s="1">
        <f t="shared" si="5"/>
        <v>17.271111111111111</v>
      </c>
      <c r="P70" s="2">
        <f t="shared" si="6"/>
        <v>875.30555555555554</v>
      </c>
      <c r="Q70" s="2"/>
      <c r="R70" s="2"/>
    </row>
    <row r="71" spans="1:18" x14ac:dyDescent="0.45">
      <c r="A71" t="s">
        <v>22</v>
      </c>
      <c r="B71" s="4">
        <v>44382</v>
      </c>
      <c r="C71" s="1">
        <v>19.329999999999998</v>
      </c>
      <c r="D71">
        <v>954</v>
      </c>
      <c r="E71">
        <v>2</v>
      </c>
      <c r="F71">
        <v>13949</v>
      </c>
      <c r="G71" s="2">
        <f t="shared" si="9"/>
        <v>11437.25</v>
      </c>
      <c r="I71" s="1">
        <f t="shared" si="7"/>
        <v>16.27</v>
      </c>
      <c r="J71" s="2">
        <f t="shared" si="8"/>
        <v>767</v>
      </c>
      <c r="L71" s="1">
        <f t="shared" si="3"/>
        <v>16.661999999999999</v>
      </c>
      <c r="M71" s="2">
        <f t="shared" si="4"/>
        <v>806.75</v>
      </c>
      <c r="N71" s="2"/>
      <c r="O71" s="1">
        <f t="shared" si="5"/>
        <v>16.594166666666666</v>
      </c>
      <c r="P71" s="2">
        <f t="shared" si="6"/>
        <v>832.77777777777783</v>
      </c>
      <c r="Q71" s="2"/>
      <c r="R71" s="2"/>
    </row>
    <row r="72" spans="1:18" x14ac:dyDescent="0.45">
      <c r="B72" s="4">
        <v>44389</v>
      </c>
      <c r="C72" s="1">
        <v>16.329999999999998</v>
      </c>
      <c r="D72">
        <v>728</v>
      </c>
      <c r="E72">
        <v>2</v>
      </c>
      <c r="F72">
        <v>10464</v>
      </c>
      <c r="G72" s="2">
        <f t="shared" si="9"/>
        <v>11509.75</v>
      </c>
      <c r="I72" s="1">
        <f t="shared" si="7"/>
        <v>16.352499999999999</v>
      </c>
      <c r="J72" s="2">
        <f t="shared" si="8"/>
        <v>753.25</v>
      </c>
      <c r="L72" s="1">
        <f t="shared" si="3"/>
        <v>16.541</v>
      </c>
      <c r="M72" s="2">
        <f t="shared" si="4"/>
        <v>784.55</v>
      </c>
      <c r="N72" s="2"/>
      <c r="O72" s="1">
        <f t="shared" si="5"/>
        <v>16.114722222222223</v>
      </c>
      <c r="P72" s="2">
        <f t="shared" si="6"/>
        <v>784.5</v>
      </c>
      <c r="Q72" s="2"/>
      <c r="R72" s="2"/>
    </row>
    <row r="73" spans="1:18" x14ac:dyDescent="0.45">
      <c r="B73" s="4">
        <v>44396</v>
      </c>
      <c r="C73" s="1">
        <v>12.5</v>
      </c>
      <c r="D73">
        <v>562</v>
      </c>
      <c r="E73">
        <v>1</v>
      </c>
      <c r="F73">
        <v>7598</v>
      </c>
      <c r="G73" s="2">
        <f t="shared" si="9"/>
        <v>10322.25</v>
      </c>
      <c r="I73" s="1">
        <f t="shared" si="7"/>
        <v>15.164999999999999</v>
      </c>
      <c r="J73" s="2">
        <f t="shared" si="8"/>
        <v>705.5</v>
      </c>
      <c r="L73" s="1">
        <f t="shared" ref="L73:L136" si="10">((1*C66)+(2*C67)+(3*C68)+(4*C69)+(4*C70)+(3*C71)+(2*C72)+(C73))/20</f>
        <v>16.307499999999997</v>
      </c>
      <c r="M73" s="2">
        <f t="shared" ref="M73:M136" si="11">((1*D66)+(2*D67)+(3*D68)+(4*D69)+(4*D70)+(3*D71)+(2*D72)+(D73))/20</f>
        <v>763.6</v>
      </c>
      <c r="N73" s="2"/>
      <c r="O73" s="1">
        <f t="shared" si="5"/>
        <v>16.511111111111109</v>
      </c>
      <c r="P73" s="2">
        <f t="shared" si="6"/>
        <v>777.33333333333337</v>
      </c>
      <c r="Q73" s="2"/>
      <c r="R73" s="2"/>
    </row>
    <row r="74" spans="1:18" x14ac:dyDescent="0.45">
      <c r="A74" t="s">
        <v>23</v>
      </c>
      <c r="B74" s="4">
        <v>44403</v>
      </c>
      <c r="C74" s="1">
        <v>11</v>
      </c>
      <c r="D74">
        <v>481</v>
      </c>
      <c r="E74">
        <v>0</v>
      </c>
      <c r="F74">
        <v>6870</v>
      </c>
      <c r="G74" s="2">
        <f t="shared" si="9"/>
        <v>9720.25</v>
      </c>
      <c r="I74" s="1">
        <f t="shared" si="7"/>
        <v>14.79</v>
      </c>
      <c r="J74" s="2">
        <f t="shared" si="8"/>
        <v>681.25</v>
      </c>
      <c r="L74" s="1">
        <f t="shared" si="10"/>
        <v>15.853</v>
      </c>
      <c r="M74" s="2">
        <f t="shared" si="11"/>
        <v>739.45</v>
      </c>
      <c r="N74" s="2"/>
      <c r="O74" s="1">
        <f t="shared" si="5"/>
        <v>16.897499999999997</v>
      </c>
      <c r="P74" s="2">
        <f t="shared" si="6"/>
        <v>801.94444444444446</v>
      </c>
      <c r="Q74" s="2"/>
      <c r="R74" s="2"/>
    </row>
    <row r="75" spans="1:18" x14ac:dyDescent="0.45">
      <c r="B75" s="4">
        <v>44410</v>
      </c>
      <c r="C75" s="1">
        <v>7.75</v>
      </c>
      <c r="D75">
        <v>425</v>
      </c>
      <c r="E75">
        <v>0</v>
      </c>
      <c r="F75">
        <v>6020</v>
      </c>
      <c r="G75" s="2">
        <f t="shared" si="9"/>
        <v>7738</v>
      </c>
      <c r="I75" s="1">
        <f t="shared" si="7"/>
        <v>11.895</v>
      </c>
      <c r="J75" s="2">
        <f t="shared" si="8"/>
        <v>549</v>
      </c>
      <c r="L75" s="1">
        <f t="shared" si="10"/>
        <v>14.894499999999999</v>
      </c>
      <c r="M75" s="2">
        <f t="shared" si="11"/>
        <v>691.2</v>
      </c>
      <c r="N75" s="2"/>
      <c r="O75" s="1">
        <f t="shared" si="5"/>
        <v>15.360277777777778</v>
      </c>
      <c r="P75" s="2">
        <f t="shared" si="6"/>
        <v>715.5</v>
      </c>
      <c r="Q75" s="2"/>
      <c r="R75" s="2"/>
    </row>
    <row r="76" spans="1:18" x14ac:dyDescent="0.45">
      <c r="B76" s="4">
        <v>44417</v>
      </c>
      <c r="C76" s="1">
        <v>5</v>
      </c>
      <c r="D76" s="2">
        <v>200</v>
      </c>
      <c r="E76" s="2">
        <v>0</v>
      </c>
      <c r="F76" s="2">
        <v>3360</v>
      </c>
      <c r="G76" s="2">
        <f t="shared" si="9"/>
        <v>5962</v>
      </c>
      <c r="I76" s="1">
        <f t="shared" si="7"/>
        <v>9.0625</v>
      </c>
      <c r="J76" s="2">
        <f t="shared" si="8"/>
        <v>417</v>
      </c>
      <c r="L76" s="1">
        <f t="shared" si="10"/>
        <v>13.452999999999999</v>
      </c>
      <c r="M76" s="2">
        <f t="shared" si="11"/>
        <v>621.20000000000005</v>
      </c>
      <c r="N76" s="2"/>
      <c r="O76" s="1">
        <f t="shared" si="5"/>
        <v>14.628611111111111</v>
      </c>
      <c r="P76" s="2">
        <f t="shared" si="6"/>
        <v>671.52777777777783</v>
      </c>
      <c r="Q76" s="2"/>
      <c r="R76" s="2"/>
    </row>
    <row r="77" spans="1:18" x14ac:dyDescent="0.45">
      <c r="B77" s="4">
        <v>44424</v>
      </c>
      <c r="C77" s="1">
        <v>5.66</v>
      </c>
      <c r="D77">
        <v>250</v>
      </c>
      <c r="E77">
        <v>0</v>
      </c>
      <c r="F77">
        <v>4127</v>
      </c>
      <c r="G77" s="2">
        <f t="shared" si="9"/>
        <v>5094.25</v>
      </c>
      <c r="I77" s="1">
        <f t="shared" si="7"/>
        <v>7.3525</v>
      </c>
      <c r="J77" s="2">
        <f t="shared" si="8"/>
        <v>339</v>
      </c>
      <c r="L77" s="1">
        <f t="shared" si="10"/>
        <v>11.652999999999999</v>
      </c>
      <c r="M77" s="2">
        <f t="shared" si="11"/>
        <v>538.35</v>
      </c>
      <c r="N77" s="2"/>
      <c r="O77" s="1">
        <f t="shared" ref="O77:O140" si="12">((C77)+(C76*2)+(C75*3)+(C74*4)+(C73*5)+(C72*6)+(C71*7)+(C70*8))/36</f>
        <v>13.297222222222222</v>
      </c>
      <c r="P77" s="2">
        <f t="shared" ref="P77:P140" si="13">((D77)+(D76*2)+(D75*3)+(D74*4)+(D73*5)+(D72*6)+(D71*7)+(D70*8))/36</f>
        <v>620.25</v>
      </c>
      <c r="Q77" s="2"/>
      <c r="R77" s="2"/>
    </row>
    <row r="78" spans="1:18" x14ac:dyDescent="0.45">
      <c r="B78" s="4">
        <v>44431</v>
      </c>
      <c r="C78" s="1">
        <v>2.75</v>
      </c>
      <c r="D78">
        <v>78</v>
      </c>
      <c r="E78">
        <v>0</v>
      </c>
      <c r="F78">
        <v>1200</v>
      </c>
      <c r="G78" s="2">
        <f t="shared" si="9"/>
        <v>3676.75</v>
      </c>
      <c r="I78" s="1">
        <f t="shared" si="7"/>
        <v>5.29</v>
      </c>
      <c r="J78" s="2">
        <f t="shared" si="8"/>
        <v>238.25</v>
      </c>
      <c r="L78" s="1">
        <f t="shared" si="10"/>
        <v>9.6780000000000008</v>
      </c>
      <c r="M78" s="2">
        <f t="shared" si="11"/>
        <v>444.9</v>
      </c>
      <c r="N78" s="2"/>
      <c r="O78" s="1">
        <f t="shared" si="12"/>
        <v>12.750555555555556</v>
      </c>
      <c r="P78" s="2">
        <f t="shared" si="13"/>
        <v>593.97222222222217</v>
      </c>
      <c r="Q78" s="2"/>
      <c r="R78" s="2"/>
    </row>
    <row r="79" spans="1:18" x14ac:dyDescent="0.45">
      <c r="B79" s="4">
        <v>44438</v>
      </c>
      <c r="C79" s="1">
        <v>7</v>
      </c>
      <c r="D79">
        <v>303</v>
      </c>
      <c r="E79">
        <v>0</v>
      </c>
      <c r="F79">
        <v>3000</v>
      </c>
      <c r="G79" s="2">
        <f t="shared" si="9"/>
        <v>2921.75</v>
      </c>
      <c r="I79" s="1">
        <f t="shared" si="7"/>
        <v>5.1025</v>
      </c>
      <c r="J79" s="2">
        <f t="shared" si="8"/>
        <v>207.75</v>
      </c>
      <c r="L79" s="1">
        <f t="shared" si="10"/>
        <v>7.7404999999999999</v>
      </c>
      <c r="M79" s="2">
        <f t="shared" si="11"/>
        <v>350.2</v>
      </c>
      <c r="N79" s="2"/>
      <c r="O79" s="1">
        <f t="shared" si="12"/>
        <v>10.343611111111111</v>
      </c>
      <c r="P79" s="2">
        <f t="shared" si="13"/>
        <v>466.05555555555554</v>
      </c>
      <c r="Q79" s="2"/>
      <c r="R79" s="2"/>
    </row>
    <row r="80" spans="1:18" x14ac:dyDescent="0.45">
      <c r="B80" s="4">
        <v>44445</v>
      </c>
      <c r="C80" s="1">
        <v>14.75</v>
      </c>
      <c r="D80">
        <v>798</v>
      </c>
      <c r="E80">
        <v>0</v>
      </c>
      <c r="F80">
        <v>9000</v>
      </c>
      <c r="G80" s="2">
        <f t="shared" si="9"/>
        <v>4331.75</v>
      </c>
      <c r="I80" s="1">
        <f t="shared" si="7"/>
        <v>7.54</v>
      </c>
      <c r="J80" s="2">
        <f t="shared" si="8"/>
        <v>357.25</v>
      </c>
      <c r="L80" s="1">
        <f t="shared" si="10"/>
        <v>6.8694999999999995</v>
      </c>
      <c r="M80" s="2">
        <f t="shared" si="11"/>
        <v>311.85000000000002</v>
      </c>
      <c r="N80" s="2"/>
      <c r="O80" s="1">
        <f t="shared" si="12"/>
        <v>8.5594444444444449</v>
      </c>
      <c r="P80" s="2">
        <f t="shared" si="13"/>
        <v>390.30555555555554</v>
      </c>
      <c r="Q80" s="2"/>
      <c r="R80" s="2"/>
    </row>
    <row r="81" spans="2:18" x14ac:dyDescent="0.45">
      <c r="B81" s="4">
        <v>44452</v>
      </c>
      <c r="C81" s="1">
        <v>7.75</v>
      </c>
      <c r="D81">
        <v>360</v>
      </c>
      <c r="E81">
        <v>2</v>
      </c>
      <c r="F81">
        <v>6141</v>
      </c>
      <c r="G81" s="2">
        <f t="shared" si="9"/>
        <v>4835.25</v>
      </c>
      <c r="I81" s="1">
        <f t="shared" si="7"/>
        <v>8.0625</v>
      </c>
      <c r="J81" s="2">
        <f t="shared" si="8"/>
        <v>384.75</v>
      </c>
      <c r="L81" s="1">
        <f t="shared" si="10"/>
        <v>6.6694999999999993</v>
      </c>
      <c r="M81" s="2">
        <f t="shared" si="11"/>
        <v>305.39999999999998</v>
      </c>
      <c r="N81" s="2"/>
      <c r="O81" s="1">
        <f t="shared" si="12"/>
        <v>7.4944444444444445</v>
      </c>
      <c r="P81" s="2">
        <f t="shared" si="13"/>
        <v>345.83333333333331</v>
      </c>
      <c r="Q81" s="2"/>
      <c r="R81" s="2"/>
    </row>
    <row r="82" spans="2:18" x14ac:dyDescent="0.45">
      <c r="B82" s="4">
        <v>44459</v>
      </c>
      <c r="C82" s="1">
        <v>12.25</v>
      </c>
      <c r="D82">
        <v>532</v>
      </c>
      <c r="E82">
        <v>2</v>
      </c>
      <c r="F82">
        <v>9731</v>
      </c>
      <c r="G82" s="2">
        <f t="shared" si="9"/>
        <v>6968</v>
      </c>
      <c r="I82" s="1">
        <f t="shared" si="7"/>
        <v>10.4375</v>
      </c>
      <c r="J82" s="2">
        <f t="shared" si="8"/>
        <v>498.25</v>
      </c>
      <c r="L82" s="1">
        <f t="shared" si="10"/>
        <v>7.2865000000000011</v>
      </c>
      <c r="M82" s="2">
        <f t="shared" si="11"/>
        <v>337.25</v>
      </c>
      <c r="N82" s="2"/>
      <c r="O82" s="1">
        <f t="shared" si="12"/>
        <v>6.7975000000000003</v>
      </c>
      <c r="P82" s="2">
        <f t="shared" si="13"/>
        <v>320.77777777777777</v>
      </c>
      <c r="Q82" s="2"/>
      <c r="R82" s="2"/>
    </row>
    <row r="83" spans="2:18" x14ac:dyDescent="0.45">
      <c r="B83" s="4">
        <v>44466</v>
      </c>
      <c r="C83" s="1">
        <v>21.33</v>
      </c>
      <c r="D83">
        <v>1056</v>
      </c>
      <c r="E83">
        <v>1</v>
      </c>
      <c r="F83">
        <v>13704</v>
      </c>
      <c r="G83" s="2">
        <f t="shared" si="9"/>
        <v>9644</v>
      </c>
      <c r="I83" s="1">
        <f t="shared" si="7"/>
        <v>14.02</v>
      </c>
      <c r="J83" s="2">
        <f t="shared" si="8"/>
        <v>686.5</v>
      </c>
      <c r="L83" s="1">
        <f t="shared" si="10"/>
        <v>9.0324999999999989</v>
      </c>
      <c r="M83" s="2">
        <f t="shared" si="11"/>
        <v>426.9</v>
      </c>
      <c r="N83" s="2"/>
      <c r="O83" s="1">
        <f t="shared" si="12"/>
        <v>7.1999999999999993</v>
      </c>
      <c r="P83" s="2">
        <f t="shared" si="13"/>
        <v>325.69444444444446</v>
      </c>
      <c r="Q83" s="2"/>
      <c r="R83" s="2"/>
    </row>
    <row r="84" spans="2:18" x14ac:dyDescent="0.45">
      <c r="B84" s="4">
        <v>44473</v>
      </c>
      <c r="C84" s="1">
        <v>12.5</v>
      </c>
      <c r="D84">
        <v>706</v>
      </c>
      <c r="E84">
        <v>2</v>
      </c>
      <c r="F84">
        <v>6365</v>
      </c>
      <c r="G84" s="2">
        <f t="shared" si="9"/>
        <v>8985.25</v>
      </c>
      <c r="I84" s="1">
        <f t="shared" si="7"/>
        <v>13.4575</v>
      </c>
      <c r="J84" s="2">
        <f t="shared" si="8"/>
        <v>663.5</v>
      </c>
      <c r="L84" s="1">
        <f t="shared" si="10"/>
        <v>10.7035</v>
      </c>
      <c r="M84" s="2">
        <f t="shared" si="11"/>
        <v>518.04999999999995</v>
      </c>
      <c r="N84" s="2"/>
      <c r="O84" s="1">
        <f t="shared" si="12"/>
        <v>8.421944444444442</v>
      </c>
      <c r="P84" s="2">
        <f t="shared" si="13"/>
        <v>394.66666666666669</v>
      </c>
      <c r="Q84" s="2"/>
      <c r="R84" s="2"/>
    </row>
    <row r="85" spans="2:18" x14ac:dyDescent="0.45">
      <c r="B85" s="4">
        <v>44480</v>
      </c>
      <c r="C85" s="1">
        <v>22.33</v>
      </c>
      <c r="D85">
        <v>1065</v>
      </c>
      <c r="E85">
        <v>2</v>
      </c>
      <c r="F85">
        <v>17316</v>
      </c>
      <c r="G85" s="2">
        <f t="shared" si="9"/>
        <v>11779</v>
      </c>
      <c r="I85" s="1">
        <f t="shared" si="7"/>
        <v>17.102499999999999</v>
      </c>
      <c r="J85" s="2">
        <f t="shared" si="8"/>
        <v>839.75</v>
      </c>
      <c r="L85" s="1">
        <f t="shared" si="10"/>
        <v>12.616</v>
      </c>
      <c r="M85" s="2">
        <f t="shared" si="11"/>
        <v>614.54999999999995</v>
      </c>
      <c r="N85" s="2"/>
      <c r="O85" s="1">
        <f t="shared" si="12"/>
        <v>9.9602777777777778</v>
      </c>
      <c r="P85" s="2">
        <f t="shared" si="13"/>
        <v>475.16666666666669</v>
      </c>
      <c r="Q85" s="2"/>
      <c r="R85" s="2"/>
    </row>
    <row r="86" spans="2:18" x14ac:dyDescent="0.45">
      <c r="B86" s="4">
        <v>44487</v>
      </c>
      <c r="C86" s="1">
        <v>15.25</v>
      </c>
      <c r="D86">
        <v>689</v>
      </c>
      <c r="E86">
        <v>2</v>
      </c>
      <c r="F86">
        <v>11759</v>
      </c>
      <c r="G86" s="2">
        <f t="shared" si="9"/>
        <v>12286</v>
      </c>
      <c r="I86" s="1">
        <f t="shared" si="7"/>
        <v>17.852499999999999</v>
      </c>
      <c r="J86" s="2">
        <f t="shared" si="8"/>
        <v>879</v>
      </c>
      <c r="L86" s="1">
        <f t="shared" si="10"/>
        <v>14.574000000000002</v>
      </c>
      <c r="M86" s="2">
        <f t="shared" si="11"/>
        <v>713.4</v>
      </c>
      <c r="N86" s="2"/>
      <c r="O86" s="1">
        <f t="shared" si="12"/>
        <v>12.4925</v>
      </c>
      <c r="P86" s="2">
        <f t="shared" si="13"/>
        <v>610.86111111111109</v>
      </c>
      <c r="Q86" s="2"/>
      <c r="R86" s="2"/>
    </row>
    <row r="87" spans="2:18" x14ac:dyDescent="0.45">
      <c r="B87" s="4">
        <v>44494</v>
      </c>
      <c r="C87" s="1">
        <v>11.5</v>
      </c>
      <c r="D87">
        <v>579</v>
      </c>
      <c r="E87">
        <v>1</v>
      </c>
      <c r="F87">
        <v>6708</v>
      </c>
      <c r="G87" s="2">
        <f t="shared" si="9"/>
        <v>10537</v>
      </c>
      <c r="I87" s="1">
        <f t="shared" si="7"/>
        <v>15.395</v>
      </c>
      <c r="J87" s="2">
        <f t="shared" si="8"/>
        <v>759.75</v>
      </c>
      <c r="L87" s="1">
        <f t="shared" si="10"/>
        <v>15.5655</v>
      </c>
      <c r="M87" s="2">
        <f t="shared" si="11"/>
        <v>765.7</v>
      </c>
      <c r="N87" s="2"/>
      <c r="O87" s="1">
        <f t="shared" si="12"/>
        <v>14.205277777777777</v>
      </c>
      <c r="P87" s="2">
        <f t="shared" si="13"/>
        <v>704.22222222222217</v>
      </c>
      <c r="Q87" s="2"/>
      <c r="R87" s="2"/>
    </row>
    <row r="88" spans="2:18" x14ac:dyDescent="0.45">
      <c r="B88" s="4">
        <v>44501</v>
      </c>
      <c r="C88" s="1">
        <v>18</v>
      </c>
      <c r="D88">
        <v>804</v>
      </c>
      <c r="E88">
        <v>0</v>
      </c>
      <c r="F88">
        <v>14000</v>
      </c>
      <c r="G88" s="2">
        <f t="shared" si="9"/>
        <v>12445.75</v>
      </c>
      <c r="I88" s="1">
        <f t="shared" si="7"/>
        <v>16.77</v>
      </c>
      <c r="J88" s="2">
        <f t="shared" si="8"/>
        <v>784.25</v>
      </c>
      <c r="L88" s="1">
        <f t="shared" si="10"/>
        <v>16.115500000000001</v>
      </c>
      <c r="M88" s="2">
        <f t="shared" si="11"/>
        <v>785.25</v>
      </c>
      <c r="N88" s="2"/>
      <c r="O88" s="1">
        <f t="shared" si="12"/>
        <v>14.28611111111111</v>
      </c>
      <c r="P88" s="2">
        <f t="shared" si="13"/>
        <v>687.75</v>
      </c>
      <c r="Q88" s="2"/>
      <c r="R88" s="2"/>
    </row>
    <row r="89" spans="2:18" x14ac:dyDescent="0.45">
      <c r="B89" s="4">
        <v>44508</v>
      </c>
      <c r="C89" s="1">
        <v>16</v>
      </c>
      <c r="D89">
        <v>738</v>
      </c>
      <c r="E89">
        <v>0</v>
      </c>
      <c r="F89">
        <v>12312</v>
      </c>
      <c r="G89" s="2">
        <f t="shared" si="9"/>
        <v>11194.75</v>
      </c>
      <c r="I89" s="1">
        <f t="shared" si="7"/>
        <v>15.1875</v>
      </c>
      <c r="J89" s="2">
        <f t="shared" si="8"/>
        <v>702.5</v>
      </c>
      <c r="L89" s="1">
        <f t="shared" si="10"/>
        <v>16.461500000000001</v>
      </c>
      <c r="M89" s="2">
        <f t="shared" si="11"/>
        <v>793.05</v>
      </c>
      <c r="N89" s="2"/>
      <c r="O89" s="1">
        <f t="shared" si="12"/>
        <v>16.151666666666667</v>
      </c>
      <c r="P89" s="2">
        <f t="shared" si="13"/>
        <v>779.11111111111109</v>
      </c>
      <c r="Q89" s="2"/>
      <c r="R89" s="2"/>
    </row>
    <row r="90" spans="2:18" x14ac:dyDescent="0.45">
      <c r="B90" s="4">
        <v>44515</v>
      </c>
      <c r="C90" s="1">
        <v>12.25</v>
      </c>
      <c r="D90">
        <v>599</v>
      </c>
      <c r="E90">
        <v>0</v>
      </c>
      <c r="F90">
        <v>8794</v>
      </c>
      <c r="G90" s="2">
        <f t="shared" si="9"/>
        <v>10453.5</v>
      </c>
      <c r="I90" s="1">
        <f t="shared" si="7"/>
        <v>14.4375</v>
      </c>
      <c r="J90" s="2">
        <f t="shared" si="8"/>
        <v>680</v>
      </c>
      <c r="L90" s="1">
        <f t="shared" si="10"/>
        <v>15.9285</v>
      </c>
      <c r="M90" s="2">
        <f t="shared" si="11"/>
        <v>761.1</v>
      </c>
      <c r="N90" s="2"/>
      <c r="O90" s="1">
        <f t="shared" si="12"/>
        <v>17.017222222222223</v>
      </c>
      <c r="P90" s="2">
        <f t="shared" si="13"/>
        <v>834.11111111111109</v>
      </c>
      <c r="Q90" s="2"/>
      <c r="R90" s="2"/>
    </row>
    <row r="91" spans="2:18" x14ac:dyDescent="0.45">
      <c r="B91" s="4">
        <v>44522</v>
      </c>
      <c r="C91" s="1">
        <v>18.329999999999998</v>
      </c>
      <c r="D91">
        <v>853</v>
      </c>
      <c r="E91">
        <v>2</v>
      </c>
      <c r="F91">
        <v>12666</v>
      </c>
      <c r="G91" s="2">
        <f t="shared" si="9"/>
        <v>11943</v>
      </c>
      <c r="I91" s="1">
        <f t="shared" si="7"/>
        <v>16.145</v>
      </c>
      <c r="J91" s="2">
        <f t="shared" si="8"/>
        <v>748.5</v>
      </c>
      <c r="L91" s="1">
        <f t="shared" si="10"/>
        <v>15.586999999999998</v>
      </c>
      <c r="M91" s="2">
        <f t="shared" si="11"/>
        <v>735</v>
      </c>
      <c r="N91" s="2"/>
      <c r="O91" s="1">
        <f t="shared" si="12"/>
        <v>15.781666666666666</v>
      </c>
      <c r="P91" s="2">
        <f t="shared" si="13"/>
        <v>767.02777777777783</v>
      </c>
      <c r="Q91" s="2"/>
      <c r="R91" s="2"/>
    </row>
    <row r="92" spans="2:18" x14ac:dyDescent="0.45">
      <c r="B92" s="4">
        <v>44529</v>
      </c>
      <c r="C92" s="1">
        <v>15</v>
      </c>
      <c r="D92">
        <v>573</v>
      </c>
      <c r="E92">
        <v>2</v>
      </c>
      <c r="F92">
        <v>8366</v>
      </c>
      <c r="G92" s="2">
        <f t="shared" si="9"/>
        <v>10534.5</v>
      </c>
      <c r="I92" s="1">
        <f t="shared" si="7"/>
        <v>15.395</v>
      </c>
      <c r="J92" s="2">
        <f t="shared" si="8"/>
        <v>690.75</v>
      </c>
      <c r="L92" s="1">
        <f t="shared" si="10"/>
        <v>15.587</v>
      </c>
      <c r="M92" s="2">
        <f t="shared" si="11"/>
        <v>721.2</v>
      </c>
      <c r="N92" s="2"/>
      <c r="O92" s="1">
        <f t="shared" si="12"/>
        <v>16.577777777777776</v>
      </c>
      <c r="P92" s="2">
        <f t="shared" si="13"/>
        <v>774.02777777777783</v>
      </c>
      <c r="Q92" s="2"/>
      <c r="R92" s="2"/>
    </row>
    <row r="93" spans="2:18" x14ac:dyDescent="0.45">
      <c r="B93" s="4">
        <v>44536</v>
      </c>
      <c r="C93" s="1">
        <v>19</v>
      </c>
      <c r="D93">
        <v>831</v>
      </c>
      <c r="E93">
        <v>2</v>
      </c>
      <c r="F93">
        <v>12596</v>
      </c>
      <c r="G93" s="2">
        <f t="shared" si="9"/>
        <v>10605.5</v>
      </c>
      <c r="I93" s="1">
        <f t="shared" si="7"/>
        <v>16.145</v>
      </c>
      <c r="J93" s="2">
        <f t="shared" si="8"/>
        <v>714</v>
      </c>
      <c r="L93" s="1">
        <f t="shared" si="10"/>
        <v>15.462</v>
      </c>
      <c r="M93" s="2">
        <f t="shared" si="11"/>
        <v>707.15</v>
      </c>
      <c r="N93" s="2"/>
      <c r="O93" s="1">
        <f t="shared" si="12"/>
        <v>15.096944444444444</v>
      </c>
      <c r="P93" s="2">
        <f t="shared" si="13"/>
        <v>694.75</v>
      </c>
      <c r="Q93" s="2"/>
      <c r="R93" s="2"/>
    </row>
    <row r="94" spans="2:18" x14ac:dyDescent="0.45">
      <c r="B94" s="4">
        <v>44543</v>
      </c>
      <c r="C94" s="1">
        <v>11</v>
      </c>
      <c r="D94">
        <v>418</v>
      </c>
      <c r="E94">
        <v>2</v>
      </c>
      <c r="F94">
        <v>6515</v>
      </c>
      <c r="G94" s="2">
        <f t="shared" si="9"/>
        <v>10035.75</v>
      </c>
      <c r="I94" s="1">
        <f t="shared" si="7"/>
        <v>15.8325</v>
      </c>
      <c r="J94" s="2">
        <f t="shared" si="8"/>
        <v>668.75</v>
      </c>
      <c r="L94" s="1">
        <f t="shared" si="10"/>
        <v>15.590999999999999</v>
      </c>
      <c r="M94" s="2">
        <f t="shared" si="11"/>
        <v>700.4</v>
      </c>
      <c r="N94" s="2"/>
      <c r="O94" s="1">
        <f t="shared" si="12"/>
        <v>15.071388888888887</v>
      </c>
      <c r="P94" s="2">
        <f t="shared" si="13"/>
        <v>691.5</v>
      </c>
      <c r="Q94" s="2"/>
      <c r="R94" s="2"/>
    </row>
    <row r="95" spans="2:18" x14ac:dyDescent="0.45">
      <c r="B95" s="4">
        <v>44550</v>
      </c>
      <c r="C95" s="1">
        <v>8</v>
      </c>
      <c r="D95">
        <v>319</v>
      </c>
      <c r="E95">
        <v>2</v>
      </c>
      <c r="F95">
        <v>5660</v>
      </c>
      <c r="G95" s="2">
        <f t="shared" si="9"/>
        <v>8284.25</v>
      </c>
      <c r="I95" s="1">
        <f t="shared" si="7"/>
        <v>13.25</v>
      </c>
      <c r="J95" s="2">
        <f t="shared" si="8"/>
        <v>535.25</v>
      </c>
      <c r="L95" s="1">
        <f t="shared" si="10"/>
        <v>15.3535</v>
      </c>
      <c r="M95" s="2">
        <f t="shared" si="11"/>
        <v>671.45</v>
      </c>
      <c r="N95" s="2"/>
      <c r="O95" s="1">
        <f t="shared" si="12"/>
        <v>15.781944444444443</v>
      </c>
      <c r="P95" s="2">
        <f t="shared" si="13"/>
        <v>705.47222222222217</v>
      </c>
      <c r="Q95" s="2"/>
      <c r="R95" s="2"/>
    </row>
    <row r="96" spans="2:18" x14ac:dyDescent="0.45">
      <c r="B96" s="4">
        <v>44557</v>
      </c>
      <c r="C96" s="1">
        <v>11</v>
      </c>
      <c r="D96">
        <v>500</v>
      </c>
      <c r="E96">
        <v>2</v>
      </c>
      <c r="F96">
        <v>1912</v>
      </c>
      <c r="G96" s="2">
        <f t="shared" si="9"/>
        <v>6670.75</v>
      </c>
      <c r="I96" s="1">
        <f t="shared" si="7"/>
        <v>12.25</v>
      </c>
      <c r="J96" s="2">
        <f t="shared" si="8"/>
        <v>517</v>
      </c>
      <c r="L96" s="1">
        <f t="shared" si="10"/>
        <v>14.5745</v>
      </c>
      <c r="M96" s="2">
        <f t="shared" si="11"/>
        <v>625.15</v>
      </c>
      <c r="N96" s="2"/>
      <c r="O96" s="1">
        <f t="shared" si="12"/>
        <v>14.853611111111112</v>
      </c>
      <c r="P96" s="2">
        <f t="shared" si="13"/>
        <v>661</v>
      </c>
      <c r="Q96" s="2"/>
      <c r="R96" s="2"/>
    </row>
    <row r="97" spans="1:18" x14ac:dyDescent="0.45">
      <c r="A97" t="s">
        <v>29</v>
      </c>
      <c r="B97" s="4">
        <v>44564</v>
      </c>
      <c r="C97" s="1">
        <v>20.329999999999998</v>
      </c>
      <c r="D97">
        <v>1121</v>
      </c>
      <c r="E97" s="22">
        <v>0</v>
      </c>
      <c r="F97">
        <v>15580</v>
      </c>
      <c r="G97" s="2">
        <f t="shared" si="9"/>
        <v>7416.75</v>
      </c>
      <c r="I97" s="1">
        <f t="shared" si="7"/>
        <v>12.5825</v>
      </c>
      <c r="J97" s="2">
        <f t="shared" si="8"/>
        <v>589.5</v>
      </c>
      <c r="L97" s="1">
        <f t="shared" si="10"/>
        <v>14.011999999999997</v>
      </c>
      <c r="M97" s="2">
        <f t="shared" si="11"/>
        <v>604.9</v>
      </c>
      <c r="N97" s="2"/>
      <c r="O97" s="1">
        <f t="shared" si="12"/>
        <v>14.49</v>
      </c>
      <c r="P97" s="2">
        <f t="shared" si="13"/>
        <v>641.83333333333337</v>
      </c>
      <c r="Q97" s="2"/>
      <c r="R97" s="2"/>
    </row>
    <row r="98" spans="1:18" x14ac:dyDescent="0.45">
      <c r="B98" s="4">
        <v>44571</v>
      </c>
      <c r="C98" s="1">
        <v>9.5</v>
      </c>
      <c r="D98">
        <v>380</v>
      </c>
      <c r="E98">
        <v>1</v>
      </c>
      <c r="F98">
        <v>6163</v>
      </c>
      <c r="G98" s="2">
        <f t="shared" si="9"/>
        <v>7328.75</v>
      </c>
      <c r="I98" s="1">
        <f t="shared" si="7"/>
        <v>12.2075</v>
      </c>
      <c r="J98" s="2">
        <f t="shared" si="8"/>
        <v>580</v>
      </c>
      <c r="L98" s="1">
        <f t="shared" si="10"/>
        <v>13.224500000000001</v>
      </c>
      <c r="M98" s="2">
        <f t="shared" si="11"/>
        <v>578.1</v>
      </c>
      <c r="N98" s="2"/>
      <c r="O98" s="1">
        <f t="shared" si="12"/>
        <v>14.883333333333333</v>
      </c>
      <c r="P98" s="2">
        <f t="shared" si="13"/>
        <v>647.47222222222217</v>
      </c>
      <c r="Q98" s="2"/>
      <c r="R98" s="2"/>
    </row>
    <row r="99" spans="1:18" x14ac:dyDescent="0.45">
      <c r="B99" s="4">
        <v>44578</v>
      </c>
      <c r="C99" s="1">
        <v>14.75</v>
      </c>
      <c r="D99">
        <v>729</v>
      </c>
      <c r="E99">
        <v>2</v>
      </c>
      <c r="F99">
        <v>8382</v>
      </c>
      <c r="G99" s="2">
        <f t="shared" si="9"/>
        <v>8009.25</v>
      </c>
      <c r="I99" s="1">
        <f t="shared" si="7"/>
        <v>13.895</v>
      </c>
      <c r="J99" s="2">
        <f t="shared" si="8"/>
        <v>682.5</v>
      </c>
      <c r="L99" s="1">
        <f t="shared" si="10"/>
        <v>12.837</v>
      </c>
      <c r="M99" s="2">
        <f t="shared" si="11"/>
        <v>580.85</v>
      </c>
      <c r="N99" s="2"/>
      <c r="O99" s="1">
        <f t="shared" si="12"/>
        <v>13.826111111111111</v>
      </c>
      <c r="P99" s="2">
        <f t="shared" si="13"/>
        <v>593.22222222222217</v>
      </c>
      <c r="Q99" s="2"/>
      <c r="R99" s="2"/>
    </row>
    <row r="100" spans="1:18" x14ac:dyDescent="0.45">
      <c r="B100" s="4">
        <v>44585</v>
      </c>
      <c r="C100" s="1">
        <v>18.329999999999998</v>
      </c>
      <c r="D100">
        <v>773</v>
      </c>
      <c r="E100">
        <v>2</v>
      </c>
      <c r="F100">
        <v>11856</v>
      </c>
      <c r="G100" s="2">
        <f t="shared" si="9"/>
        <v>10495.25</v>
      </c>
      <c r="I100" s="1">
        <f t="shared" si="7"/>
        <v>15.727499999999999</v>
      </c>
      <c r="J100" s="2">
        <f t="shared" si="8"/>
        <v>750.75</v>
      </c>
      <c r="L100" s="1">
        <f t="shared" si="10"/>
        <v>13.3325</v>
      </c>
      <c r="M100" s="2">
        <f t="shared" si="11"/>
        <v>623.95000000000005</v>
      </c>
      <c r="N100" s="2"/>
      <c r="O100" s="1">
        <f t="shared" si="12"/>
        <v>13.601388888888888</v>
      </c>
      <c r="P100" s="2">
        <f t="shared" si="13"/>
        <v>606.75</v>
      </c>
      <c r="Q100" s="2"/>
      <c r="R100" s="2"/>
    </row>
    <row r="101" spans="1:18" x14ac:dyDescent="0.45">
      <c r="B101" s="4">
        <v>44592</v>
      </c>
      <c r="C101" s="1">
        <v>21</v>
      </c>
      <c r="D101">
        <v>877</v>
      </c>
      <c r="E101">
        <v>2</v>
      </c>
      <c r="F101">
        <v>14383</v>
      </c>
      <c r="G101" s="2">
        <f t="shared" si="9"/>
        <v>10196</v>
      </c>
      <c r="I101" s="1">
        <f t="shared" si="7"/>
        <v>15.895</v>
      </c>
      <c r="J101" s="2">
        <f t="shared" si="8"/>
        <v>689.75</v>
      </c>
      <c r="L101" s="1">
        <f t="shared" si="10"/>
        <v>14.061500000000001</v>
      </c>
      <c r="M101" s="2">
        <f t="shared" si="11"/>
        <v>658.5</v>
      </c>
      <c r="N101" s="2"/>
      <c r="O101" s="1">
        <f t="shared" si="12"/>
        <v>12.543333333333333</v>
      </c>
      <c r="P101" s="2">
        <f t="shared" si="13"/>
        <v>564.22222222222217</v>
      </c>
      <c r="Q101" s="2"/>
      <c r="R101" s="2"/>
    </row>
    <row r="102" spans="1:18" x14ac:dyDescent="0.45">
      <c r="B102" s="4">
        <v>44599</v>
      </c>
      <c r="C102" s="1">
        <v>14.5</v>
      </c>
      <c r="D102">
        <v>698</v>
      </c>
      <c r="E102">
        <v>2</v>
      </c>
      <c r="F102">
        <v>10446</v>
      </c>
      <c r="G102" s="2">
        <f t="shared" si="9"/>
        <v>11266.75</v>
      </c>
      <c r="I102" s="1">
        <f t="shared" si="7"/>
        <v>17.145</v>
      </c>
      <c r="J102" s="2">
        <f t="shared" si="8"/>
        <v>769.25</v>
      </c>
      <c r="L102" s="1">
        <f t="shared" si="10"/>
        <v>14.974</v>
      </c>
      <c r="M102" s="2">
        <f t="shared" si="11"/>
        <v>694.45</v>
      </c>
      <c r="N102" s="2"/>
      <c r="O102" s="1">
        <f t="shared" si="12"/>
        <v>13.360277777777778</v>
      </c>
      <c r="P102" s="2">
        <f t="shared" si="13"/>
        <v>621.25</v>
      </c>
      <c r="Q102" s="2"/>
      <c r="R102" s="2"/>
    </row>
    <row r="103" spans="1:18" x14ac:dyDescent="0.45">
      <c r="B103" s="4">
        <v>44606</v>
      </c>
      <c r="C103" s="1">
        <v>11.5</v>
      </c>
      <c r="D103">
        <v>528</v>
      </c>
      <c r="E103">
        <v>2</v>
      </c>
      <c r="F103">
        <v>7954</v>
      </c>
      <c r="G103" s="2">
        <f t="shared" si="9"/>
        <v>11159.75</v>
      </c>
      <c r="I103" s="1">
        <f t="shared" si="7"/>
        <v>16.3325</v>
      </c>
      <c r="J103" s="2">
        <f t="shared" si="8"/>
        <v>719</v>
      </c>
      <c r="L103" s="1">
        <f t="shared" si="10"/>
        <v>15.799000000000001</v>
      </c>
      <c r="M103" s="2">
        <f t="shared" si="11"/>
        <v>722.25</v>
      </c>
      <c r="N103" s="2"/>
      <c r="O103" s="1">
        <f t="shared" si="12"/>
        <v>14.941111111111111</v>
      </c>
      <c r="P103" s="2">
        <f t="shared" si="13"/>
        <v>706.08333333333337</v>
      </c>
      <c r="Q103" s="2"/>
      <c r="R103" s="2"/>
    </row>
    <row r="104" spans="1:18" x14ac:dyDescent="0.45">
      <c r="B104" s="4">
        <v>44613</v>
      </c>
      <c r="C104" s="1">
        <v>20.75</v>
      </c>
      <c r="D104">
        <v>932</v>
      </c>
      <c r="E104">
        <v>1</v>
      </c>
      <c r="F104">
        <v>13892</v>
      </c>
      <c r="G104" s="2">
        <f t="shared" si="9"/>
        <v>11668.75</v>
      </c>
      <c r="I104" s="1">
        <f t="shared" si="7"/>
        <v>16.9375</v>
      </c>
      <c r="J104" s="2">
        <f t="shared" si="8"/>
        <v>758.75</v>
      </c>
      <c r="L104" s="1">
        <f t="shared" si="10"/>
        <v>16.407499999999999</v>
      </c>
      <c r="M104" s="2">
        <f t="shared" si="11"/>
        <v>737.5</v>
      </c>
      <c r="N104" s="2"/>
      <c r="O104" s="1">
        <f t="shared" si="12"/>
        <v>16.126111111111111</v>
      </c>
      <c r="P104" s="2">
        <f t="shared" si="13"/>
        <v>762.69444444444446</v>
      </c>
      <c r="Q104" s="2"/>
      <c r="R104" s="2"/>
    </row>
    <row r="105" spans="1:18" x14ac:dyDescent="0.45">
      <c r="B105" s="4">
        <v>44620</v>
      </c>
      <c r="C105" s="1">
        <v>16.329999999999998</v>
      </c>
      <c r="D105">
        <v>957</v>
      </c>
      <c r="E105">
        <v>1</v>
      </c>
      <c r="F105">
        <v>11385</v>
      </c>
      <c r="G105" s="2">
        <f t="shared" si="9"/>
        <v>10919.25</v>
      </c>
      <c r="I105" s="1">
        <f t="shared" si="7"/>
        <v>15.77</v>
      </c>
      <c r="J105" s="2">
        <f t="shared" si="8"/>
        <v>778.75</v>
      </c>
      <c r="L105" s="1">
        <f t="shared" si="10"/>
        <v>16.416</v>
      </c>
      <c r="M105" s="2">
        <f t="shared" si="11"/>
        <v>743.1</v>
      </c>
      <c r="N105" s="2"/>
      <c r="O105" s="1">
        <f t="shared" si="12"/>
        <v>15.126666666666665</v>
      </c>
      <c r="P105" s="2">
        <f t="shared" si="13"/>
        <v>676.75</v>
      </c>
      <c r="Q105" s="2"/>
      <c r="R105" s="2"/>
    </row>
    <row r="106" spans="1:18" x14ac:dyDescent="0.45">
      <c r="B106" s="4">
        <v>44627</v>
      </c>
      <c r="C106" s="1">
        <v>7.25</v>
      </c>
      <c r="D106">
        <v>289</v>
      </c>
      <c r="E106">
        <v>1</v>
      </c>
      <c r="F106">
        <v>4211</v>
      </c>
      <c r="G106" s="2">
        <f t="shared" si="9"/>
        <v>9360.5</v>
      </c>
      <c r="I106" s="1">
        <f t="shared" si="7"/>
        <v>13.9575</v>
      </c>
      <c r="J106" s="2">
        <f t="shared" si="8"/>
        <v>676.5</v>
      </c>
      <c r="L106" s="1">
        <f t="shared" si="10"/>
        <v>16.028499999999998</v>
      </c>
      <c r="M106" s="2">
        <f t="shared" si="11"/>
        <v>740.45</v>
      </c>
      <c r="N106" s="2"/>
      <c r="O106" s="1">
        <f t="shared" si="12"/>
        <v>16.471388888888889</v>
      </c>
      <c r="P106" s="2">
        <f t="shared" si="13"/>
        <v>752.94444444444446</v>
      </c>
      <c r="Q106" s="2"/>
      <c r="R106" s="2"/>
    </row>
    <row r="107" spans="1:18" x14ac:dyDescent="0.45">
      <c r="A107" t="s">
        <v>89</v>
      </c>
      <c r="B107" s="4">
        <v>44634</v>
      </c>
      <c r="C107" s="1">
        <v>7.5</v>
      </c>
      <c r="D107">
        <v>263</v>
      </c>
      <c r="E107">
        <v>0</v>
      </c>
      <c r="F107">
        <v>4076</v>
      </c>
      <c r="G107" s="2">
        <f t="shared" si="9"/>
        <v>8391</v>
      </c>
      <c r="I107" s="1">
        <f t="shared" si="7"/>
        <v>12.9575</v>
      </c>
      <c r="J107" s="2">
        <f t="shared" si="8"/>
        <v>610.25</v>
      </c>
      <c r="L107" s="1">
        <f t="shared" si="10"/>
        <v>15.190999999999999</v>
      </c>
      <c r="M107" s="2">
        <f t="shared" si="11"/>
        <v>708.65</v>
      </c>
      <c r="N107" s="2"/>
      <c r="O107" s="1">
        <f t="shared" si="12"/>
        <v>16.448055555555555</v>
      </c>
      <c r="P107" s="2">
        <f t="shared" si="13"/>
        <v>738.63888888888891</v>
      </c>
      <c r="Q107" s="2"/>
      <c r="R107" s="2"/>
    </row>
    <row r="108" spans="1:18" x14ac:dyDescent="0.45">
      <c r="B108" s="4">
        <v>44641</v>
      </c>
      <c r="C108" s="1">
        <v>12.75</v>
      </c>
      <c r="D108">
        <v>509</v>
      </c>
      <c r="E108">
        <v>2</v>
      </c>
      <c r="F108">
        <v>8990</v>
      </c>
      <c r="G108" s="2">
        <f t="shared" si="9"/>
        <v>7165.5</v>
      </c>
      <c r="I108" s="1">
        <f t="shared" si="7"/>
        <v>10.9575</v>
      </c>
      <c r="J108" s="2">
        <f t="shared" si="8"/>
        <v>504.5</v>
      </c>
      <c r="L108" s="1">
        <f t="shared" si="10"/>
        <v>14.116</v>
      </c>
      <c r="M108" s="2">
        <f t="shared" si="11"/>
        <v>665.75</v>
      </c>
      <c r="N108" s="2"/>
      <c r="O108" s="1">
        <f t="shared" si="12"/>
        <v>15.474166666666665</v>
      </c>
      <c r="P108" s="2">
        <f t="shared" si="13"/>
        <v>707.22222222222217</v>
      </c>
      <c r="Q108" s="2"/>
      <c r="R108" s="2"/>
    </row>
    <row r="109" spans="1:18" x14ac:dyDescent="0.45">
      <c r="B109" s="4">
        <v>44648</v>
      </c>
      <c r="C109" s="1">
        <v>12.75</v>
      </c>
      <c r="D109">
        <v>466</v>
      </c>
      <c r="E109">
        <v>0</v>
      </c>
      <c r="F109">
        <v>7757</v>
      </c>
      <c r="G109" s="2">
        <f t="shared" si="9"/>
        <v>6258.5</v>
      </c>
      <c r="I109" s="1">
        <f t="shared" si="7"/>
        <v>10.0625</v>
      </c>
      <c r="J109" s="2">
        <f t="shared" si="8"/>
        <v>381.75</v>
      </c>
      <c r="L109" s="1">
        <f t="shared" si="10"/>
        <v>12.741</v>
      </c>
      <c r="M109" s="2">
        <f t="shared" si="11"/>
        <v>590.35</v>
      </c>
      <c r="N109" s="2"/>
      <c r="O109" s="1">
        <f t="shared" si="12"/>
        <v>13.677777777777777</v>
      </c>
      <c r="P109" s="2">
        <f t="shared" si="13"/>
        <v>641.27777777777783</v>
      </c>
      <c r="Q109" s="2"/>
      <c r="R109" s="2"/>
    </row>
    <row r="110" spans="1:18" x14ac:dyDescent="0.45">
      <c r="A110" t="s">
        <v>140</v>
      </c>
      <c r="B110" s="4">
        <v>44655</v>
      </c>
      <c r="C110" s="1">
        <v>13.33</v>
      </c>
      <c r="D110">
        <v>515</v>
      </c>
      <c r="E110">
        <v>0</v>
      </c>
      <c r="F110">
        <v>632</v>
      </c>
      <c r="G110" s="2">
        <f t="shared" si="9"/>
        <v>5363.75</v>
      </c>
      <c r="I110" s="1">
        <f t="shared" si="7"/>
        <v>11.5825</v>
      </c>
      <c r="J110" s="2">
        <f t="shared" si="8"/>
        <v>438.25</v>
      </c>
      <c r="L110" s="1">
        <f t="shared" si="10"/>
        <v>11.903500000000001</v>
      </c>
      <c r="M110" s="2">
        <f t="shared" si="11"/>
        <v>522.25</v>
      </c>
      <c r="N110" s="2"/>
      <c r="O110" s="1">
        <f t="shared" si="12"/>
        <v>13.293333333333331</v>
      </c>
      <c r="P110" s="2">
        <f t="shared" si="13"/>
        <v>610.02777777777783</v>
      </c>
      <c r="Q110" s="2"/>
      <c r="R110" s="2"/>
    </row>
    <row r="111" spans="1:18" x14ac:dyDescent="0.45">
      <c r="B111" s="4">
        <v>44662</v>
      </c>
      <c r="C111" s="1">
        <v>19.5</v>
      </c>
      <c r="D111">
        <v>855</v>
      </c>
      <c r="E111">
        <v>2</v>
      </c>
      <c r="F111">
        <v>13293</v>
      </c>
      <c r="G111" s="2">
        <f t="shared" si="9"/>
        <v>7668</v>
      </c>
      <c r="I111" s="1">
        <f t="shared" si="7"/>
        <v>14.5825</v>
      </c>
      <c r="J111" s="2">
        <f t="shared" si="8"/>
        <v>586.25</v>
      </c>
      <c r="L111" s="1">
        <f t="shared" si="10"/>
        <v>12.028499999999999</v>
      </c>
      <c r="M111" s="2">
        <f t="shared" si="11"/>
        <v>504.2</v>
      </c>
      <c r="N111" s="2"/>
      <c r="O111" s="1">
        <f t="shared" si="12"/>
        <v>13.797777777777776</v>
      </c>
      <c r="P111" s="2">
        <f t="shared" si="13"/>
        <v>625.63888888888891</v>
      </c>
      <c r="Q111" s="2"/>
      <c r="R111" s="2"/>
    </row>
    <row r="112" spans="1:18" x14ac:dyDescent="0.45">
      <c r="B112" s="4">
        <v>44669</v>
      </c>
      <c r="C112" s="1">
        <v>10</v>
      </c>
      <c r="D112">
        <v>530</v>
      </c>
      <c r="E112">
        <v>1</v>
      </c>
      <c r="F112">
        <v>7411</v>
      </c>
      <c r="G112" s="2">
        <f t="shared" si="9"/>
        <v>7273.25</v>
      </c>
      <c r="I112" s="1">
        <f t="shared" si="7"/>
        <v>13.895</v>
      </c>
      <c r="J112" s="2">
        <f t="shared" si="8"/>
        <v>591.5</v>
      </c>
      <c r="L112" s="1">
        <f t="shared" si="10"/>
        <v>12.215999999999999</v>
      </c>
      <c r="M112" s="2">
        <f t="shared" si="11"/>
        <v>500.45</v>
      </c>
      <c r="N112" s="2"/>
      <c r="O112" s="1">
        <f t="shared" si="12"/>
        <v>11.948055555555555</v>
      </c>
      <c r="P112" s="2">
        <f t="shared" si="13"/>
        <v>540.30555555555554</v>
      </c>
      <c r="Q112" s="2"/>
      <c r="R112" s="2"/>
    </row>
    <row r="113" spans="1:18" x14ac:dyDescent="0.45">
      <c r="B113" s="4">
        <v>44676</v>
      </c>
      <c r="C113" s="1">
        <v>16</v>
      </c>
      <c r="D113">
        <v>894</v>
      </c>
      <c r="E113">
        <v>2</v>
      </c>
      <c r="F113">
        <v>8227</v>
      </c>
      <c r="G113" s="2">
        <f t="shared" si="9"/>
        <v>7390.75</v>
      </c>
      <c r="I113" s="1">
        <f t="shared" si="7"/>
        <v>14.7075</v>
      </c>
      <c r="J113" s="2">
        <f t="shared" si="8"/>
        <v>698.5</v>
      </c>
      <c r="L113" s="1">
        <f t="shared" si="10"/>
        <v>12.965999999999999</v>
      </c>
      <c r="M113" s="2">
        <f t="shared" si="11"/>
        <v>539.25</v>
      </c>
      <c r="N113" s="2"/>
      <c r="O113" s="1">
        <f t="shared" si="12"/>
        <v>11.071388888888889</v>
      </c>
      <c r="P113" s="2">
        <f t="shared" si="13"/>
        <v>447.66666666666669</v>
      </c>
      <c r="Q113" s="2"/>
      <c r="R113" s="2"/>
    </row>
    <row r="114" spans="1:18" x14ac:dyDescent="0.45">
      <c r="B114" s="4">
        <v>44683</v>
      </c>
      <c r="C114" s="1">
        <v>13.33</v>
      </c>
      <c r="D114">
        <v>468</v>
      </c>
      <c r="E114">
        <v>2</v>
      </c>
      <c r="F114">
        <v>8775</v>
      </c>
      <c r="G114" s="2">
        <f t="shared" si="9"/>
        <v>9426.5</v>
      </c>
      <c r="I114" s="1">
        <f t="shared" si="7"/>
        <v>14.7075</v>
      </c>
      <c r="J114" s="2">
        <f t="shared" si="8"/>
        <v>686.75</v>
      </c>
      <c r="L114" s="1">
        <f t="shared" si="10"/>
        <v>13.895</v>
      </c>
      <c r="M114" s="2">
        <f t="shared" si="11"/>
        <v>600.25</v>
      </c>
      <c r="N114" s="2"/>
      <c r="O114" s="1">
        <f t="shared" si="12"/>
        <v>12.381388888888889</v>
      </c>
      <c r="P114" s="2">
        <f t="shared" si="13"/>
        <v>508.44444444444446</v>
      </c>
      <c r="Q114" s="2"/>
      <c r="R114" s="2"/>
    </row>
    <row r="115" spans="1:18" x14ac:dyDescent="0.45">
      <c r="A115" t="s">
        <v>92</v>
      </c>
      <c r="B115" s="4">
        <v>44690</v>
      </c>
      <c r="C115" s="1">
        <v>12.66</v>
      </c>
      <c r="D115">
        <v>530</v>
      </c>
      <c r="E115">
        <v>0</v>
      </c>
      <c r="F115">
        <v>6608</v>
      </c>
      <c r="G115" s="2">
        <f t="shared" si="9"/>
        <v>7755.25</v>
      </c>
      <c r="I115" s="1">
        <f t="shared" si="7"/>
        <v>12.997499999999999</v>
      </c>
      <c r="J115" s="2">
        <f t="shared" si="8"/>
        <v>605.5</v>
      </c>
      <c r="L115" s="1">
        <f t="shared" si="10"/>
        <v>14.178000000000003</v>
      </c>
      <c r="M115" s="2">
        <f t="shared" si="11"/>
        <v>633.70000000000005</v>
      </c>
      <c r="N115" s="2"/>
      <c r="O115" s="1">
        <f t="shared" si="12"/>
        <v>13.779166666666667</v>
      </c>
      <c r="P115" s="2">
        <f t="shared" si="13"/>
        <v>582.41666666666663</v>
      </c>
      <c r="Q115" s="2"/>
      <c r="R115" s="2"/>
    </row>
    <row r="116" spans="1:18" x14ac:dyDescent="0.45">
      <c r="B116" s="4">
        <v>44697</v>
      </c>
      <c r="C116" s="1">
        <v>13.66</v>
      </c>
      <c r="D116">
        <v>434</v>
      </c>
      <c r="E116">
        <v>1</v>
      </c>
      <c r="F116">
        <v>8941</v>
      </c>
      <c r="G116" s="2">
        <f t="shared" si="9"/>
        <v>8137.75</v>
      </c>
      <c r="I116" s="1">
        <f t="shared" si="7"/>
        <v>13.912499999999998</v>
      </c>
      <c r="J116" s="2">
        <f t="shared" si="8"/>
        <v>581.5</v>
      </c>
      <c r="L116" s="1">
        <f t="shared" si="10"/>
        <v>14.044000000000002</v>
      </c>
      <c r="M116" s="2">
        <f t="shared" si="11"/>
        <v>632.75</v>
      </c>
      <c r="N116" s="2"/>
      <c r="O116" s="1">
        <f t="shared" si="12"/>
        <v>14.035555555555556</v>
      </c>
      <c r="P116" s="2">
        <f t="shared" si="13"/>
        <v>599.63888888888891</v>
      </c>
      <c r="Q116" s="2"/>
      <c r="R116" s="2"/>
    </row>
    <row r="117" spans="1:18" x14ac:dyDescent="0.45">
      <c r="B117" s="4">
        <v>44704</v>
      </c>
      <c r="C117" s="1">
        <v>21.5</v>
      </c>
      <c r="D117">
        <v>1050</v>
      </c>
      <c r="E117">
        <v>2</v>
      </c>
      <c r="F117">
        <v>16666</v>
      </c>
      <c r="G117" s="2">
        <f t="shared" si="9"/>
        <v>10247.5</v>
      </c>
      <c r="I117" s="1">
        <f t="shared" si="7"/>
        <v>15.287500000000001</v>
      </c>
      <c r="J117" s="2">
        <f t="shared" si="8"/>
        <v>620.5</v>
      </c>
      <c r="L117" s="1">
        <f t="shared" si="10"/>
        <v>14.3225</v>
      </c>
      <c r="M117" s="2">
        <f t="shared" si="11"/>
        <v>638.54999999999995</v>
      </c>
      <c r="N117" s="2"/>
      <c r="O117" s="1">
        <f t="shared" si="12"/>
        <v>14.535</v>
      </c>
      <c r="P117" s="2">
        <f t="shared" si="13"/>
        <v>642.63888888888891</v>
      </c>
      <c r="Q117" s="2"/>
      <c r="R117" s="2"/>
    </row>
    <row r="118" spans="1:18" x14ac:dyDescent="0.45">
      <c r="B118" s="4">
        <v>44711</v>
      </c>
      <c r="C118" s="1">
        <v>16.25</v>
      </c>
      <c r="D118">
        <v>698</v>
      </c>
      <c r="E118">
        <v>2</v>
      </c>
      <c r="F118">
        <v>11573</v>
      </c>
      <c r="G118" s="2">
        <f t="shared" si="9"/>
        <v>10947</v>
      </c>
      <c r="I118" s="1">
        <f t="shared" si="7"/>
        <v>16.017499999999998</v>
      </c>
      <c r="J118" s="2">
        <f t="shared" si="8"/>
        <v>678</v>
      </c>
      <c r="L118" s="1">
        <f t="shared" si="10"/>
        <v>14.5845</v>
      </c>
      <c r="M118" s="2">
        <f t="shared" si="11"/>
        <v>634.45000000000005</v>
      </c>
      <c r="N118" s="2"/>
      <c r="O118" s="1">
        <f t="shared" si="12"/>
        <v>14.986666666666666</v>
      </c>
      <c r="P118" s="2">
        <f t="shared" si="13"/>
        <v>679.83333333333337</v>
      </c>
      <c r="Q118" s="2"/>
      <c r="R118" s="2"/>
    </row>
    <row r="119" spans="1:18" x14ac:dyDescent="0.45">
      <c r="B119" s="4">
        <v>44718</v>
      </c>
      <c r="C119" s="1">
        <v>20.75</v>
      </c>
      <c r="D119">
        <v>1007</v>
      </c>
      <c r="E119">
        <v>2</v>
      </c>
      <c r="F119">
        <v>15711</v>
      </c>
      <c r="G119" s="2">
        <f t="shared" si="9"/>
        <v>13222.75</v>
      </c>
      <c r="I119" s="1">
        <f t="shared" si="7"/>
        <v>18.04</v>
      </c>
      <c r="J119" s="2">
        <f t="shared" si="8"/>
        <v>797.25</v>
      </c>
      <c r="L119" s="1">
        <f t="shared" si="10"/>
        <v>15.250999999999999</v>
      </c>
      <c r="M119" s="2">
        <f t="shared" si="11"/>
        <v>656.55</v>
      </c>
      <c r="N119" s="2"/>
      <c r="O119" s="1">
        <f t="shared" si="12"/>
        <v>14.101944444444445</v>
      </c>
      <c r="P119" s="2">
        <f t="shared" si="13"/>
        <v>645.69444444444446</v>
      </c>
      <c r="Q119" s="2"/>
      <c r="R119" s="2"/>
    </row>
    <row r="120" spans="1:18" x14ac:dyDescent="0.45">
      <c r="B120" s="4">
        <v>44725</v>
      </c>
      <c r="C120" s="1">
        <v>13.66</v>
      </c>
      <c r="D120">
        <v>672</v>
      </c>
      <c r="E120">
        <v>2</v>
      </c>
      <c r="F120">
        <v>10106</v>
      </c>
      <c r="G120" s="2">
        <f t="shared" si="9"/>
        <v>13514</v>
      </c>
      <c r="I120" s="1">
        <f t="shared" si="7"/>
        <v>18.04</v>
      </c>
      <c r="J120" s="2">
        <f t="shared" si="8"/>
        <v>856.75</v>
      </c>
      <c r="L120" s="1">
        <f t="shared" si="10"/>
        <v>16.259499999999999</v>
      </c>
      <c r="M120" s="2">
        <f t="shared" si="11"/>
        <v>706.8</v>
      </c>
      <c r="N120" s="2"/>
      <c r="O120" s="1">
        <f t="shared" si="12"/>
        <v>15.43</v>
      </c>
      <c r="P120" s="2">
        <f t="shared" si="13"/>
        <v>687.72222222222217</v>
      </c>
      <c r="Q120" s="2"/>
      <c r="R120" s="2"/>
    </row>
    <row r="121" spans="1:18" x14ac:dyDescent="0.45">
      <c r="B121" s="4">
        <v>44732</v>
      </c>
      <c r="C121" s="1">
        <v>17</v>
      </c>
      <c r="D121">
        <v>779</v>
      </c>
      <c r="E121">
        <v>2</v>
      </c>
      <c r="F121">
        <v>12448</v>
      </c>
      <c r="G121" s="2">
        <f t="shared" si="9"/>
        <v>12459.5</v>
      </c>
      <c r="I121" s="1">
        <f t="shared" si="7"/>
        <v>16.914999999999999</v>
      </c>
      <c r="J121" s="2">
        <f t="shared" si="8"/>
        <v>789</v>
      </c>
      <c r="L121" s="1">
        <f t="shared" si="10"/>
        <v>16.86</v>
      </c>
      <c r="M121" s="2">
        <f t="shared" si="11"/>
        <v>748.3</v>
      </c>
      <c r="N121" s="2"/>
      <c r="O121" s="1">
        <f t="shared" si="12"/>
        <v>15.452499999999999</v>
      </c>
      <c r="P121" s="2">
        <f t="shared" si="13"/>
        <v>645.66666666666663</v>
      </c>
      <c r="Q121" s="2"/>
      <c r="R121" s="2"/>
    </row>
    <row r="122" spans="1:18" x14ac:dyDescent="0.45">
      <c r="B122" s="4">
        <v>44739</v>
      </c>
      <c r="C122" s="1">
        <v>9</v>
      </c>
      <c r="D122">
        <v>459</v>
      </c>
      <c r="E122">
        <v>2</v>
      </c>
      <c r="F122">
        <v>5995</v>
      </c>
      <c r="G122" s="2">
        <f t="shared" si="9"/>
        <v>11065</v>
      </c>
      <c r="I122" s="1">
        <f t="shared" si="7"/>
        <v>15.102499999999999</v>
      </c>
      <c r="J122" s="2">
        <f t="shared" si="8"/>
        <v>729.25</v>
      </c>
      <c r="L122" s="1">
        <f t="shared" si="10"/>
        <v>16.823</v>
      </c>
      <c r="M122" s="2">
        <f t="shared" si="11"/>
        <v>770.05</v>
      </c>
      <c r="N122" s="2"/>
      <c r="O122" s="1">
        <f t="shared" si="12"/>
        <v>15.948055555555555</v>
      </c>
      <c r="P122" s="2">
        <f t="shared" si="13"/>
        <v>698.02777777777783</v>
      </c>
      <c r="Q122" s="2"/>
      <c r="R122" s="2"/>
    </row>
    <row r="123" spans="1:18" x14ac:dyDescent="0.45">
      <c r="A123" t="s">
        <v>36</v>
      </c>
      <c r="B123" s="4">
        <v>44746</v>
      </c>
      <c r="C123" s="1">
        <v>14</v>
      </c>
      <c r="D123">
        <v>642</v>
      </c>
      <c r="E123">
        <v>0</v>
      </c>
      <c r="F123">
        <v>9297</v>
      </c>
      <c r="G123" s="2">
        <f t="shared" si="9"/>
        <v>9461.5</v>
      </c>
      <c r="I123" s="1">
        <f t="shared" si="7"/>
        <v>13.414999999999999</v>
      </c>
      <c r="J123" s="2">
        <f t="shared" si="8"/>
        <v>638</v>
      </c>
      <c r="L123" s="1">
        <f t="shared" si="10"/>
        <v>16.302500000000002</v>
      </c>
      <c r="M123" s="2">
        <f t="shared" si="11"/>
        <v>762.05</v>
      </c>
      <c r="N123" s="2"/>
      <c r="O123" s="1">
        <f t="shared" si="12"/>
        <v>16.62972222222222</v>
      </c>
      <c r="P123" s="2">
        <f t="shared" si="13"/>
        <v>739.72222222222217</v>
      </c>
      <c r="Q123" s="2"/>
      <c r="R123" s="2"/>
    </row>
    <row r="124" spans="1:18" x14ac:dyDescent="0.45">
      <c r="B124" s="4">
        <v>44753</v>
      </c>
      <c r="C124" s="1">
        <v>16.75</v>
      </c>
      <c r="D124">
        <v>761</v>
      </c>
      <c r="E124">
        <v>1</v>
      </c>
      <c r="F124">
        <v>8256</v>
      </c>
      <c r="G124" s="2">
        <f t="shared" si="9"/>
        <v>8999</v>
      </c>
      <c r="I124" s="1">
        <f t="shared" si="7"/>
        <v>14.1875</v>
      </c>
      <c r="J124" s="2">
        <f t="shared" si="8"/>
        <v>660.25</v>
      </c>
      <c r="L124" s="1">
        <f t="shared" si="10"/>
        <v>15.532</v>
      </c>
      <c r="M124" s="2">
        <f t="shared" si="11"/>
        <v>734.65</v>
      </c>
      <c r="N124" s="2"/>
      <c r="O124" s="1">
        <f t="shared" si="12"/>
        <v>17.174999999999997</v>
      </c>
      <c r="P124" s="2">
        <f t="shared" si="13"/>
        <v>811.83333333333337</v>
      </c>
      <c r="Q124" s="2"/>
      <c r="R124" s="2"/>
    </row>
    <row r="125" spans="1:18" x14ac:dyDescent="0.45">
      <c r="B125" s="4">
        <v>44760</v>
      </c>
      <c r="C125" s="1">
        <v>11.5</v>
      </c>
      <c r="D125">
        <v>544</v>
      </c>
      <c r="E125">
        <v>0</v>
      </c>
      <c r="F125">
        <v>7220</v>
      </c>
      <c r="G125" s="2">
        <f t="shared" si="9"/>
        <v>7692</v>
      </c>
      <c r="I125" s="1">
        <f t="shared" si="7"/>
        <v>12.8125</v>
      </c>
      <c r="J125" s="2">
        <f t="shared" si="8"/>
        <v>601.5</v>
      </c>
      <c r="L125" s="1">
        <f t="shared" si="10"/>
        <v>14.486500000000001</v>
      </c>
      <c r="M125" s="2">
        <f t="shared" si="11"/>
        <v>683.6</v>
      </c>
      <c r="N125" s="2"/>
      <c r="O125" s="1">
        <f t="shared" si="12"/>
        <v>15.700277777777778</v>
      </c>
      <c r="P125" s="2">
        <f t="shared" si="13"/>
        <v>733</v>
      </c>
      <c r="Q125" s="2"/>
      <c r="R125" s="2"/>
    </row>
    <row r="126" spans="1:18" x14ac:dyDescent="0.45">
      <c r="A126" t="s">
        <v>37</v>
      </c>
      <c r="B126" s="4">
        <v>44767</v>
      </c>
      <c r="C126" s="1">
        <v>9</v>
      </c>
      <c r="D126">
        <v>357</v>
      </c>
      <c r="E126">
        <v>0</v>
      </c>
      <c r="F126">
        <v>5137</v>
      </c>
      <c r="G126" s="2">
        <f t="shared" si="9"/>
        <v>7477.5</v>
      </c>
      <c r="I126" s="1">
        <f t="shared" si="7"/>
        <v>12.8125</v>
      </c>
      <c r="J126" s="2">
        <f t="shared" si="8"/>
        <v>576</v>
      </c>
      <c r="L126" s="1">
        <f t="shared" si="10"/>
        <v>13.666</v>
      </c>
      <c r="M126" s="2">
        <f t="shared" si="11"/>
        <v>641</v>
      </c>
      <c r="N126" s="2"/>
      <c r="O126" s="1">
        <f t="shared" si="12"/>
        <v>15.190833333333334</v>
      </c>
      <c r="P126" s="2">
        <f t="shared" si="13"/>
        <v>722.91666666666663</v>
      </c>
      <c r="Q126" s="2"/>
      <c r="R126" s="2"/>
    </row>
    <row r="127" spans="1:18" x14ac:dyDescent="0.45">
      <c r="B127" s="4">
        <v>44774</v>
      </c>
      <c r="C127" s="1">
        <v>1.5</v>
      </c>
      <c r="D127">
        <v>82</v>
      </c>
      <c r="E127">
        <v>0</v>
      </c>
      <c r="F127">
        <v>807</v>
      </c>
      <c r="G127" s="2">
        <f t="shared" si="9"/>
        <v>5355</v>
      </c>
      <c r="I127" s="1">
        <f t="shared" si="7"/>
        <v>9.6875</v>
      </c>
      <c r="J127" s="2">
        <f t="shared" si="8"/>
        <v>436</v>
      </c>
      <c r="L127" s="1">
        <f t="shared" si="10"/>
        <v>12.583</v>
      </c>
      <c r="M127" s="2">
        <f t="shared" si="11"/>
        <v>582.35</v>
      </c>
      <c r="N127" s="2"/>
      <c r="O127" s="1">
        <f t="shared" si="12"/>
        <v>13.146666666666667</v>
      </c>
      <c r="P127" s="2">
        <f t="shared" si="13"/>
        <v>618.47222222222217</v>
      </c>
      <c r="Q127" s="2"/>
      <c r="R127" s="2"/>
    </row>
    <row r="128" spans="1:18" x14ac:dyDescent="0.45">
      <c r="B128" s="4">
        <v>44781</v>
      </c>
      <c r="C128" s="1">
        <v>3.75</v>
      </c>
      <c r="D128">
        <v>157</v>
      </c>
      <c r="E128">
        <v>0</v>
      </c>
      <c r="F128">
        <v>3041</v>
      </c>
      <c r="G128" s="2">
        <f t="shared" si="9"/>
        <v>4051.25</v>
      </c>
      <c r="I128" s="1">
        <f t="shared" si="7"/>
        <v>6.4375</v>
      </c>
      <c r="J128" s="2">
        <f t="shared" si="8"/>
        <v>285</v>
      </c>
      <c r="L128" s="1">
        <f t="shared" si="10"/>
        <v>11.1875</v>
      </c>
      <c r="M128" s="2">
        <f t="shared" si="11"/>
        <v>511.75</v>
      </c>
      <c r="N128" s="2"/>
      <c r="O128" s="1">
        <f t="shared" si="12"/>
        <v>12.402777777777779</v>
      </c>
      <c r="P128" s="2">
        <f t="shared" si="13"/>
        <v>574.16666666666663</v>
      </c>
      <c r="Q128" s="2"/>
      <c r="R128" s="2"/>
    </row>
    <row r="129" spans="1:18" x14ac:dyDescent="0.45">
      <c r="B129" s="4">
        <v>44788</v>
      </c>
      <c r="C129" s="1">
        <v>23.5</v>
      </c>
      <c r="D129">
        <v>856</v>
      </c>
      <c r="E129">
        <v>2</v>
      </c>
      <c r="F129">
        <v>17522</v>
      </c>
      <c r="G129" s="2">
        <f t="shared" si="9"/>
        <v>6626.75</v>
      </c>
      <c r="I129" s="1">
        <f t="shared" si="7"/>
        <v>9.4375</v>
      </c>
      <c r="J129" s="2">
        <f t="shared" si="8"/>
        <v>363</v>
      </c>
      <c r="L129" s="1">
        <f t="shared" si="10"/>
        <v>10.237500000000001</v>
      </c>
      <c r="M129" s="2">
        <f t="shared" si="11"/>
        <v>452.3</v>
      </c>
      <c r="N129" s="2"/>
      <c r="O129" s="1">
        <f t="shared" si="12"/>
        <v>11.097222222222221</v>
      </c>
      <c r="P129" s="2">
        <f t="shared" si="13"/>
        <v>508.22222222222223</v>
      </c>
      <c r="Q129" s="2"/>
      <c r="R129" s="2"/>
    </row>
    <row r="130" spans="1:18" x14ac:dyDescent="0.45">
      <c r="B130" s="4">
        <v>44795</v>
      </c>
      <c r="C130" s="1">
        <v>19</v>
      </c>
      <c r="D130">
        <v>766</v>
      </c>
      <c r="E130">
        <v>2</v>
      </c>
      <c r="F130">
        <v>14474</v>
      </c>
      <c r="G130" s="2">
        <f t="shared" si="9"/>
        <v>8961</v>
      </c>
      <c r="I130" s="1">
        <f t="shared" si="7"/>
        <v>11.9375</v>
      </c>
      <c r="J130" s="2">
        <f t="shared" si="8"/>
        <v>465.25</v>
      </c>
      <c r="L130" s="1">
        <f t="shared" si="10"/>
        <v>10.0625</v>
      </c>
      <c r="M130" s="2">
        <f t="shared" si="11"/>
        <v>425.05</v>
      </c>
      <c r="N130" s="2"/>
      <c r="O130" s="1">
        <f t="shared" si="12"/>
        <v>11.847222222222221</v>
      </c>
      <c r="P130" s="2">
        <f t="shared" si="13"/>
        <v>521.91666666666663</v>
      </c>
      <c r="Q130" s="2"/>
      <c r="R130" s="2"/>
    </row>
    <row r="131" spans="1:18" x14ac:dyDescent="0.45">
      <c r="B131" s="4">
        <v>44802</v>
      </c>
      <c r="C131" s="1">
        <v>22.75</v>
      </c>
      <c r="D131">
        <v>962</v>
      </c>
      <c r="E131">
        <v>2</v>
      </c>
      <c r="F131">
        <v>17870</v>
      </c>
      <c r="G131" s="2">
        <f t="shared" si="9"/>
        <v>13226.75</v>
      </c>
      <c r="I131" s="1">
        <f t="shared" si="7"/>
        <v>17.25</v>
      </c>
      <c r="J131" s="2">
        <f t="shared" si="8"/>
        <v>685.25</v>
      </c>
      <c r="L131" s="1">
        <f t="shared" si="10"/>
        <v>10.95</v>
      </c>
      <c r="M131" s="2">
        <f t="shared" si="11"/>
        <v>446.9</v>
      </c>
      <c r="N131" s="2"/>
      <c r="O131" s="1">
        <f t="shared" si="12"/>
        <v>11.729166666666666</v>
      </c>
      <c r="P131" s="2">
        <f t="shared" si="13"/>
        <v>503.83333333333331</v>
      </c>
      <c r="Q131" s="2"/>
      <c r="R131" s="2"/>
    </row>
    <row r="132" spans="1:18" x14ac:dyDescent="0.45">
      <c r="B132" s="4">
        <v>44809</v>
      </c>
      <c r="C132" s="1">
        <v>18</v>
      </c>
      <c r="D132">
        <v>1060</v>
      </c>
      <c r="E132">
        <v>2</v>
      </c>
      <c r="F132">
        <v>14381</v>
      </c>
      <c r="G132" s="2">
        <f t="shared" si="9"/>
        <v>16061.75</v>
      </c>
      <c r="I132" s="1">
        <f t="shared" si="7"/>
        <v>20.8125</v>
      </c>
      <c r="J132" s="2">
        <f t="shared" si="8"/>
        <v>911</v>
      </c>
      <c r="L132" s="1">
        <f t="shared" si="10"/>
        <v>13.175000000000001</v>
      </c>
      <c r="M132" s="2">
        <f t="shared" si="11"/>
        <v>541.9</v>
      </c>
      <c r="N132" s="2"/>
      <c r="O132" s="1">
        <f t="shared" si="12"/>
        <v>11.034722222222221</v>
      </c>
      <c r="P132" s="2">
        <f t="shared" si="13"/>
        <v>467.61111111111109</v>
      </c>
      <c r="Q132" s="2"/>
      <c r="R132" s="2"/>
    </row>
    <row r="133" spans="1:18" x14ac:dyDescent="0.45">
      <c r="B133" s="4">
        <v>44816</v>
      </c>
      <c r="C133" s="1">
        <v>14.66</v>
      </c>
      <c r="D133">
        <v>610</v>
      </c>
      <c r="E133">
        <v>2</v>
      </c>
      <c r="F133">
        <v>12000</v>
      </c>
      <c r="G133" s="2">
        <f t="shared" si="9"/>
        <v>14681.25</v>
      </c>
      <c r="I133" s="1">
        <f t="shared" ref="I133:I196" si="14">AVERAGE(C130:C133)</f>
        <v>18.602499999999999</v>
      </c>
      <c r="J133" s="2">
        <f t="shared" ref="J133:J196" si="15">AVERAGE(D130:D133)</f>
        <v>849.5</v>
      </c>
      <c r="L133" s="1">
        <f t="shared" si="10"/>
        <v>15.608000000000001</v>
      </c>
      <c r="M133" s="2">
        <f t="shared" si="11"/>
        <v>654.79999999999995</v>
      </c>
      <c r="N133" s="2"/>
      <c r="O133" s="1">
        <f t="shared" si="12"/>
        <v>11.594722222222222</v>
      </c>
      <c r="P133" s="2">
        <f t="shared" si="13"/>
        <v>481.44444444444446</v>
      </c>
      <c r="Q133" s="2"/>
      <c r="R133" s="2"/>
    </row>
    <row r="134" spans="1:18" x14ac:dyDescent="0.45">
      <c r="B134" s="4">
        <v>44823</v>
      </c>
      <c r="C134" s="1">
        <f>15+8/60</f>
        <v>15.133333333333333</v>
      </c>
      <c r="D134">
        <v>746</v>
      </c>
      <c r="E134">
        <v>2</v>
      </c>
      <c r="F134">
        <v>11995</v>
      </c>
      <c r="G134" s="2">
        <f t="shared" ref="G134:G197" si="16">AVERAGE(F131:F134)</f>
        <v>14061.5</v>
      </c>
      <c r="I134" s="1">
        <f t="shared" si="14"/>
        <v>17.635833333333331</v>
      </c>
      <c r="J134" s="2">
        <f t="shared" si="15"/>
        <v>844.5</v>
      </c>
      <c r="L134" s="1">
        <f t="shared" si="10"/>
        <v>17.247666666666667</v>
      </c>
      <c r="M134" s="2">
        <f t="shared" si="11"/>
        <v>751.1</v>
      </c>
      <c r="N134" s="2"/>
      <c r="O134" s="1">
        <f t="shared" si="12"/>
        <v>12.880648148148147</v>
      </c>
      <c r="P134" s="2">
        <f t="shared" si="13"/>
        <v>547.63888888888891</v>
      </c>
      <c r="Q134" s="2"/>
      <c r="R134" s="2"/>
    </row>
    <row r="135" spans="1:18" x14ac:dyDescent="0.45">
      <c r="B135" s="4">
        <v>44830</v>
      </c>
      <c r="C135" s="1">
        <v>9.75</v>
      </c>
      <c r="D135">
        <v>540</v>
      </c>
      <c r="E135">
        <v>2</v>
      </c>
      <c r="F135">
        <v>8119</v>
      </c>
      <c r="G135" s="2">
        <f t="shared" si="16"/>
        <v>11623.75</v>
      </c>
      <c r="I135" s="1">
        <f t="shared" si="14"/>
        <v>14.385833333333332</v>
      </c>
      <c r="J135" s="2">
        <f t="shared" si="15"/>
        <v>739</v>
      </c>
      <c r="L135" s="1">
        <f t="shared" si="10"/>
        <v>17.737333333333332</v>
      </c>
      <c r="M135" s="2">
        <f t="shared" si="11"/>
        <v>805.85</v>
      </c>
      <c r="N135" s="2"/>
      <c r="O135" s="1">
        <f t="shared" si="12"/>
        <v>16.062407407407406</v>
      </c>
      <c r="P135" s="2">
        <f t="shared" si="13"/>
        <v>687.66666666666663</v>
      </c>
      <c r="Q135" s="2"/>
      <c r="R135" s="2"/>
    </row>
    <row r="136" spans="1:18" x14ac:dyDescent="0.45">
      <c r="A136" s="12"/>
      <c r="B136" s="4">
        <v>44837</v>
      </c>
      <c r="C136" s="1">
        <v>12</v>
      </c>
      <c r="D136">
        <v>529</v>
      </c>
      <c r="E136">
        <v>0</v>
      </c>
      <c r="F136">
        <v>8000</v>
      </c>
      <c r="G136" s="2">
        <f t="shared" si="16"/>
        <v>10028.5</v>
      </c>
      <c r="I136" s="1">
        <f t="shared" si="14"/>
        <v>12.885833333333334</v>
      </c>
      <c r="J136" s="2">
        <f t="shared" si="15"/>
        <v>606.25</v>
      </c>
      <c r="L136" s="1">
        <f t="shared" si="10"/>
        <v>16.8645</v>
      </c>
      <c r="M136" s="2">
        <f t="shared" si="11"/>
        <v>790.05</v>
      </c>
      <c r="N136" s="2"/>
      <c r="O136" s="1">
        <f t="shared" si="12"/>
        <v>18.973333333333333</v>
      </c>
      <c r="P136" s="2">
        <f t="shared" si="13"/>
        <v>821.36111111111109</v>
      </c>
      <c r="Q136" s="2"/>
      <c r="R136" s="2"/>
    </row>
    <row r="137" spans="1:18" x14ac:dyDescent="0.45">
      <c r="A137" s="12" t="s">
        <v>38</v>
      </c>
      <c r="B137" s="4">
        <v>44844</v>
      </c>
      <c r="C137" s="1">
        <v>8.75</v>
      </c>
      <c r="D137">
        <v>330</v>
      </c>
      <c r="E137">
        <v>0</v>
      </c>
      <c r="F137">
        <v>4000</v>
      </c>
      <c r="G137" s="2">
        <f t="shared" si="16"/>
        <v>8028.5</v>
      </c>
      <c r="I137" s="1">
        <f t="shared" si="14"/>
        <v>11.408333333333333</v>
      </c>
      <c r="J137" s="2">
        <f t="shared" si="15"/>
        <v>536.25</v>
      </c>
      <c r="L137" s="1">
        <f t="shared" ref="L137:L200" si="17">((1*C130)+(2*C131)+(3*C132)+(4*C133)+(4*C134)+(3*C135)+(2*C136)+(C137))/20</f>
        <v>14.983666666666664</v>
      </c>
      <c r="M137" s="2">
        <f t="shared" ref="M137:M200" si="18">((1*D130)+(2*D131)+(3*D132)+(4*D133)+(4*D134)+(3*D135)+(2*D136)+(D137))/20</f>
        <v>715.1</v>
      </c>
      <c r="N137" s="2"/>
      <c r="O137" s="1">
        <f t="shared" si="12"/>
        <v>17.085648148148145</v>
      </c>
      <c r="P137" s="2">
        <f t="shared" si="13"/>
        <v>785.11111111111109</v>
      </c>
      <c r="Q137" s="2"/>
      <c r="R137" s="2"/>
    </row>
    <row r="138" spans="1:18" x14ac:dyDescent="0.45">
      <c r="A138" s="12" t="s">
        <v>141</v>
      </c>
      <c r="B138" s="4">
        <v>44851</v>
      </c>
      <c r="C138" s="1">
        <f>51/60</f>
        <v>0.85</v>
      </c>
      <c r="D138">
        <v>17</v>
      </c>
      <c r="E138">
        <v>0</v>
      </c>
      <c r="F138">
        <v>464</v>
      </c>
      <c r="G138" s="2">
        <f t="shared" si="16"/>
        <v>5145.75</v>
      </c>
      <c r="I138" s="1">
        <f t="shared" si="14"/>
        <v>7.8375000000000004</v>
      </c>
      <c r="J138" s="2">
        <f t="shared" si="15"/>
        <v>354</v>
      </c>
      <c r="L138" s="1">
        <f t="shared" si="17"/>
        <v>12.830666666666668</v>
      </c>
      <c r="M138" s="2">
        <f t="shared" si="18"/>
        <v>616</v>
      </c>
      <c r="N138" s="2"/>
      <c r="O138" s="1">
        <f t="shared" si="12"/>
        <v>15.693796296296297</v>
      </c>
      <c r="P138" s="2">
        <f t="shared" si="13"/>
        <v>748.05555555555554</v>
      </c>
      <c r="Q138" s="2"/>
      <c r="R138" s="2"/>
    </row>
    <row r="139" spans="1:18" x14ac:dyDescent="0.45">
      <c r="A139" s="12"/>
      <c r="B139" s="4">
        <v>44858</v>
      </c>
      <c r="C139" s="1">
        <f>10+35/60</f>
        <v>10.583333333333334</v>
      </c>
      <c r="D139">
        <v>399</v>
      </c>
      <c r="E139">
        <v>0</v>
      </c>
      <c r="F139">
        <v>6598</v>
      </c>
      <c r="G139" s="2">
        <f t="shared" si="16"/>
        <v>4765.5</v>
      </c>
      <c r="I139" s="1">
        <f t="shared" si="14"/>
        <v>8.0458333333333343</v>
      </c>
      <c r="J139" s="2">
        <f t="shared" si="15"/>
        <v>318.75</v>
      </c>
      <c r="L139" s="1">
        <f t="shared" si="17"/>
        <v>10.912666666666667</v>
      </c>
      <c r="M139" s="2">
        <f t="shared" si="18"/>
        <v>510.85</v>
      </c>
      <c r="N139" s="2"/>
      <c r="O139" s="1">
        <f t="shared" si="12"/>
        <v>13.130648148148147</v>
      </c>
      <c r="P139" s="2">
        <f t="shared" si="13"/>
        <v>651.80555555555554</v>
      </c>
      <c r="Q139" s="2"/>
      <c r="R139" s="2"/>
    </row>
    <row r="140" spans="1:18" x14ac:dyDescent="0.45">
      <c r="A140" s="12" t="s">
        <v>142</v>
      </c>
      <c r="B140" s="4">
        <v>44865</v>
      </c>
      <c r="C140" s="1">
        <v>24.25</v>
      </c>
      <c r="D140">
        <v>1572</v>
      </c>
      <c r="E140">
        <v>0</v>
      </c>
      <c r="F140">
        <v>18087</v>
      </c>
      <c r="G140" s="2">
        <f t="shared" si="16"/>
        <v>7287.25</v>
      </c>
      <c r="I140" s="1">
        <f t="shared" si="14"/>
        <v>11.108333333333334</v>
      </c>
      <c r="J140" s="2">
        <f t="shared" si="15"/>
        <v>579.5</v>
      </c>
      <c r="L140" s="1">
        <f t="shared" si="17"/>
        <v>10.257166666666667</v>
      </c>
      <c r="M140" s="2">
        <f t="shared" si="18"/>
        <v>478.95</v>
      </c>
      <c r="N140" s="2"/>
      <c r="O140" s="1">
        <f t="shared" si="12"/>
        <v>11.796666666666665</v>
      </c>
      <c r="P140" s="2">
        <f t="shared" si="13"/>
        <v>548</v>
      </c>
      <c r="Q140" s="2"/>
      <c r="R140" s="2"/>
    </row>
    <row r="141" spans="1:18" x14ac:dyDescent="0.45">
      <c r="A141" s="12" t="s">
        <v>141</v>
      </c>
      <c r="B141" s="4">
        <v>44872</v>
      </c>
      <c r="C141" s="1">
        <f>18/60</f>
        <v>0.3</v>
      </c>
      <c r="D141">
        <v>6</v>
      </c>
      <c r="E141">
        <v>0</v>
      </c>
      <c r="F141">
        <v>153</v>
      </c>
      <c r="G141" s="2">
        <f t="shared" si="16"/>
        <v>6325.5</v>
      </c>
      <c r="I141" s="1">
        <f t="shared" si="14"/>
        <v>8.9958333333333336</v>
      </c>
      <c r="J141" s="2">
        <f t="shared" si="15"/>
        <v>498.5</v>
      </c>
      <c r="L141" s="1">
        <f t="shared" si="17"/>
        <v>9.4791666666666679</v>
      </c>
      <c r="M141" s="2">
        <f t="shared" si="18"/>
        <v>457.4</v>
      </c>
      <c r="N141" s="2"/>
      <c r="O141" s="1">
        <f t="shared" ref="O141:O204" si="19">((C141)+(C140*2)+(C139*3)+(C138*4)+(C137*5)+(C136*6)+(C135*7)+(C134*8))/36</f>
        <v>10.806018518518519</v>
      </c>
      <c r="P141" s="2">
        <f t="shared" ref="P141:P204" si="20">((D141)+(D140*2)+(D139*3)+(D138*4)+(D137*5)+(D136*6)+(D135*7)+(D134*8))/36</f>
        <v>527.41666666666663</v>
      </c>
      <c r="Q141" s="2"/>
      <c r="R141" s="2"/>
    </row>
    <row r="142" spans="1:18" x14ac:dyDescent="0.45">
      <c r="A142" s="12"/>
      <c r="B142" s="4">
        <v>44879</v>
      </c>
      <c r="C142" s="1">
        <v>9.33</v>
      </c>
      <c r="D142">
        <v>303</v>
      </c>
      <c r="E142">
        <v>1</v>
      </c>
      <c r="F142">
        <v>6685</v>
      </c>
      <c r="G142" s="2">
        <f t="shared" si="16"/>
        <v>7880.75</v>
      </c>
      <c r="I142" s="1">
        <f t="shared" si="14"/>
        <v>11.115833333333333</v>
      </c>
      <c r="J142" s="2">
        <f t="shared" si="15"/>
        <v>570</v>
      </c>
      <c r="L142" s="1">
        <f t="shared" si="17"/>
        <v>9.4206666666666674</v>
      </c>
      <c r="M142" s="2">
        <f t="shared" si="18"/>
        <v>464.15</v>
      </c>
      <c r="N142" s="2"/>
      <c r="O142" s="1">
        <f t="shared" si="19"/>
        <v>9.5489814814814817</v>
      </c>
      <c r="P142" s="2">
        <f t="shared" si="20"/>
        <v>464.30555555555554</v>
      </c>
      <c r="Q142" s="2"/>
      <c r="R142" s="2"/>
    </row>
    <row r="143" spans="1:18" x14ac:dyDescent="0.45">
      <c r="A143" s="12"/>
      <c r="B143" s="4">
        <v>44886</v>
      </c>
      <c r="C143" s="1">
        <v>16.5</v>
      </c>
      <c r="D143">
        <v>720</v>
      </c>
      <c r="E143">
        <v>2</v>
      </c>
      <c r="F143">
        <v>12900</v>
      </c>
      <c r="G143" s="2">
        <f t="shared" si="16"/>
        <v>9456.25</v>
      </c>
      <c r="I143" s="1">
        <f t="shared" si="14"/>
        <v>12.595000000000001</v>
      </c>
      <c r="J143" s="2">
        <f t="shared" si="15"/>
        <v>650.25</v>
      </c>
      <c r="L143" s="1">
        <f t="shared" si="17"/>
        <v>10.372166666666667</v>
      </c>
      <c r="M143" s="2">
        <f t="shared" si="18"/>
        <v>523.4</v>
      </c>
      <c r="N143" s="2"/>
      <c r="O143" s="1">
        <f t="shared" si="19"/>
        <v>9.6757407407407428</v>
      </c>
      <c r="P143" s="2">
        <f t="shared" si="20"/>
        <v>451.97222222222223</v>
      </c>
      <c r="Q143" s="2"/>
      <c r="R143" s="2"/>
    </row>
    <row r="144" spans="1:18" x14ac:dyDescent="0.45">
      <c r="A144" s="12"/>
      <c r="B144" s="4">
        <v>44893</v>
      </c>
      <c r="C144" s="1">
        <v>20.25</v>
      </c>
      <c r="D144">
        <v>865</v>
      </c>
      <c r="E144">
        <v>2</v>
      </c>
      <c r="F144">
        <v>15796</v>
      </c>
      <c r="G144" s="2">
        <f t="shared" si="16"/>
        <v>8883.5</v>
      </c>
      <c r="I144" s="1">
        <f t="shared" si="14"/>
        <v>11.595000000000001</v>
      </c>
      <c r="J144" s="2">
        <f t="shared" si="15"/>
        <v>473.5</v>
      </c>
      <c r="L144" s="1">
        <f t="shared" si="17"/>
        <v>11.081999999999999</v>
      </c>
      <c r="M144" s="2">
        <f t="shared" si="18"/>
        <v>554.35</v>
      </c>
      <c r="N144" s="2"/>
      <c r="O144" s="1">
        <f t="shared" si="19"/>
        <v>9.5316666666666663</v>
      </c>
      <c r="P144" s="2">
        <f t="shared" si="20"/>
        <v>451.41666666666669</v>
      </c>
      <c r="Q144" s="2"/>
      <c r="R144" s="2"/>
    </row>
    <row r="145" spans="1:18" x14ac:dyDescent="0.45">
      <c r="A145" s="12"/>
      <c r="B145" s="4">
        <v>44900</v>
      </c>
      <c r="C145" s="1">
        <f>18+6/60</f>
        <v>18.100000000000001</v>
      </c>
      <c r="D145">
        <v>700</v>
      </c>
      <c r="E145">
        <v>2</v>
      </c>
      <c r="F145">
        <v>12317</v>
      </c>
      <c r="G145" s="2">
        <f t="shared" si="16"/>
        <v>11924.5</v>
      </c>
      <c r="I145" s="1">
        <f t="shared" si="14"/>
        <v>16.045000000000002</v>
      </c>
      <c r="J145" s="2">
        <f t="shared" si="15"/>
        <v>647</v>
      </c>
      <c r="L145" s="1">
        <f t="shared" si="17"/>
        <v>12.069333333333333</v>
      </c>
      <c r="M145" s="2">
        <f t="shared" si="18"/>
        <v>567.85</v>
      </c>
      <c r="N145" s="2"/>
      <c r="O145" s="1">
        <f t="shared" si="19"/>
        <v>10.369537037037038</v>
      </c>
      <c r="P145" s="2">
        <f t="shared" si="20"/>
        <v>505.36111111111109</v>
      </c>
      <c r="Q145" s="2"/>
      <c r="R145" s="2"/>
    </row>
    <row r="146" spans="1:18" x14ac:dyDescent="0.45">
      <c r="A146" s="12" t="s">
        <v>143</v>
      </c>
      <c r="B146" s="4">
        <v>44907</v>
      </c>
      <c r="C146" s="1">
        <v>16.5</v>
      </c>
      <c r="D146">
        <v>650</v>
      </c>
      <c r="E146">
        <v>0</v>
      </c>
      <c r="F146">
        <v>10000</v>
      </c>
      <c r="G146" s="2">
        <f t="shared" si="16"/>
        <v>12753.25</v>
      </c>
      <c r="I146" s="1">
        <f t="shared" si="14"/>
        <v>17.837499999999999</v>
      </c>
      <c r="J146" s="2">
        <f t="shared" si="15"/>
        <v>733.75</v>
      </c>
      <c r="L146" s="1">
        <f t="shared" si="17"/>
        <v>13.837666666666667</v>
      </c>
      <c r="M146" s="2">
        <f t="shared" si="18"/>
        <v>614.9</v>
      </c>
      <c r="N146" s="2"/>
      <c r="O146" s="1">
        <f t="shared" si="19"/>
        <v>13.397685185185185</v>
      </c>
      <c r="P146" s="2">
        <f t="shared" si="20"/>
        <v>646.44444444444446</v>
      </c>
      <c r="Q146" s="2"/>
      <c r="R146" s="2"/>
    </row>
    <row r="147" spans="1:18" x14ac:dyDescent="0.45">
      <c r="A147" s="12" t="s">
        <v>144</v>
      </c>
      <c r="B147" s="4">
        <v>44914</v>
      </c>
      <c r="C147" s="1">
        <f>5+24/60</f>
        <v>5.4</v>
      </c>
      <c r="D147">
        <v>190</v>
      </c>
      <c r="E147">
        <v>0</v>
      </c>
      <c r="F147">
        <v>4003</v>
      </c>
      <c r="G147" s="2">
        <f t="shared" si="16"/>
        <v>10529</v>
      </c>
      <c r="I147" s="1">
        <f t="shared" si="14"/>
        <v>15.0625</v>
      </c>
      <c r="J147" s="2">
        <f t="shared" si="15"/>
        <v>601.25</v>
      </c>
      <c r="L147" s="1">
        <f t="shared" si="17"/>
        <v>14.626999999999999</v>
      </c>
      <c r="M147" s="2">
        <f t="shared" si="18"/>
        <v>621.15</v>
      </c>
      <c r="N147" s="2"/>
      <c r="O147" s="1">
        <f t="shared" si="19"/>
        <v>14.11888888888889</v>
      </c>
      <c r="P147" s="2">
        <f t="shared" si="20"/>
        <v>696.83333333333337</v>
      </c>
      <c r="Q147" s="2"/>
      <c r="R147" s="2"/>
    </row>
    <row r="148" spans="1:18" x14ac:dyDescent="0.45">
      <c r="A148" s="12" t="s">
        <v>145</v>
      </c>
      <c r="B148" s="4">
        <v>44921</v>
      </c>
      <c r="C148" s="1">
        <f>8+50/60</f>
        <v>8.8333333333333339</v>
      </c>
      <c r="D148">
        <v>291</v>
      </c>
      <c r="E148">
        <v>0</v>
      </c>
      <c r="F148">
        <v>6299</v>
      </c>
      <c r="G148" s="2">
        <f t="shared" si="16"/>
        <v>8154.75</v>
      </c>
      <c r="I148" s="1">
        <f t="shared" si="14"/>
        <v>12.208333333333334</v>
      </c>
      <c r="J148" s="2">
        <f t="shared" si="15"/>
        <v>457.75</v>
      </c>
      <c r="L148" s="1">
        <f t="shared" si="17"/>
        <v>14.549666666666667</v>
      </c>
      <c r="M148" s="2">
        <f t="shared" si="18"/>
        <v>582.65</v>
      </c>
      <c r="N148" s="2"/>
      <c r="O148" s="1">
        <f t="shared" si="19"/>
        <v>11.374814814814814</v>
      </c>
      <c r="P148" s="2">
        <f t="shared" si="20"/>
        <v>450.97222222222223</v>
      </c>
      <c r="Q148" s="2"/>
      <c r="R148" s="2"/>
    </row>
    <row r="149" spans="1:18" x14ac:dyDescent="0.45">
      <c r="A149" s="12" t="s">
        <v>40</v>
      </c>
      <c r="B149" s="4">
        <v>44928</v>
      </c>
      <c r="C149" s="1">
        <v>10.5</v>
      </c>
      <c r="D149">
        <v>700</v>
      </c>
      <c r="E149" s="22">
        <v>1</v>
      </c>
      <c r="F149">
        <v>16500</v>
      </c>
      <c r="G149" s="2">
        <f t="shared" si="16"/>
        <v>9200.5</v>
      </c>
      <c r="I149" s="1">
        <f t="shared" si="14"/>
        <v>10.308333333333334</v>
      </c>
      <c r="J149" s="2">
        <f t="shared" si="15"/>
        <v>457.75</v>
      </c>
      <c r="L149" s="1">
        <f t="shared" si="17"/>
        <v>14.292333333333335</v>
      </c>
      <c r="M149" s="2">
        <f t="shared" si="18"/>
        <v>579.5</v>
      </c>
      <c r="N149" s="2"/>
      <c r="O149" s="1">
        <f t="shared" si="19"/>
        <v>14.236296296296295</v>
      </c>
      <c r="P149" s="2">
        <f t="shared" si="20"/>
        <v>572.38888888888891</v>
      </c>
      <c r="Q149" s="2"/>
      <c r="R149" s="2"/>
    </row>
    <row r="150" spans="1:18" x14ac:dyDescent="0.45">
      <c r="A150" s="12" t="s">
        <v>146</v>
      </c>
      <c r="B150" s="4">
        <v>44935</v>
      </c>
      <c r="C150" s="1">
        <v>20.75</v>
      </c>
      <c r="D150">
        <v>1094</v>
      </c>
      <c r="E150">
        <v>1</v>
      </c>
      <c r="F150">
        <v>15153</v>
      </c>
      <c r="G150" s="2">
        <f t="shared" si="16"/>
        <v>10488.75</v>
      </c>
      <c r="I150" s="1">
        <f t="shared" si="14"/>
        <v>11.370833333333334</v>
      </c>
      <c r="J150" s="2">
        <f t="shared" si="15"/>
        <v>568.75</v>
      </c>
      <c r="L150" s="1">
        <f t="shared" si="17"/>
        <v>13.357499999999998</v>
      </c>
      <c r="M150" s="2">
        <f t="shared" si="18"/>
        <v>563.85</v>
      </c>
      <c r="N150" s="2"/>
      <c r="O150" s="1">
        <f t="shared" si="19"/>
        <v>15.408333333333335</v>
      </c>
      <c r="P150" s="2">
        <f t="shared" si="20"/>
        <v>649.77777777777783</v>
      </c>
      <c r="Q150" s="2"/>
      <c r="R150" s="2"/>
    </row>
    <row r="151" spans="1:18" x14ac:dyDescent="0.45">
      <c r="A151" s="12"/>
      <c r="B151" s="4">
        <v>44942</v>
      </c>
      <c r="C151" s="1">
        <f>15+17/60</f>
        <v>15.283333333333333</v>
      </c>
      <c r="D151">
        <v>608</v>
      </c>
      <c r="E151">
        <v>2</v>
      </c>
      <c r="F151">
        <v>10284</v>
      </c>
      <c r="G151" s="2">
        <f t="shared" si="16"/>
        <v>12059</v>
      </c>
      <c r="I151" s="1">
        <f t="shared" si="14"/>
        <v>13.841666666666667</v>
      </c>
      <c r="J151" s="2">
        <f t="shared" si="15"/>
        <v>673.25</v>
      </c>
      <c r="L151" s="1">
        <f t="shared" si="17"/>
        <v>12.558333333333334</v>
      </c>
      <c r="M151" s="2">
        <f t="shared" si="18"/>
        <v>551.75</v>
      </c>
      <c r="N151" s="2"/>
      <c r="O151" s="1">
        <f t="shared" si="19"/>
        <v>14.953240740740743</v>
      </c>
      <c r="P151" s="2">
        <f t="shared" si="20"/>
        <v>631.38888888888891</v>
      </c>
      <c r="Q151" s="2"/>
      <c r="R151" s="2"/>
    </row>
    <row r="152" spans="1:18" x14ac:dyDescent="0.45">
      <c r="A152" s="12"/>
      <c r="B152" s="4">
        <v>44949</v>
      </c>
      <c r="C152" s="1">
        <f>18+50/60</f>
        <v>18.833333333333332</v>
      </c>
      <c r="D152">
        <v>837</v>
      </c>
      <c r="E152">
        <v>1</v>
      </c>
      <c r="F152">
        <v>14531</v>
      </c>
      <c r="G152" s="2">
        <f t="shared" si="16"/>
        <v>14117</v>
      </c>
      <c r="I152" s="1">
        <f t="shared" si="14"/>
        <v>16.341666666666665</v>
      </c>
      <c r="J152" s="2">
        <f t="shared" si="15"/>
        <v>809.75</v>
      </c>
      <c r="L152" s="1">
        <f t="shared" si="17"/>
        <v>12.814166666666669</v>
      </c>
      <c r="M152" s="2">
        <f t="shared" si="18"/>
        <v>593.45000000000005</v>
      </c>
      <c r="N152" s="2"/>
      <c r="O152" s="1">
        <f t="shared" si="19"/>
        <v>13.625462962962963</v>
      </c>
      <c r="P152" s="2">
        <f t="shared" si="20"/>
        <v>580</v>
      </c>
      <c r="Q152" s="2"/>
      <c r="R152" s="2"/>
    </row>
    <row r="153" spans="1:18" x14ac:dyDescent="0.45">
      <c r="A153" s="12"/>
      <c r="B153" s="4">
        <v>44956</v>
      </c>
      <c r="C153" s="1">
        <v>18</v>
      </c>
      <c r="D153">
        <v>748</v>
      </c>
      <c r="E153">
        <v>2</v>
      </c>
      <c r="F153">
        <v>12846</v>
      </c>
      <c r="G153" s="2">
        <f t="shared" si="16"/>
        <v>13203.5</v>
      </c>
      <c r="I153" s="1">
        <f t="shared" si="14"/>
        <v>18.216666666666665</v>
      </c>
      <c r="J153" s="2">
        <f t="shared" si="15"/>
        <v>821.75</v>
      </c>
      <c r="L153" s="1">
        <f t="shared" si="17"/>
        <v>14.015833333333333</v>
      </c>
      <c r="M153" s="2">
        <f t="shared" si="18"/>
        <v>666.25</v>
      </c>
      <c r="N153" s="2"/>
      <c r="O153" s="1">
        <f t="shared" si="19"/>
        <v>12.772685185185185</v>
      </c>
      <c r="P153" s="2">
        <f t="shared" si="20"/>
        <v>566.61111111111109</v>
      </c>
      <c r="Q153" s="2"/>
      <c r="R153" s="2"/>
    </row>
    <row r="154" spans="1:18" x14ac:dyDescent="0.45">
      <c r="A154" s="12"/>
      <c r="B154" s="4">
        <v>44963</v>
      </c>
      <c r="C154" s="1">
        <f>18+5/60</f>
        <v>18.083333333333332</v>
      </c>
      <c r="D154">
        <v>757</v>
      </c>
      <c r="E154">
        <v>2</v>
      </c>
      <c r="F154">
        <v>13169</v>
      </c>
      <c r="G154" s="2">
        <f t="shared" si="16"/>
        <v>12707.5</v>
      </c>
      <c r="I154" s="1">
        <f t="shared" si="14"/>
        <v>17.55</v>
      </c>
      <c r="J154" s="2">
        <f t="shared" si="15"/>
        <v>737.5</v>
      </c>
      <c r="L154" s="1">
        <f t="shared" si="17"/>
        <v>15.464166666666666</v>
      </c>
      <c r="M154" s="2">
        <f t="shared" si="18"/>
        <v>722.2</v>
      </c>
      <c r="N154" s="2"/>
      <c r="O154" s="1">
        <f t="shared" si="19"/>
        <v>12.319444444444445</v>
      </c>
      <c r="P154" s="2">
        <f t="shared" si="20"/>
        <v>567.30555555555554</v>
      </c>
      <c r="Q154" s="2"/>
      <c r="R154" s="2"/>
    </row>
    <row r="155" spans="1:18" x14ac:dyDescent="0.45">
      <c r="A155" s="12"/>
      <c r="B155" s="4">
        <v>44970</v>
      </c>
      <c r="C155" s="1">
        <v>13.33</v>
      </c>
      <c r="D155">
        <v>636</v>
      </c>
      <c r="E155">
        <v>2</v>
      </c>
      <c r="F155">
        <v>8654</v>
      </c>
      <c r="G155" s="2">
        <f t="shared" si="16"/>
        <v>12300</v>
      </c>
      <c r="I155" s="1">
        <f t="shared" si="14"/>
        <v>17.061666666666664</v>
      </c>
      <c r="J155" s="2">
        <f t="shared" si="15"/>
        <v>744.5</v>
      </c>
      <c r="L155" s="1">
        <f t="shared" si="17"/>
        <v>16.602333333333334</v>
      </c>
      <c r="M155" s="2">
        <f t="shared" si="18"/>
        <v>757.35</v>
      </c>
      <c r="N155" s="2"/>
      <c r="O155" s="1">
        <f t="shared" si="19"/>
        <v>14.553148148148146</v>
      </c>
      <c r="P155" s="2">
        <f t="shared" si="20"/>
        <v>682.61111111111109</v>
      </c>
      <c r="Q155" s="2"/>
      <c r="R155" s="2"/>
    </row>
    <row r="156" spans="1:18" x14ac:dyDescent="0.45">
      <c r="A156" s="12" t="s">
        <v>44</v>
      </c>
      <c r="B156" s="4">
        <v>44977</v>
      </c>
      <c r="C156" s="1">
        <v>11.5</v>
      </c>
      <c r="D156">
        <v>550</v>
      </c>
      <c r="E156">
        <v>0</v>
      </c>
      <c r="F156">
        <v>6304</v>
      </c>
      <c r="G156" s="2">
        <f t="shared" si="16"/>
        <v>10243.25</v>
      </c>
      <c r="I156" s="1">
        <f t="shared" si="14"/>
        <v>15.228333333333332</v>
      </c>
      <c r="J156" s="2">
        <f t="shared" si="15"/>
        <v>672.75</v>
      </c>
      <c r="L156" s="1">
        <f t="shared" si="17"/>
        <v>16.879666666666669</v>
      </c>
      <c r="M156" s="2">
        <f t="shared" si="18"/>
        <v>757.25</v>
      </c>
      <c r="N156" s="2"/>
      <c r="O156" s="1">
        <f t="shared" si="19"/>
        <v>16.097962962962963</v>
      </c>
      <c r="P156" s="2">
        <f t="shared" si="20"/>
        <v>782.66666666666663</v>
      </c>
      <c r="Q156" s="2"/>
      <c r="R156" s="2"/>
    </row>
    <row r="157" spans="1:18" x14ac:dyDescent="0.45">
      <c r="A157" s="12"/>
      <c r="B157" s="4">
        <v>44984</v>
      </c>
      <c r="C157" s="1">
        <v>18.25</v>
      </c>
      <c r="D157">
        <v>791</v>
      </c>
      <c r="E157">
        <v>0</v>
      </c>
      <c r="F157">
        <v>13902</v>
      </c>
      <c r="G157" s="2">
        <f t="shared" si="16"/>
        <v>10507.25</v>
      </c>
      <c r="I157" s="1">
        <f t="shared" si="14"/>
        <v>15.290833333333333</v>
      </c>
      <c r="J157" s="2">
        <f t="shared" si="15"/>
        <v>683.5</v>
      </c>
      <c r="L157" s="1">
        <f t="shared" si="17"/>
        <v>16.669499999999999</v>
      </c>
      <c r="M157" s="2">
        <f t="shared" si="18"/>
        <v>732</v>
      </c>
      <c r="N157" s="2"/>
      <c r="O157" s="1">
        <f t="shared" si="19"/>
        <v>17.487685185185185</v>
      </c>
      <c r="P157" s="2">
        <f t="shared" si="20"/>
        <v>794.36111111111109</v>
      </c>
      <c r="Q157" s="2"/>
      <c r="R157" s="2"/>
    </row>
    <row r="158" spans="1:18" x14ac:dyDescent="0.45">
      <c r="A158" s="12"/>
      <c r="B158" s="4">
        <v>44991</v>
      </c>
      <c r="C158" s="1">
        <f>14+36/60</f>
        <v>14.6</v>
      </c>
      <c r="D158">
        <v>667</v>
      </c>
      <c r="E158">
        <v>0</v>
      </c>
      <c r="F158">
        <v>9318</v>
      </c>
      <c r="G158" s="2">
        <f t="shared" si="16"/>
        <v>9544.5</v>
      </c>
      <c r="I158" s="1">
        <f t="shared" si="14"/>
        <v>14.42</v>
      </c>
      <c r="J158" s="2">
        <f t="shared" si="15"/>
        <v>661</v>
      </c>
      <c r="L158" s="1">
        <f t="shared" si="17"/>
        <v>15.910166666666665</v>
      </c>
      <c r="M158" s="2">
        <f t="shared" si="18"/>
        <v>699.85</v>
      </c>
      <c r="N158" s="2"/>
      <c r="O158" s="1">
        <f t="shared" si="19"/>
        <v>16.428796296296294</v>
      </c>
      <c r="P158" s="2">
        <f t="shared" si="20"/>
        <v>706.63888888888891</v>
      </c>
      <c r="Q158" s="2"/>
      <c r="R158" s="2"/>
    </row>
    <row r="159" spans="1:18" x14ac:dyDescent="0.45">
      <c r="A159" s="12" t="s">
        <v>147</v>
      </c>
      <c r="B159" s="4">
        <v>44998</v>
      </c>
      <c r="C159" s="1">
        <v>17.5</v>
      </c>
      <c r="D159">
        <v>962</v>
      </c>
      <c r="E159">
        <v>0</v>
      </c>
      <c r="F159">
        <v>13490</v>
      </c>
      <c r="G159" s="2">
        <f t="shared" si="16"/>
        <v>10753.5</v>
      </c>
      <c r="I159" s="1">
        <f t="shared" si="14"/>
        <v>15.4625</v>
      </c>
      <c r="J159" s="2">
        <f t="shared" si="15"/>
        <v>742.5</v>
      </c>
      <c r="L159" s="1">
        <f t="shared" si="17"/>
        <v>15.492666666666665</v>
      </c>
      <c r="M159" s="2">
        <f t="shared" si="18"/>
        <v>700.85</v>
      </c>
      <c r="N159" s="2"/>
      <c r="O159" s="1">
        <f t="shared" si="19"/>
        <v>16.646296296296295</v>
      </c>
      <c r="P159" s="2">
        <f t="shared" si="20"/>
        <v>736.75</v>
      </c>
      <c r="Q159" s="2"/>
      <c r="R159" s="2"/>
    </row>
    <row r="160" spans="1:18" x14ac:dyDescent="0.45">
      <c r="A160" s="12" t="s">
        <v>102</v>
      </c>
      <c r="B160" s="4">
        <v>45005</v>
      </c>
      <c r="C160" s="1">
        <v>17</v>
      </c>
      <c r="D160">
        <v>719</v>
      </c>
      <c r="E160">
        <v>1</v>
      </c>
      <c r="F160">
        <v>9153</v>
      </c>
      <c r="G160" s="2">
        <f t="shared" si="16"/>
        <v>11465.75</v>
      </c>
      <c r="I160" s="1">
        <f t="shared" si="14"/>
        <v>16.837499999999999</v>
      </c>
      <c r="J160" s="2">
        <f t="shared" si="15"/>
        <v>784.75</v>
      </c>
      <c r="L160" s="1">
        <f t="shared" si="17"/>
        <v>15.447833333333332</v>
      </c>
      <c r="M160" s="2">
        <f t="shared" si="18"/>
        <v>708.9</v>
      </c>
      <c r="N160" s="2"/>
      <c r="O160" s="1">
        <f t="shared" si="19"/>
        <v>16.023981481481481</v>
      </c>
      <c r="P160" s="2">
        <f t="shared" si="20"/>
        <v>712.69444444444446</v>
      </c>
      <c r="Q160" s="2"/>
      <c r="R160" s="2"/>
    </row>
    <row r="161" spans="1:18" x14ac:dyDescent="0.45">
      <c r="A161" s="12"/>
      <c r="B161" s="4">
        <v>45012</v>
      </c>
      <c r="C161" s="1">
        <v>5</v>
      </c>
      <c r="D161">
        <v>131</v>
      </c>
      <c r="E161">
        <v>0</v>
      </c>
      <c r="F161">
        <v>2533</v>
      </c>
      <c r="G161" s="2">
        <f t="shared" si="16"/>
        <v>8623.5</v>
      </c>
      <c r="I161" s="1">
        <f t="shared" si="14"/>
        <v>13.525</v>
      </c>
      <c r="J161" s="2">
        <f t="shared" si="15"/>
        <v>619.75</v>
      </c>
      <c r="L161" s="1">
        <f t="shared" si="17"/>
        <v>15.107166666666666</v>
      </c>
      <c r="M161" s="2">
        <f t="shared" si="18"/>
        <v>698.3</v>
      </c>
      <c r="N161" s="2"/>
      <c r="O161" s="1">
        <f t="shared" si="19"/>
        <v>15.22574074074074</v>
      </c>
      <c r="P161" s="2">
        <f t="shared" si="20"/>
        <v>691.27777777777783</v>
      </c>
      <c r="Q161" s="2"/>
      <c r="R161" s="2"/>
    </row>
    <row r="162" spans="1:18" x14ac:dyDescent="0.45">
      <c r="A162" s="12"/>
      <c r="B162" s="4">
        <v>45019</v>
      </c>
      <c r="C162" s="1">
        <v>11</v>
      </c>
      <c r="D162">
        <v>456</v>
      </c>
      <c r="E162">
        <v>2</v>
      </c>
      <c r="F162">
        <v>8309</v>
      </c>
      <c r="G162" s="2">
        <f t="shared" si="16"/>
        <v>8371.25</v>
      </c>
      <c r="I162" s="1">
        <f t="shared" si="14"/>
        <v>12.625</v>
      </c>
      <c r="J162" s="2">
        <f t="shared" si="15"/>
        <v>567</v>
      </c>
      <c r="L162" s="1">
        <f t="shared" si="17"/>
        <v>14.574000000000002</v>
      </c>
      <c r="M162" s="2">
        <f t="shared" si="18"/>
        <v>675</v>
      </c>
      <c r="N162" s="2"/>
      <c r="O162" s="1">
        <f t="shared" si="19"/>
        <v>14.212222222222222</v>
      </c>
      <c r="P162" s="2">
        <f t="shared" si="20"/>
        <v>659.5</v>
      </c>
      <c r="Q162" s="2"/>
      <c r="R162" s="2"/>
    </row>
    <row r="163" spans="1:18" x14ac:dyDescent="0.45">
      <c r="A163" s="12"/>
      <c r="B163" s="4">
        <v>45026</v>
      </c>
      <c r="C163" s="1">
        <f>22+37/60</f>
        <v>22.616666666666667</v>
      </c>
      <c r="D163">
        <v>973</v>
      </c>
      <c r="E163">
        <v>2</v>
      </c>
      <c r="F163">
        <v>17112</v>
      </c>
      <c r="G163" s="2">
        <f t="shared" si="16"/>
        <v>9276.75</v>
      </c>
      <c r="I163" s="1">
        <f t="shared" si="14"/>
        <v>13.904166666666667</v>
      </c>
      <c r="J163" s="2">
        <f t="shared" si="15"/>
        <v>569.75</v>
      </c>
      <c r="L163" s="1">
        <f t="shared" si="17"/>
        <v>14.470833333333335</v>
      </c>
      <c r="M163" s="2">
        <f t="shared" si="18"/>
        <v>656.75</v>
      </c>
      <c r="N163" s="2"/>
      <c r="O163" s="1">
        <f t="shared" si="19"/>
        <v>14.512962962962964</v>
      </c>
      <c r="P163" s="2">
        <f t="shared" si="20"/>
        <v>663.97222222222217</v>
      </c>
      <c r="Q163" s="2"/>
      <c r="R163" s="2"/>
    </row>
    <row r="164" spans="1:18" x14ac:dyDescent="0.45">
      <c r="A164" s="15"/>
      <c r="B164" s="4">
        <v>45033</v>
      </c>
      <c r="C164" s="1">
        <f>22+23/60</f>
        <v>22.383333333333333</v>
      </c>
      <c r="D164">
        <v>1006</v>
      </c>
      <c r="E164">
        <v>2</v>
      </c>
      <c r="F164">
        <v>12488</v>
      </c>
      <c r="G164" s="2">
        <f t="shared" si="16"/>
        <v>10110.5</v>
      </c>
      <c r="I164" s="1">
        <f t="shared" si="14"/>
        <v>15.25</v>
      </c>
      <c r="J164" s="2">
        <f t="shared" si="15"/>
        <v>641.5</v>
      </c>
      <c r="L164" s="1">
        <f t="shared" si="17"/>
        <v>14.428333333333333</v>
      </c>
      <c r="M164" s="2">
        <f t="shared" si="18"/>
        <v>636.54999999999995</v>
      </c>
      <c r="N164" s="2"/>
      <c r="O164" s="1">
        <f t="shared" si="19"/>
        <v>15.522685185185184</v>
      </c>
      <c r="P164" s="2">
        <f t="shared" si="20"/>
        <v>700.22222222222217</v>
      </c>
      <c r="Q164" s="2"/>
      <c r="R164" s="2"/>
    </row>
    <row r="165" spans="1:18" x14ac:dyDescent="0.45">
      <c r="A165" s="12"/>
      <c r="B165" s="4">
        <v>45040</v>
      </c>
      <c r="C165" s="1">
        <f>22+5/60</f>
        <v>22.083333333333332</v>
      </c>
      <c r="D165">
        <v>1110</v>
      </c>
      <c r="E165">
        <v>2</v>
      </c>
      <c r="F165">
        <v>16645</v>
      </c>
      <c r="G165" s="2">
        <f t="shared" si="16"/>
        <v>13638.5</v>
      </c>
      <c r="I165" s="1">
        <f t="shared" si="14"/>
        <v>19.520833333333332</v>
      </c>
      <c r="J165" s="2">
        <f t="shared" si="15"/>
        <v>886.25</v>
      </c>
      <c r="L165" s="1">
        <f t="shared" si="17"/>
        <v>14.964999999999998</v>
      </c>
      <c r="M165" s="2">
        <f t="shared" si="18"/>
        <v>656.85</v>
      </c>
      <c r="N165" s="2"/>
      <c r="O165" s="1">
        <f t="shared" si="19"/>
        <v>15.138888888888889</v>
      </c>
      <c r="P165" s="2">
        <f t="shared" si="20"/>
        <v>691.77777777777783</v>
      </c>
      <c r="Q165" s="2"/>
      <c r="R165" s="2"/>
    </row>
    <row r="166" spans="1:18" x14ac:dyDescent="0.45">
      <c r="A166" s="12"/>
      <c r="B166" s="4">
        <v>45047</v>
      </c>
      <c r="C166" s="1">
        <v>22</v>
      </c>
      <c r="D166">
        <v>1000</v>
      </c>
      <c r="E166">
        <v>2</v>
      </c>
      <c r="F166">
        <v>16664</v>
      </c>
      <c r="G166" s="2">
        <f t="shared" si="16"/>
        <v>15727.25</v>
      </c>
      <c r="I166" s="1">
        <f t="shared" si="14"/>
        <v>22.270833333333332</v>
      </c>
      <c r="J166" s="2">
        <f t="shared" si="15"/>
        <v>1022.25</v>
      </c>
      <c r="L166" s="1">
        <f t="shared" si="17"/>
        <v>16.714166666666667</v>
      </c>
      <c r="M166" s="2">
        <f t="shared" si="18"/>
        <v>737.35</v>
      </c>
      <c r="N166" s="2"/>
      <c r="O166" s="1">
        <f t="shared" si="19"/>
        <v>15.771759259259259</v>
      </c>
      <c r="P166" s="2">
        <f t="shared" si="20"/>
        <v>720.13888888888891</v>
      </c>
      <c r="Q166" s="2"/>
      <c r="R166" s="2"/>
    </row>
    <row r="167" spans="1:18" x14ac:dyDescent="0.45">
      <c r="A167" s="12"/>
      <c r="B167" s="4">
        <v>45054</v>
      </c>
      <c r="C167" s="1">
        <f>14+22/60</f>
        <v>14.366666666666667</v>
      </c>
      <c r="D167">
        <v>800</v>
      </c>
      <c r="E167">
        <v>2</v>
      </c>
      <c r="F167">
        <v>10695</v>
      </c>
      <c r="G167" s="2">
        <f t="shared" si="16"/>
        <v>14123</v>
      </c>
      <c r="I167" s="1">
        <f t="shared" si="14"/>
        <v>20.208333333333336</v>
      </c>
      <c r="J167" s="2">
        <f t="shared" si="15"/>
        <v>979</v>
      </c>
      <c r="L167" s="1">
        <f t="shared" si="17"/>
        <v>18.230833333333333</v>
      </c>
      <c r="M167" s="2">
        <f t="shared" si="18"/>
        <v>819.75</v>
      </c>
      <c r="N167" s="2"/>
      <c r="O167" s="1">
        <f t="shared" si="19"/>
        <v>15.673148148148149</v>
      </c>
      <c r="P167" s="2">
        <f t="shared" si="20"/>
        <v>678.44444444444446</v>
      </c>
      <c r="Q167" s="2"/>
      <c r="R167" s="2"/>
    </row>
    <row r="168" spans="1:18" x14ac:dyDescent="0.45">
      <c r="A168" s="12"/>
      <c r="B168" s="4">
        <v>45061</v>
      </c>
      <c r="C168" s="1">
        <v>20</v>
      </c>
      <c r="D168">
        <v>798</v>
      </c>
      <c r="E168">
        <v>2</v>
      </c>
      <c r="F168">
        <v>13378</v>
      </c>
      <c r="G168" s="2">
        <f t="shared" si="16"/>
        <v>14345.5</v>
      </c>
      <c r="I168" s="1">
        <f t="shared" si="14"/>
        <v>19.612499999999997</v>
      </c>
      <c r="J168" s="2">
        <f t="shared" si="15"/>
        <v>927</v>
      </c>
      <c r="L168" s="1">
        <f t="shared" si="17"/>
        <v>19.372499999999999</v>
      </c>
      <c r="M168" s="2">
        <f t="shared" si="18"/>
        <v>891.2</v>
      </c>
      <c r="N168" s="2"/>
      <c r="O168" s="1">
        <f t="shared" si="19"/>
        <v>15.768981481481482</v>
      </c>
      <c r="P168" s="2">
        <f t="shared" si="20"/>
        <v>692.94444444444446</v>
      </c>
      <c r="Q168" s="2"/>
      <c r="R168" s="2"/>
    </row>
    <row r="169" spans="1:18" x14ac:dyDescent="0.45">
      <c r="A169" s="12"/>
      <c r="B169" s="4">
        <v>45068</v>
      </c>
      <c r="C169" s="1">
        <f>12+17/60</f>
        <v>12.283333333333333</v>
      </c>
      <c r="D169">
        <v>639</v>
      </c>
      <c r="E169">
        <v>2</v>
      </c>
      <c r="F169">
        <v>7924</v>
      </c>
      <c r="G169" s="2">
        <f t="shared" si="16"/>
        <v>12165.25</v>
      </c>
      <c r="I169" s="1">
        <f t="shared" si="14"/>
        <v>17.162500000000001</v>
      </c>
      <c r="J169" s="2">
        <f t="shared" si="15"/>
        <v>809.25</v>
      </c>
      <c r="L169" s="1">
        <f t="shared" si="17"/>
        <v>19.755000000000003</v>
      </c>
      <c r="M169" s="2">
        <f t="shared" si="18"/>
        <v>924.75</v>
      </c>
      <c r="N169" s="2"/>
      <c r="O169" s="1">
        <f t="shared" si="19"/>
        <v>18.733796296296294</v>
      </c>
      <c r="P169" s="2">
        <f t="shared" si="20"/>
        <v>852.22222222222217</v>
      </c>
      <c r="Q169" s="2"/>
      <c r="R169" s="2"/>
    </row>
    <row r="170" spans="1:18" x14ac:dyDescent="0.45">
      <c r="A170" s="12"/>
      <c r="B170" s="4">
        <v>45075</v>
      </c>
      <c r="C170" s="1">
        <v>9.5</v>
      </c>
      <c r="D170">
        <v>373</v>
      </c>
      <c r="E170">
        <v>2</v>
      </c>
      <c r="F170">
        <v>6421</v>
      </c>
      <c r="G170" s="2">
        <f t="shared" si="16"/>
        <v>9604.5</v>
      </c>
      <c r="I170" s="1">
        <f t="shared" si="14"/>
        <v>14.0375</v>
      </c>
      <c r="J170" s="2">
        <f t="shared" si="15"/>
        <v>652.5</v>
      </c>
      <c r="L170" s="1">
        <f t="shared" si="17"/>
        <v>18.658333333333335</v>
      </c>
      <c r="M170" s="2">
        <f t="shared" si="18"/>
        <v>878</v>
      </c>
      <c r="N170" s="2"/>
      <c r="O170" s="1">
        <f t="shared" si="19"/>
        <v>20.323611111111113</v>
      </c>
      <c r="P170" s="2">
        <f t="shared" si="20"/>
        <v>936.97222222222217</v>
      </c>
      <c r="Q170" s="2"/>
      <c r="R170" s="2"/>
    </row>
    <row r="171" spans="1:18" x14ac:dyDescent="0.45">
      <c r="A171" s="12"/>
      <c r="B171" s="4">
        <v>45082</v>
      </c>
      <c r="C171" s="1">
        <f>21+39/60</f>
        <v>21.65</v>
      </c>
      <c r="D171">
        <v>1082</v>
      </c>
      <c r="E171">
        <v>2</v>
      </c>
      <c r="F171">
        <v>13140</v>
      </c>
      <c r="G171" s="2">
        <f t="shared" si="16"/>
        <v>10215.75</v>
      </c>
      <c r="I171" s="1">
        <f t="shared" si="14"/>
        <v>15.858333333333333</v>
      </c>
      <c r="J171" s="2">
        <f t="shared" si="15"/>
        <v>723</v>
      </c>
      <c r="L171" s="1">
        <f t="shared" si="17"/>
        <v>17.375833333333333</v>
      </c>
      <c r="M171" s="2">
        <f t="shared" si="18"/>
        <v>818.15</v>
      </c>
      <c r="N171" s="2"/>
      <c r="O171" s="1">
        <f t="shared" si="19"/>
        <v>19.305092592592594</v>
      </c>
      <c r="P171" s="2">
        <f t="shared" si="20"/>
        <v>909.86111111111109</v>
      </c>
      <c r="Q171" s="2"/>
      <c r="R171" s="2"/>
    </row>
    <row r="172" spans="1:18" x14ac:dyDescent="0.45">
      <c r="A172" s="12"/>
      <c r="B172" s="4">
        <v>45089</v>
      </c>
      <c r="C172" s="1">
        <f>19+36/60</f>
        <v>19.600000000000001</v>
      </c>
      <c r="D172">
        <v>1028</v>
      </c>
      <c r="E172">
        <v>2</v>
      </c>
      <c r="F172">
        <v>14714</v>
      </c>
      <c r="G172" s="2">
        <f t="shared" si="16"/>
        <v>10549.75</v>
      </c>
      <c r="I172" s="1">
        <f t="shared" si="14"/>
        <v>15.758333333333333</v>
      </c>
      <c r="J172" s="2">
        <f t="shared" si="15"/>
        <v>780.5</v>
      </c>
      <c r="L172" s="1">
        <f t="shared" si="17"/>
        <v>16.485833333333336</v>
      </c>
      <c r="M172" s="2">
        <f t="shared" si="18"/>
        <v>778.45</v>
      </c>
      <c r="N172" s="2"/>
      <c r="O172" s="1">
        <f t="shared" si="19"/>
        <v>18.261111111111109</v>
      </c>
      <c r="P172" s="2">
        <f t="shared" si="20"/>
        <v>876.02777777777783</v>
      </c>
      <c r="Q172" s="2"/>
      <c r="R172" s="2"/>
    </row>
    <row r="173" spans="1:18" x14ac:dyDescent="0.45">
      <c r="A173" s="15"/>
      <c r="B173" s="4">
        <v>45096</v>
      </c>
      <c r="C173" s="1">
        <f>19+46/60</f>
        <v>19.766666666666666</v>
      </c>
      <c r="D173">
        <v>1021</v>
      </c>
      <c r="E173">
        <v>2</v>
      </c>
      <c r="F173">
        <v>14491</v>
      </c>
      <c r="G173" s="2">
        <f t="shared" si="16"/>
        <v>12191.5</v>
      </c>
      <c r="I173" s="1">
        <f t="shared" si="14"/>
        <v>17.629166666666666</v>
      </c>
      <c r="J173" s="2">
        <f t="shared" si="15"/>
        <v>876</v>
      </c>
      <c r="L173" s="1">
        <f t="shared" si="17"/>
        <v>16.089166666666664</v>
      </c>
      <c r="M173" s="2">
        <f t="shared" si="18"/>
        <v>768.25</v>
      </c>
      <c r="N173" s="2"/>
      <c r="O173" s="1">
        <f t="shared" si="19"/>
        <v>17.219444444444445</v>
      </c>
      <c r="P173" s="2">
        <f t="shared" si="20"/>
        <v>816.61111111111109</v>
      </c>
      <c r="Q173" s="2"/>
      <c r="R173" s="2"/>
    </row>
    <row r="174" spans="1:18" x14ac:dyDescent="0.45">
      <c r="A174" s="12"/>
      <c r="B174" s="4">
        <v>45103</v>
      </c>
      <c r="C174" s="1">
        <f>19+11/60</f>
        <v>19.183333333333334</v>
      </c>
      <c r="D174">
        <v>923</v>
      </c>
      <c r="E174">
        <v>2</v>
      </c>
      <c r="F174">
        <v>13595</v>
      </c>
      <c r="G174" s="2">
        <f t="shared" si="16"/>
        <v>13985</v>
      </c>
      <c r="I174" s="1">
        <f t="shared" si="14"/>
        <v>20.05</v>
      </c>
      <c r="J174" s="2">
        <f t="shared" si="15"/>
        <v>1013.5</v>
      </c>
      <c r="L174" s="1">
        <f t="shared" si="17"/>
        <v>16.666666666666664</v>
      </c>
      <c r="M174" s="2">
        <f t="shared" si="18"/>
        <v>809.1</v>
      </c>
      <c r="N174" s="2"/>
      <c r="O174" s="1">
        <f t="shared" si="19"/>
        <v>16.118055555555557</v>
      </c>
      <c r="P174" s="2">
        <f t="shared" si="20"/>
        <v>779.5</v>
      </c>
      <c r="Q174" s="2"/>
      <c r="R174" s="2"/>
    </row>
    <row r="175" spans="1:18" x14ac:dyDescent="0.45">
      <c r="A175" s="12"/>
      <c r="B175" s="4">
        <v>45110</v>
      </c>
      <c r="C175" s="1">
        <f>19+27/60</f>
        <v>19.45</v>
      </c>
      <c r="D175">
        <v>920</v>
      </c>
      <c r="E175">
        <v>2</v>
      </c>
      <c r="F175">
        <v>12791</v>
      </c>
      <c r="G175" s="2">
        <f t="shared" si="16"/>
        <v>13897.75</v>
      </c>
      <c r="I175" s="1">
        <f t="shared" si="14"/>
        <v>19.5</v>
      </c>
      <c r="J175" s="2">
        <f t="shared" si="15"/>
        <v>973</v>
      </c>
      <c r="L175" s="1">
        <f t="shared" si="17"/>
        <v>17.759166666666665</v>
      </c>
      <c r="M175" s="2">
        <f t="shared" si="18"/>
        <v>873.2</v>
      </c>
      <c r="N175" s="2"/>
      <c r="O175" s="1">
        <f t="shared" si="19"/>
        <v>16.854166666666668</v>
      </c>
      <c r="P175" s="2">
        <f t="shared" si="20"/>
        <v>790.16666666666663</v>
      </c>
      <c r="Q175" s="2"/>
      <c r="R175" s="2"/>
    </row>
    <row r="176" spans="1:18" x14ac:dyDescent="0.45">
      <c r="A176" s="12"/>
      <c r="B176" s="4">
        <v>45117</v>
      </c>
      <c r="C176" s="1">
        <f>12+13/60</f>
        <v>12.216666666666667</v>
      </c>
      <c r="D176">
        <v>495</v>
      </c>
      <c r="E176">
        <v>2</v>
      </c>
      <c r="F176">
        <v>7477</v>
      </c>
      <c r="G176" s="2">
        <f t="shared" si="16"/>
        <v>12088.5</v>
      </c>
      <c r="I176" s="1">
        <f t="shared" si="14"/>
        <v>17.654166666666669</v>
      </c>
      <c r="J176" s="2">
        <f t="shared" si="15"/>
        <v>839.75</v>
      </c>
      <c r="L176" s="1">
        <f t="shared" si="17"/>
        <v>18.118333333333332</v>
      </c>
      <c r="M176" s="2">
        <f t="shared" si="18"/>
        <v>896.55</v>
      </c>
      <c r="N176" s="2"/>
      <c r="O176" s="1">
        <f t="shared" si="19"/>
        <v>16.12222222222222</v>
      </c>
      <c r="P176" s="2">
        <f t="shared" si="20"/>
        <v>792.86111111111109</v>
      </c>
      <c r="Q176" s="2"/>
      <c r="R176" s="2"/>
    </row>
    <row r="177" spans="1:18" x14ac:dyDescent="0.45">
      <c r="A177" s="12" t="s">
        <v>109</v>
      </c>
      <c r="B177" s="4">
        <v>45124</v>
      </c>
      <c r="C177" s="1">
        <f>12+41/60</f>
        <v>12.683333333333334</v>
      </c>
      <c r="D177">
        <v>691</v>
      </c>
      <c r="E177">
        <v>1</v>
      </c>
      <c r="F177">
        <v>7333</v>
      </c>
      <c r="G177" s="2">
        <f t="shared" si="16"/>
        <v>10299</v>
      </c>
      <c r="I177" s="1">
        <f t="shared" si="14"/>
        <v>15.883333333333333</v>
      </c>
      <c r="J177" s="2">
        <f t="shared" si="15"/>
        <v>757.25</v>
      </c>
      <c r="L177" s="1">
        <f t="shared" si="17"/>
        <v>18.143333333333334</v>
      </c>
      <c r="M177" s="2">
        <f t="shared" si="18"/>
        <v>891.9</v>
      </c>
      <c r="N177" s="2"/>
      <c r="O177" s="1">
        <f t="shared" si="19"/>
        <v>17.116203703703704</v>
      </c>
      <c r="P177" s="2">
        <f t="shared" si="20"/>
        <v>832.33333333333337</v>
      </c>
      <c r="Q177" s="2"/>
      <c r="R177" s="2"/>
    </row>
    <row r="178" spans="1:18" x14ac:dyDescent="0.45">
      <c r="A178" s="12"/>
      <c r="B178" s="4">
        <v>45131</v>
      </c>
      <c r="C178" s="1">
        <f>13+51/60</f>
        <v>13.85</v>
      </c>
      <c r="D178">
        <v>586</v>
      </c>
      <c r="E178">
        <v>1</v>
      </c>
      <c r="F178">
        <v>8832</v>
      </c>
      <c r="G178" s="2">
        <f t="shared" si="16"/>
        <v>9108.25</v>
      </c>
      <c r="I178" s="1">
        <f t="shared" si="14"/>
        <v>14.549999999999999</v>
      </c>
      <c r="J178" s="2">
        <f t="shared" si="15"/>
        <v>673</v>
      </c>
      <c r="L178" s="1">
        <f t="shared" si="17"/>
        <v>17.5275</v>
      </c>
      <c r="M178" s="2">
        <f t="shared" si="18"/>
        <v>851.3</v>
      </c>
      <c r="N178" s="2"/>
      <c r="O178" s="1">
        <f t="shared" si="19"/>
        <v>18.849537037037042</v>
      </c>
      <c r="P178" s="2">
        <f t="shared" si="20"/>
        <v>936.83333333333337</v>
      </c>
      <c r="Q178" s="2"/>
      <c r="R178" s="2"/>
    </row>
    <row r="179" spans="1:18" x14ac:dyDescent="0.45">
      <c r="A179" s="12" t="s">
        <v>148</v>
      </c>
      <c r="B179" s="4">
        <v>45138</v>
      </c>
      <c r="C179" s="1">
        <f>12+56/60</f>
        <v>12.933333333333334</v>
      </c>
      <c r="D179" s="2">
        <v>534</v>
      </c>
      <c r="E179" s="2">
        <v>0</v>
      </c>
      <c r="F179" s="2">
        <v>6547</v>
      </c>
      <c r="G179" s="2">
        <f t="shared" si="16"/>
        <v>7547.25</v>
      </c>
      <c r="I179" s="1">
        <f t="shared" si="14"/>
        <v>12.920833333333334</v>
      </c>
      <c r="J179" s="2">
        <f t="shared" si="15"/>
        <v>576.5</v>
      </c>
      <c r="L179" s="1">
        <f t="shared" si="17"/>
        <v>16.101666666666667</v>
      </c>
      <c r="M179" s="2">
        <f t="shared" si="18"/>
        <v>763.9</v>
      </c>
      <c r="N179" s="2"/>
      <c r="O179" s="1">
        <f t="shared" si="19"/>
        <v>17.640740740740739</v>
      </c>
      <c r="P179" s="2">
        <f t="shared" si="20"/>
        <v>868.55555555555554</v>
      </c>
      <c r="Q179" s="2"/>
      <c r="R179" s="2"/>
    </row>
    <row r="180" spans="1:18" x14ac:dyDescent="0.45">
      <c r="A180" s="12" t="s">
        <v>149</v>
      </c>
      <c r="B180" s="4">
        <v>45145</v>
      </c>
      <c r="C180" s="1">
        <f>6+49/60</f>
        <v>6.8166666666666664</v>
      </c>
      <c r="D180" s="2">
        <v>319</v>
      </c>
      <c r="E180" s="2">
        <v>0</v>
      </c>
      <c r="F180" s="2">
        <v>4046</v>
      </c>
      <c r="G180" s="2">
        <f t="shared" si="16"/>
        <v>6689.5</v>
      </c>
      <c r="I180" s="1">
        <f t="shared" si="14"/>
        <v>11.570833333333333</v>
      </c>
      <c r="J180" s="2">
        <f t="shared" si="15"/>
        <v>532.5</v>
      </c>
      <c r="L180" s="1">
        <f t="shared" si="17"/>
        <v>14.515833333333333</v>
      </c>
      <c r="M180" s="2">
        <f t="shared" si="18"/>
        <v>675.8</v>
      </c>
      <c r="N180" s="2"/>
      <c r="O180" s="1">
        <f t="shared" si="19"/>
        <v>16.532407407407405</v>
      </c>
      <c r="P180" s="2">
        <f t="shared" si="20"/>
        <v>792.58333333333337</v>
      </c>
      <c r="Q180" s="2"/>
      <c r="R180" s="2"/>
    </row>
    <row r="181" spans="1:18" x14ac:dyDescent="0.45">
      <c r="A181" s="12" t="s">
        <v>150</v>
      </c>
      <c r="B181" s="4">
        <v>45152</v>
      </c>
      <c r="C181" s="1">
        <f>5+23/60</f>
        <v>5.3833333333333337</v>
      </c>
      <c r="D181" s="2">
        <v>345</v>
      </c>
      <c r="E181" s="2">
        <v>2</v>
      </c>
      <c r="F181" s="2">
        <v>3253</v>
      </c>
      <c r="G181" s="2">
        <f t="shared" si="16"/>
        <v>5669.5</v>
      </c>
      <c r="I181" s="1">
        <f t="shared" si="14"/>
        <v>9.7458333333333318</v>
      </c>
      <c r="J181" s="2">
        <f t="shared" si="15"/>
        <v>446</v>
      </c>
      <c r="L181" s="1">
        <f t="shared" si="17"/>
        <v>12.934166666666664</v>
      </c>
      <c r="M181" s="2">
        <f t="shared" si="18"/>
        <v>597.04999999999995</v>
      </c>
      <c r="N181" s="2"/>
      <c r="O181" s="1">
        <f t="shared" si="19"/>
        <v>14.987500000000002</v>
      </c>
      <c r="P181" s="2">
        <f t="shared" si="20"/>
        <v>699.38888888888891</v>
      </c>
      <c r="Q181" s="2"/>
      <c r="R181" s="2"/>
    </row>
    <row r="182" spans="1:18" x14ac:dyDescent="0.45">
      <c r="A182" s="12"/>
      <c r="B182" s="4">
        <v>45159</v>
      </c>
      <c r="C182" s="1">
        <f>22+7/60</f>
        <v>22.116666666666667</v>
      </c>
      <c r="D182" s="2">
        <v>1041</v>
      </c>
      <c r="E182" s="2">
        <v>2</v>
      </c>
      <c r="F182" s="2">
        <v>17524</v>
      </c>
      <c r="G182" s="2">
        <f t="shared" si="16"/>
        <v>7842.5</v>
      </c>
      <c r="I182" s="1">
        <f t="shared" si="14"/>
        <v>11.8125</v>
      </c>
      <c r="J182" s="2">
        <f t="shared" si="15"/>
        <v>559.75</v>
      </c>
      <c r="L182" s="1">
        <f t="shared" si="17"/>
        <v>12.120000000000001</v>
      </c>
      <c r="M182" s="2">
        <f t="shared" si="18"/>
        <v>557.54999999999995</v>
      </c>
      <c r="N182" s="2"/>
      <c r="O182" s="1">
        <f t="shared" si="19"/>
        <v>13.653703703703703</v>
      </c>
      <c r="P182" s="2">
        <f t="shared" si="20"/>
        <v>631.25</v>
      </c>
      <c r="Q182" s="2"/>
      <c r="R182" s="2"/>
    </row>
    <row r="183" spans="1:18" x14ac:dyDescent="0.45">
      <c r="A183" s="12"/>
      <c r="B183" s="4">
        <v>45166</v>
      </c>
      <c r="C183" s="1">
        <f>17+35/60</f>
        <v>17.583333333333332</v>
      </c>
      <c r="D183" s="2">
        <v>804</v>
      </c>
      <c r="E183" s="2">
        <v>2</v>
      </c>
      <c r="F183" s="2">
        <v>13208</v>
      </c>
      <c r="G183" s="2">
        <f t="shared" si="16"/>
        <v>9507.75</v>
      </c>
      <c r="I183" s="1">
        <f t="shared" si="14"/>
        <v>12.974999999999998</v>
      </c>
      <c r="J183" s="2">
        <f t="shared" si="15"/>
        <v>627.25</v>
      </c>
      <c r="L183" s="1">
        <f t="shared" si="17"/>
        <v>11.805</v>
      </c>
      <c r="M183" s="2">
        <f t="shared" si="18"/>
        <v>548.4</v>
      </c>
      <c r="N183" s="2"/>
      <c r="O183" s="1">
        <f t="shared" si="19"/>
        <v>12.208796296296295</v>
      </c>
      <c r="P183" s="2">
        <f t="shared" si="20"/>
        <v>560.55555555555554</v>
      </c>
      <c r="Q183" s="2"/>
      <c r="R183" s="2"/>
    </row>
    <row r="184" spans="1:18" x14ac:dyDescent="0.45">
      <c r="A184" s="12"/>
      <c r="B184" s="4">
        <v>45173</v>
      </c>
      <c r="C184" s="1">
        <f>17+7/60</f>
        <v>17.116666666666667</v>
      </c>
      <c r="D184" s="2">
        <v>1006</v>
      </c>
      <c r="E184" s="2">
        <v>0</v>
      </c>
      <c r="F184" s="2">
        <v>12347</v>
      </c>
      <c r="G184" s="2">
        <f t="shared" si="16"/>
        <v>11583</v>
      </c>
      <c r="I184" s="1">
        <f t="shared" si="14"/>
        <v>15.549999999999999</v>
      </c>
      <c r="J184" s="2">
        <f t="shared" si="15"/>
        <v>799</v>
      </c>
      <c r="L184" s="1">
        <f t="shared" si="17"/>
        <v>12.330833333333333</v>
      </c>
      <c r="M184" s="2">
        <f t="shared" si="18"/>
        <v>592.9</v>
      </c>
      <c r="N184" s="2"/>
      <c r="O184" s="1">
        <f t="shared" si="19"/>
        <v>12.507407407407406</v>
      </c>
      <c r="P184" s="2">
        <f t="shared" si="20"/>
        <v>598.5</v>
      </c>
      <c r="Q184" s="2"/>
      <c r="R184" s="2"/>
    </row>
    <row r="185" spans="1:18" x14ac:dyDescent="0.45">
      <c r="A185" s="12" t="s">
        <v>151</v>
      </c>
      <c r="B185" s="4">
        <v>45180</v>
      </c>
      <c r="C185" s="1">
        <v>18.25</v>
      </c>
      <c r="D185" s="2">
        <v>1234</v>
      </c>
      <c r="E185" s="2">
        <v>0</v>
      </c>
      <c r="F185" s="2">
        <v>14289</v>
      </c>
      <c r="G185" s="2">
        <f t="shared" si="16"/>
        <v>14342</v>
      </c>
      <c r="I185" s="1">
        <f t="shared" si="14"/>
        <v>18.766666666666666</v>
      </c>
      <c r="J185" s="2">
        <f t="shared" si="15"/>
        <v>1021.25</v>
      </c>
      <c r="L185" s="1">
        <f t="shared" si="17"/>
        <v>13.770000000000001</v>
      </c>
      <c r="M185" s="2">
        <f t="shared" si="18"/>
        <v>690.65</v>
      </c>
      <c r="N185" s="2"/>
      <c r="O185" s="1">
        <f t="shared" si="19"/>
        <v>12.856944444444444</v>
      </c>
      <c r="P185" s="2">
        <f t="shared" si="20"/>
        <v>607.97222222222217</v>
      </c>
      <c r="Q185" s="2"/>
      <c r="R185" s="2"/>
    </row>
    <row r="186" spans="1:18" x14ac:dyDescent="0.45">
      <c r="A186" s="12" t="s">
        <v>152</v>
      </c>
      <c r="B186" s="4">
        <v>45187</v>
      </c>
      <c r="C186" s="1">
        <f>16+7/60</f>
        <v>16.116666666666667</v>
      </c>
      <c r="D186" s="2">
        <v>828</v>
      </c>
      <c r="E186" s="2">
        <v>0</v>
      </c>
      <c r="F186" s="2">
        <v>11268</v>
      </c>
      <c r="G186" s="2">
        <f t="shared" si="16"/>
        <v>12778</v>
      </c>
      <c r="I186" s="1">
        <f t="shared" si="14"/>
        <v>17.266666666666666</v>
      </c>
      <c r="J186" s="2">
        <f t="shared" si="15"/>
        <v>968</v>
      </c>
      <c r="L186" s="1">
        <f t="shared" si="17"/>
        <v>15.274166666666668</v>
      </c>
      <c r="M186" s="2">
        <f t="shared" si="18"/>
        <v>795.05</v>
      </c>
      <c r="N186" s="2"/>
      <c r="O186" s="1">
        <f t="shared" si="19"/>
        <v>13.010185185185186</v>
      </c>
      <c r="P186" s="2">
        <f t="shared" si="20"/>
        <v>647.5</v>
      </c>
      <c r="Q186" s="2"/>
      <c r="R186" s="2"/>
    </row>
    <row r="187" spans="1:18" x14ac:dyDescent="0.45">
      <c r="A187" s="12"/>
      <c r="B187" s="10">
        <v>45194</v>
      </c>
      <c r="C187" s="1">
        <f>15+41/60</f>
        <v>15.683333333333334</v>
      </c>
      <c r="D187" s="2">
        <v>577</v>
      </c>
      <c r="E187" s="2">
        <v>0</v>
      </c>
      <c r="F187" s="2">
        <v>11071</v>
      </c>
      <c r="G187" s="2">
        <f t="shared" si="16"/>
        <v>12243.75</v>
      </c>
      <c r="I187" s="1">
        <f t="shared" si="14"/>
        <v>16.791666666666668</v>
      </c>
      <c r="J187" s="2">
        <f t="shared" si="15"/>
        <v>911.25</v>
      </c>
      <c r="L187" s="1">
        <f t="shared" si="17"/>
        <v>16.270000000000003</v>
      </c>
      <c r="M187" s="2">
        <f t="shared" si="18"/>
        <v>865.35</v>
      </c>
      <c r="N187" s="2"/>
      <c r="O187" s="1">
        <f t="shared" si="19"/>
        <v>13.443518518518516</v>
      </c>
      <c r="P187" s="2">
        <f t="shared" si="20"/>
        <v>699.77777777777783</v>
      </c>
      <c r="Q187" s="2"/>
      <c r="R187" s="2"/>
    </row>
    <row r="188" spans="1:18" x14ac:dyDescent="0.45">
      <c r="A188" s="12" t="s">
        <v>113</v>
      </c>
      <c r="B188" s="10">
        <v>45201</v>
      </c>
      <c r="C188" s="1">
        <f>19+7/60</f>
        <v>19.116666666666667</v>
      </c>
      <c r="D188" s="2">
        <v>1051</v>
      </c>
      <c r="E188" s="2">
        <v>0</v>
      </c>
      <c r="F188" s="2">
        <v>13515</v>
      </c>
      <c r="G188" s="2">
        <f t="shared" si="16"/>
        <v>12535.75</v>
      </c>
      <c r="I188" s="1">
        <f t="shared" si="14"/>
        <v>17.291666666666664</v>
      </c>
      <c r="J188" s="2">
        <f t="shared" si="15"/>
        <v>922.5</v>
      </c>
      <c r="L188" s="1">
        <f t="shared" si="17"/>
        <v>17.133333333333333</v>
      </c>
      <c r="M188" s="2">
        <f t="shared" si="18"/>
        <v>924.4</v>
      </c>
      <c r="N188" s="2"/>
      <c r="O188" s="1">
        <f t="shared" si="19"/>
        <v>15.577777777777779</v>
      </c>
      <c r="P188" s="2">
        <f t="shared" si="20"/>
        <v>820.16666666666663</v>
      </c>
      <c r="Q188" s="2"/>
      <c r="R188" s="2"/>
    </row>
    <row r="189" spans="1:18" x14ac:dyDescent="0.45">
      <c r="A189" s="12"/>
      <c r="B189" s="10">
        <v>45208</v>
      </c>
      <c r="C189" s="1">
        <f>11+9/60</f>
        <v>11.15</v>
      </c>
      <c r="D189" s="2">
        <v>531</v>
      </c>
      <c r="E189" s="2">
        <v>0</v>
      </c>
      <c r="F189" s="2">
        <v>7884</v>
      </c>
      <c r="G189" s="2">
        <f t="shared" si="16"/>
        <v>10934.5</v>
      </c>
      <c r="I189" s="1">
        <f t="shared" si="14"/>
        <v>15.516666666666667</v>
      </c>
      <c r="J189" s="2">
        <f t="shared" si="15"/>
        <v>746.75</v>
      </c>
      <c r="L189" s="1">
        <f t="shared" si="17"/>
        <v>17.126666666666665</v>
      </c>
      <c r="M189" s="2">
        <f t="shared" si="18"/>
        <v>913.95</v>
      </c>
      <c r="N189" s="2"/>
      <c r="O189" s="1">
        <f t="shared" si="19"/>
        <v>18.19074074074074</v>
      </c>
      <c r="P189" s="2">
        <f t="shared" si="20"/>
        <v>939.94444444444446</v>
      </c>
      <c r="Q189" s="2"/>
      <c r="R189" s="2"/>
    </row>
    <row r="190" spans="1:18" x14ac:dyDescent="0.45">
      <c r="A190" s="12"/>
      <c r="B190" s="10">
        <v>45215</v>
      </c>
      <c r="C190" s="1">
        <f>20+10/60</f>
        <v>20.166666666666668</v>
      </c>
      <c r="D190" s="2">
        <v>1074</v>
      </c>
      <c r="E190" s="2">
        <v>2</v>
      </c>
      <c r="F190" s="2">
        <v>15106</v>
      </c>
      <c r="G190" s="2">
        <f t="shared" si="16"/>
        <v>11894</v>
      </c>
      <c r="I190" s="1">
        <f t="shared" si="14"/>
        <v>16.529166666666665</v>
      </c>
      <c r="J190" s="2">
        <f t="shared" si="15"/>
        <v>808.25</v>
      </c>
      <c r="L190" s="1">
        <f t="shared" si="17"/>
        <v>16.679166666666667</v>
      </c>
      <c r="M190" s="2">
        <f t="shared" si="18"/>
        <v>871.35</v>
      </c>
      <c r="N190" s="2"/>
      <c r="O190" s="1">
        <f t="shared" si="19"/>
        <v>17.031018518518518</v>
      </c>
      <c r="P190" s="2">
        <f t="shared" si="20"/>
        <v>905.97222222222217</v>
      </c>
      <c r="Q190" s="2"/>
      <c r="R190" s="2"/>
    </row>
    <row r="191" spans="1:18" x14ac:dyDescent="0.45">
      <c r="A191" s="12"/>
      <c r="B191" s="4">
        <v>45222</v>
      </c>
      <c r="C191" s="1">
        <f>12+47/60</f>
        <v>12.783333333333333</v>
      </c>
      <c r="D191" s="2">
        <v>774</v>
      </c>
      <c r="E191" s="2">
        <v>1</v>
      </c>
      <c r="F191" s="2">
        <v>9456</v>
      </c>
      <c r="G191" s="2">
        <f t="shared" si="16"/>
        <v>11490.25</v>
      </c>
      <c r="I191" s="1">
        <f t="shared" si="14"/>
        <v>15.804166666666667</v>
      </c>
      <c r="J191" s="2">
        <f t="shared" si="15"/>
        <v>857.5</v>
      </c>
      <c r="L191" s="1">
        <f t="shared" si="17"/>
        <v>16.386666666666667</v>
      </c>
      <c r="M191" s="2">
        <f t="shared" si="18"/>
        <v>849.25</v>
      </c>
      <c r="N191" s="2"/>
      <c r="O191" s="1">
        <f t="shared" si="19"/>
        <v>16.745370370370367</v>
      </c>
      <c r="P191" s="2">
        <f t="shared" si="20"/>
        <v>923.83333333333337</v>
      </c>
      <c r="Q191" s="2"/>
      <c r="R191" s="2"/>
    </row>
    <row r="192" spans="1:18" x14ac:dyDescent="0.45">
      <c r="A192" s="12" t="s">
        <v>153</v>
      </c>
      <c r="B192" s="4">
        <v>45229</v>
      </c>
      <c r="C192" s="1">
        <f>22+46/60</f>
        <v>22.766666666666666</v>
      </c>
      <c r="D192" s="2">
        <v>1672</v>
      </c>
      <c r="E192" s="2">
        <v>0</v>
      </c>
      <c r="F192" s="2">
        <v>18605</v>
      </c>
      <c r="G192" s="2">
        <f t="shared" si="16"/>
        <v>12762.75</v>
      </c>
      <c r="I192" s="1">
        <f t="shared" si="14"/>
        <v>16.716666666666669</v>
      </c>
      <c r="J192" s="2">
        <f t="shared" si="15"/>
        <v>1012.75</v>
      </c>
      <c r="L192" s="1">
        <f t="shared" si="17"/>
        <v>16.371666666666666</v>
      </c>
      <c r="M192" s="2">
        <f t="shared" si="18"/>
        <v>869.55</v>
      </c>
      <c r="N192" s="2"/>
      <c r="O192" s="1">
        <f t="shared" si="19"/>
        <v>16.720370370370372</v>
      </c>
      <c r="P192" s="2">
        <f t="shared" si="20"/>
        <v>915.30555555555554</v>
      </c>
      <c r="Q192" s="2"/>
      <c r="R192" s="2"/>
    </row>
    <row r="193" spans="1:18" x14ac:dyDescent="0.45">
      <c r="A193" s="12"/>
      <c r="B193" s="4">
        <v>45236</v>
      </c>
      <c r="C193" s="1">
        <f>2+22/60</f>
        <v>2.3666666666666667</v>
      </c>
      <c r="D193" s="2">
        <v>81</v>
      </c>
      <c r="E193" s="2">
        <v>1</v>
      </c>
      <c r="F193" s="2">
        <v>1680</v>
      </c>
      <c r="G193" s="2">
        <f t="shared" si="16"/>
        <v>11211.75</v>
      </c>
      <c r="I193" s="1">
        <f t="shared" si="14"/>
        <v>14.520833333333334</v>
      </c>
      <c r="J193" s="2">
        <f t="shared" si="15"/>
        <v>900.25</v>
      </c>
      <c r="L193" s="1">
        <f t="shared" si="17"/>
        <v>15.817500000000001</v>
      </c>
      <c r="M193" s="2">
        <f t="shared" si="18"/>
        <v>865.1</v>
      </c>
      <c r="N193" s="2"/>
      <c r="O193" s="1">
        <f t="shared" si="19"/>
        <v>16.002314814814813</v>
      </c>
      <c r="P193" s="2">
        <f t="shared" si="20"/>
        <v>824.08333333333337</v>
      </c>
      <c r="Q193" s="2"/>
      <c r="R193" s="2"/>
    </row>
    <row r="194" spans="1:18" x14ac:dyDescent="0.45">
      <c r="A194" s="12"/>
      <c r="B194" s="4">
        <v>45243</v>
      </c>
      <c r="C194" s="1">
        <f>20+53/60</f>
        <v>20.883333333333333</v>
      </c>
      <c r="D194" s="2">
        <v>938</v>
      </c>
      <c r="E194" s="2">
        <v>2</v>
      </c>
      <c r="F194" s="2">
        <v>14789</v>
      </c>
      <c r="G194" s="2">
        <f t="shared" si="16"/>
        <v>11132.5</v>
      </c>
      <c r="I194" s="1">
        <f t="shared" si="14"/>
        <v>14.7</v>
      </c>
      <c r="J194" s="2">
        <f t="shared" si="15"/>
        <v>866.25</v>
      </c>
      <c r="L194" s="1">
        <f t="shared" si="17"/>
        <v>15.654166666666669</v>
      </c>
      <c r="M194" s="2">
        <f t="shared" si="18"/>
        <v>889</v>
      </c>
      <c r="N194" s="2"/>
      <c r="O194" s="1">
        <f t="shared" si="19"/>
        <v>15.890740740740739</v>
      </c>
      <c r="P194" s="2">
        <f t="shared" si="20"/>
        <v>826.13888888888891</v>
      </c>
      <c r="Q194" s="2"/>
      <c r="R194" s="2"/>
    </row>
    <row r="195" spans="1:18" x14ac:dyDescent="0.45">
      <c r="A195" s="12"/>
      <c r="B195" s="10">
        <v>45250</v>
      </c>
      <c r="C195" s="1">
        <f>15+41/60</f>
        <v>15.683333333333334</v>
      </c>
      <c r="D195" s="2">
        <v>713</v>
      </c>
      <c r="E195" s="2">
        <v>2</v>
      </c>
      <c r="F195" s="2">
        <v>11182</v>
      </c>
      <c r="G195" s="2">
        <f t="shared" si="16"/>
        <v>11564</v>
      </c>
      <c r="I195" s="1">
        <f t="shared" si="14"/>
        <v>15.425000000000001</v>
      </c>
      <c r="J195" s="2">
        <f t="shared" si="15"/>
        <v>851</v>
      </c>
      <c r="L195" s="1">
        <f t="shared" si="17"/>
        <v>15.433333333333334</v>
      </c>
      <c r="M195" s="2">
        <f t="shared" si="18"/>
        <v>897.55</v>
      </c>
      <c r="N195" s="2"/>
      <c r="O195" s="1">
        <f t="shared" si="19"/>
        <v>15.875462962962963</v>
      </c>
      <c r="P195" s="2">
        <f t="shared" si="20"/>
        <v>887.75</v>
      </c>
      <c r="Q195" s="2"/>
      <c r="R195" s="2"/>
    </row>
    <row r="196" spans="1:18" x14ac:dyDescent="0.45">
      <c r="A196" s="12" t="s">
        <v>114</v>
      </c>
      <c r="B196" s="10">
        <v>45257</v>
      </c>
      <c r="C196" s="1">
        <f>17+25/60</f>
        <v>17.416666666666668</v>
      </c>
      <c r="D196" s="2">
        <v>793</v>
      </c>
      <c r="E196" s="2">
        <v>2</v>
      </c>
      <c r="F196" s="2">
        <v>11525</v>
      </c>
      <c r="G196" s="2">
        <f t="shared" si="16"/>
        <v>9794</v>
      </c>
      <c r="I196" s="1">
        <f t="shared" si="14"/>
        <v>14.087500000000002</v>
      </c>
      <c r="J196" s="2">
        <f t="shared" si="15"/>
        <v>631.25</v>
      </c>
      <c r="L196" s="1">
        <f t="shared" si="17"/>
        <v>15.09</v>
      </c>
      <c r="M196" s="2">
        <f t="shared" si="18"/>
        <v>852.3</v>
      </c>
      <c r="N196" s="2"/>
      <c r="O196" s="1">
        <f t="shared" si="19"/>
        <v>15.050000000000002</v>
      </c>
      <c r="P196" s="2">
        <f t="shared" si="20"/>
        <v>836.86111111111109</v>
      </c>
      <c r="Q196" s="2"/>
      <c r="R196" s="2"/>
    </row>
    <row r="197" spans="1:18" x14ac:dyDescent="0.45">
      <c r="A197" s="12"/>
      <c r="B197" s="10">
        <v>45264</v>
      </c>
      <c r="C197" s="1">
        <f>24+56/60</f>
        <v>24.933333333333334</v>
      </c>
      <c r="D197" s="2">
        <v>1178</v>
      </c>
      <c r="E197" s="2">
        <v>2</v>
      </c>
      <c r="F197" s="2">
        <v>13957</v>
      </c>
      <c r="G197" s="2">
        <f t="shared" si="16"/>
        <v>12863.25</v>
      </c>
      <c r="I197" s="1">
        <f t="shared" ref="I197:I239" si="21">AVERAGE(C194:C197)</f>
        <v>19.729166666666668</v>
      </c>
      <c r="J197" s="2">
        <f t="shared" ref="J197:J239" si="22">AVERAGE(D194:D197)</f>
        <v>905.5</v>
      </c>
      <c r="L197" s="1">
        <f t="shared" si="17"/>
        <v>15.692499999999999</v>
      </c>
      <c r="M197" s="2">
        <f t="shared" si="18"/>
        <v>830.85</v>
      </c>
      <c r="N197" s="2"/>
      <c r="O197" s="1">
        <f t="shared" si="19"/>
        <v>16.37777777777778</v>
      </c>
      <c r="P197" s="2">
        <f t="shared" si="20"/>
        <v>919.5</v>
      </c>
      <c r="Q197" s="2"/>
      <c r="R197" s="2"/>
    </row>
    <row r="198" spans="1:18" x14ac:dyDescent="0.45">
      <c r="A198" s="12"/>
      <c r="B198" s="10">
        <v>45271</v>
      </c>
      <c r="C198" s="1">
        <f>18+10/60</f>
        <v>18.166666666666668</v>
      </c>
      <c r="D198" s="2">
        <v>793</v>
      </c>
      <c r="E198" s="2">
        <v>2</v>
      </c>
      <c r="F198" s="2">
        <v>12028</v>
      </c>
      <c r="G198" s="2">
        <f t="shared" ref="G198:G239" si="23">AVERAGE(F195:F198)</f>
        <v>12173</v>
      </c>
      <c r="I198" s="1">
        <f t="shared" si="21"/>
        <v>19.05</v>
      </c>
      <c r="J198" s="2">
        <f t="shared" si="22"/>
        <v>869.25</v>
      </c>
      <c r="L198" s="1">
        <f t="shared" si="17"/>
        <v>16.598333333333336</v>
      </c>
      <c r="M198" s="2">
        <f t="shared" si="18"/>
        <v>824.65</v>
      </c>
      <c r="N198" s="2"/>
      <c r="O198" s="1">
        <f t="shared" si="19"/>
        <v>15.646296296296295</v>
      </c>
      <c r="P198" s="2">
        <f t="shared" si="20"/>
        <v>873.66666666666663</v>
      </c>
      <c r="Q198" s="2"/>
      <c r="R198" s="2"/>
    </row>
    <row r="199" spans="1:18" x14ac:dyDescent="0.45">
      <c r="A199" s="12"/>
      <c r="B199" s="4">
        <v>45278</v>
      </c>
      <c r="C199" s="1">
        <f>6+12/60</f>
        <v>6.2</v>
      </c>
      <c r="D199" s="2">
        <v>254</v>
      </c>
      <c r="E199" s="2">
        <v>2</v>
      </c>
      <c r="F199" s="2">
        <v>3753</v>
      </c>
      <c r="G199" s="2">
        <f t="shared" si="23"/>
        <v>10315.75</v>
      </c>
      <c r="I199" s="1">
        <f t="shared" si="21"/>
        <v>16.679166666666667</v>
      </c>
      <c r="J199" s="2">
        <f t="shared" si="22"/>
        <v>754.5</v>
      </c>
      <c r="L199" s="1">
        <f t="shared" si="17"/>
        <v>16.994166666666665</v>
      </c>
      <c r="M199" s="2">
        <f t="shared" si="18"/>
        <v>802.3</v>
      </c>
      <c r="N199" s="2"/>
      <c r="O199" s="1">
        <f t="shared" si="19"/>
        <v>16.372685185185187</v>
      </c>
      <c r="P199" s="2">
        <f t="shared" si="20"/>
        <v>880.05555555555554</v>
      </c>
      <c r="Q199" s="2"/>
      <c r="R199" s="2"/>
    </row>
    <row r="200" spans="1:18" x14ac:dyDescent="0.45">
      <c r="A200" s="12"/>
      <c r="B200" s="4">
        <v>45285</v>
      </c>
      <c r="C200" s="1">
        <f>11+59/60</f>
        <v>11.983333333333333</v>
      </c>
      <c r="D200" s="2">
        <v>519</v>
      </c>
      <c r="E200" s="2">
        <v>1</v>
      </c>
      <c r="F200" s="2">
        <v>9354</v>
      </c>
      <c r="G200" s="2">
        <f t="shared" si="23"/>
        <v>9773</v>
      </c>
      <c r="I200" s="1">
        <f t="shared" si="21"/>
        <v>15.320833333333335</v>
      </c>
      <c r="J200" s="2">
        <f t="shared" si="22"/>
        <v>686</v>
      </c>
      <c r="L200" s="1">
        <f t="shared" si="17"/>
        <v>16.973333333333336</v>
      </c>
      <c r="M200" s="2">
        <f t="shared" si="18"/>
        <v>769.3</v>
      </c>
      <c r="N200" s="2"/>
      <c r="O200" s="1">
        <f t="shared" si="19"/>
        <v>14.581018518518521</v>
      </c>
      <c r="P200" s="2">
        <f t="shared" si="20"/>
        <v>654.86111111111109</v>
      </c>
      <c r="Q200" s="2"/>
      <c r="R200" s="2"/>
    </row>
    <row r="201" spans="1:18" x14ac:dyDescent="0.45">
      <c r="A201" s="12"/>
      <c r="B201" s="4">
        <v>45292</v>
      </c>
      <c r="C201" s="1">
        <f>21+55/60</f>
        <v>21.916666666666668</v>
      </c>
      <c r="D201" s="2">
        <v>1145</v>
      </c>
      <c r="E201" s="21">
        <v>2</v>
      </c>
      <c r="F201" s="2">
        <v>15628</v>
      </c>
      <c r="G201" s="2">
        <f t="shared" si="23"/>
        <v>10190.75</v>
      </c>
      <c r="I201" s="1">
        <f t="shared" si="21"/>
        <v>14.566666666666666</v>
      </c>
      <c r="J201" s="2">
        <f t="shared" si="22"/>
        <v>677.75</v>
      </c>
      <c r="L201" s="1">
        <f t="shared" ref="L201:L239" si="24">((1*C194)+(2*C195)+(3*C196)+(4*C197)+(4*C198)+(3*C199)+(2*C200)+(C201))/20</f>
        <v>17.069166666666668</v>
      </c>
      <c r="M201" s="2">
        <f t="shared" ref="M201:M239" si="25">((1*D194)+(2*D195)+(3*D196)+(4*D197)+(4*D198)+(3*D199)+(2*D200)+(D201))/20</f>
        <v>778.6</v>
      </c>
      <c r="N201" s="2"/>
      <c r="O201" s="1">
        <f t="shared" si="19"/>
        <v>17.865740740740744</v>
      </c>
      <c r="P201" s="2">
        <f t="shared" si="20"/>
        <v>812.77777777777783</v>
      </c>
      <c r="Q201" s="2"/>
      <c r="R201" s="2"/>
    </row>
    <row r="202" spans="1:18" x14ac:dyDescent="0.45">
      <c r="A202" s="12" t="s">
        <v>154</v>
      </c>
      <c r="B202" s="4">
        <v>45299</v>
      </c>
      <c r="C202" s="1">
        <f>23+18/60</f>
        <v>23.3</v>
      </c>
      <c r="D202" s="2">
        <v>1301</v>
      </c>
      <c r="E202" s="2">
        <v>0</v>
      </c>
      <c r="F202" s="2">
        <v>17146</v>
      </c>
      <c r="G202" s="2">
        <f t="shared" si="23"/>
        <v>11470.25</v>
      </c>
      <c r="I202" s="1">
        <f t="shared" si="21"/>
        <v>15.850000000000001</v>
      </c>
      <c r="J202" s="2">
        <f t="shared" si="22"/>
        <v>804.75</v>
      </c>
      <c r="L202" s="1">
        <f t="shared" si="24"/>
        <v>16.293333333333333</v>
      </c>
      <c r="M202" s="2">
        <f t="shared" si="25"/>
        <v>758.45</v>
      </c>
      <c r="N202" s="2"/>
      <c r="O202" s="1">
        <f t="shared" si="19"/>
        <v>17.102777777777778</v>
      </c>
      <c r="P202" s="2">
        <f t="shared" si="20"/>
        <v>790.33333333333337</v>
      </c>
      <c r="Q202" s="2"/>
      <c r="R202" s="2"/>
    </row>
    <row r="203" spans="1:18" x14ac:dyDescent="0.45">
      <c r="A203" s="12" t="s">
        <v>155</v>
      </c>
      <c r="B203" s="10">
        <v>45306</v>
      </c>
      <c r="C203" s="1">
        <f>13+7/60</f>
        <v>13.116666666666667</v>
      </c>
      <c r="D203" s="2">
        <v>461</v>
      </c>
      <c r="E203" s="2">
        <v>2</v>
      </c>
      <c r="F203" s="2">
        <v>9127</v>
      </c>
      <c r="G203" s="2">
        <f t="shared" si="23"/>
        <v>12813.75</v>
      </c>
      <c r="I203" s="1">
        <f t="shared" si="21"/>
        <v>17.579166666666666</v>
      </c>
      <c r="J203" s="2">
        <f t="shared" si="22"/>
        <v>856.5</v>
      </c>
      <c r="L203" s="1">
        <f t="shared" si="24"/>
        <v>15.999166666666667</v>
      </c>
      <c r="M203" s="2">
        <f t="shared" si="25"/>
        <v>755.9</v>
      </c>
      <c r="N203" s="2"/>
      <c r="O203" s="1">
        <f t="shared" si="19"/>
        <v>17.424074074074074</v>
      </c>
      <c r="P203" s="2">
        <f t="shared" si="20"/>
        <v>810.88888888888891</v>
      </c>
      <c r="Q203" s="2"/>
      <c r="R203" s="2"/>
    </row>
    <row r="204" spans="1:18" x14ac:dyDescent="0.45">
      <c r="A204" s="12" t="s">
        <v>156</v>
      </c>
      <c r="B204" s="10">
        <v>45313</v>
      </c>
      <c r="C204" s="1">
        <f>14+36/60</f>
        <v>14.6</v>
      </c>
      <c r="D204" s="2">
        <v>663</v>
      </c>
      <c r="E204" s="2">
        <v>1</v>
      </c>
      <c r="F204" s="2">
        <v>9984</v>
      </c>
      <c r="G204" s="2">
        <f t="shared" si="23"/>
        <v>12971.25</v>
      </c>
      <c r="I204" s="1">
        <f t="shared" si="21"/>
        <v>18.233333333333334</v>
      </c>
      <c r="J204" s="2">
        <f t="shared" si="22"/>
        <v>892.5</v>
      </c>
      <c r="L204" s="1">
        <f t="shared" si="24"/>
        <v>16.310000000000002</v>
      </c>
      <c r="M204" s="2">
        <f t="shared" si="25"/>
        <v>783.5</v>
      </c>
      <c r="N204" s="2"/>
      <c r="O204" s="1">
        <f t="shared" si="19"/>
        <v>17.281944444444449</v>
      </c>
      <c r="P204" s="2">
        <f t="shared" si="20"/>
        <v>810.05555555555554</v>
      </c>
      <c r="Q204" s="2"/>
      <c r="R204" s="2"/>
    </row>
    <row r="205" spans="1:18" x14ac:dyDescent="0.45">
      <c r="A205" s="12"/>
      <c r="B205" s="10">
        <v>45320</v>
      </c>
      <c r="C205" s="1">
        <f>17+10/60</f>
        <v>17.166666666666668</v>
      </c>
      <c r="D205" s="2">
        <v>720</v>
      </c>
      <c r="E205" s="2">
        <v>1</v>
      </c>
      <c r="F205" s="2">
        <v>13080</v>
      </c>
      <c r="G205" s="2">
        <f t="shared" si="23"/>
        <v>12334.25</v>
      </c>
      <c r="I205" s="1">
        <f t="shared" si="21"/>
        <v>17.045833333333334</v>
      </c>
      <c r="J205" s="2">
        <f t="shared" si="22"/>
        <v>786.25</v>
      </c>
      <c r="L205" s="1">
        <f t="shared" si="24"/>
        <v>16.655000000000001</v>
      </c>
      <c r="M205" s="2">
        <f t="shared" si="25"/>
        <v>803.55</v>
      </c>
      <c r="N205" s="2"/>
      <c r="O205" s="1">
        <f t="shared" ref="O205:O239" si="26">((C205)+(C204*2)+(C203*3)+(C202*4)+(C201*5)+(C200*6)+(C199*7)+(C198*8))/36</f>
        <v>15.253703703703703</v>
      </c>
      <c r="P205" s="2">
        <f t="shared" ref="P205:P239" si="27">((D205)+(D204*2)+(D203*3)+(D202*4)+(D201*5)+(D200*6)+(D199*7)+(D198*8))/36</f>
        <v>710.94444444444446</v>
      </c>
      <c r="Q205" s="2"/>
      <c r="R205" s="2"/>
    </row>
    <row r="206" spans="1:18" x14ac:dyDescent="0.45">
      <c r="A206" s="12"/>
      <c r="B206" s="10">
        <v>45327</v>
      </c>
      <c r="C206" s="1">
        <f>15+52/60</f>
        <v>15.866666666666667</v>
      </c>
      <c r="D206" s="2">
        <v>596</v>
      </c>
      <c r="E206" s="2">
        <v>2</v>
      </c>
      <c r="F206" s="2">
        <v>10770</v>
      </c>
      <c r="G206" s="2">
        <f t="shared" si="23"/>
        <v>10740.25</v>
      </c>
      <c r="I206" s="1">
        <f t="shared" si="21"/>
        <v>15.187500000000002</v>
      </c>
      <c r="J206" s="2">
        <f t="shared" si="22"/>
        <v>610</v>
      </c>
      <c r="L206" s="1">
        <f t="shared" si="24"/>
        <v>16.779166666666665</v>
      </c>
      <c r="M206" s="2">
        <f t="shared" si="25"/>
        <v>790</v>
      </c>
      <c r="N206" s="2"/>
      <c r="O206" s="1">
        <f t="shared" si="26"/>
        <v>14.66527777777778</v>
      </c>
      <c r="P206" s="2">
        <f t="shared" si="27"/>
        <v>691.91666666666663</v>
      </c>
      <c r="Q206" s="2"/>
      <c r="R206" s="2"/>
    </row>
    <row r="207" spans="1:18" x14ac:dyDescent="0.45">
      <c r="A207" s="12" t="s">
        <v>90</v>
      </c>
      <c r="B207" s="4">
        <v>45334</v>
      </c>
      <c r="C207" s="1">
        <f>18+49/60</f>
        <v>18.816666666666666</v>
      </c>
      <c r="D207" s="2">
        <v>782</v>
      </c>
      <c r="E207" s="2">
        <v>2</v>
      </c>
      <c r="F207" s="2">
        <v>11194</v>
      </c>
      <c r="G207" s="2">
        <f t="shared" si="23"/>
        <v>11257</v>
      </c>
      <c r="I207" s="1">
        <f t="shared" si="21"/>
        <v>16.612500000000001</v>
      </c>
      <c r="J207" s="2">
        <f t="shared" si="22"/>
        <v>690.25</v>
      </c>
      <c r="L207" s="1">
        <f t="shared" si="24"/>
        <v>16.931666666666668</v>
      </c>
      <c r="M207" s="2">
        <f t="shared" si="25"/>
        <v>767.1</v>
      </c>
      <c r="N207" s="2"/>
      <c r="O207" s="1">
        <f t="shared" si="26"/>
        <v>17.086574074074075</v>
      </c>
      <c r="P207" s="2">
        <f t="shared" si="27"/>
        <v>807.33333333333337</v>
      </c>
      <c r="Q207" s="2"/>
      <c r="R207" s="2"/>
    </row>
    <row r="208" spans="1:18" x14ac:dyDescent="0.45">
      <c r="A208" s="12"/>
      <c r="B208" s="4">
        <v>45341</v>
      </c>
      <c r="C208" s="1">
        <f>26+56/60</f>
        <v>26.933333333333334</v>
      </c>
      <c r="D208" s="2">
        <v>1135</v>
      </c>
      <c r="E208" s="2">
        <v>2</v>
      </c>
      <c r="F208" s="2">
        <v>20280</v>
      </c>
      <c r="G208" s="2">
        <f t="shared" si="23"/>
        <v>13831</v>
      </c>
      <c r="I208" s="1">
        <f t="shared" si="21"/>
        <v>19.695833333333333</v>
      </c>
      <c r="J208" s="2">
        <f t="shared" si="22"/>
        <v>808.25</v>
      </c>
      <c r="L208" s="1">
        <f t="shared" si="24"/>
        <v>17.355</v>
      </c>
      <c r="M208" s="2">
        <f t="shared" si="25"/>
        <v>757.45</v>
      </c>
      <c r="N208" s="2"/>
      <c r="O208" s="1">
        <f t="shared" si="26"/>
        <v>18.637962962962963</v>
      </c>
      <c r="P208" s="2">
        <f t="shared" si="27"/>
        <v>880.97222222222217</v>
      </c>
      <c r="Q208" s="2"/>
      <c r="R208" s="2"/>
    </row>
    <row r="209" spans="1:18" x14ac:dyDescent="0.45">
      <c r="A209" s="12"/>
      <c r="B209" s="4">
        <v>45348</v>
      </c>
      <c r="C209" s="1">
        <f>12+55/60</f>
        <v>12.916666666666666</v>
      </c>
      <c r="D209" s="2">
        <v>578</v>
      </c>
      <c r="E209" s="2">
        <v>2</v>
      </c>
      <c r="F209" s="2">
        <v>8400</v>
      </c>
      <c r="G209" s="2">
        <f t="shared" si="23"/>
        <v>12661</v>
      </c>
      <c r="I209" s="1">
        <f t="shared" si="21"/>
        <v>18.633333333333336</v>
      </c>
      <c r="J209" s="2">
        <f t="shared" si="22"/>
        <v>772.75</v>
      </c>
      <c r="L209" s="1">
        <f t="shared" si="24"/>
        <v>17.435000000000002</v>
      </c>
      <c r="M209" s="2">
        <f t="shared" si="25"/>
        <v>733.5</v>
      </c>
      <c r="N209" s="2"/>
      <c r="O209" s="1">
        <f t="shared" si="26"/>
        <v>17.731944444444444</v>
      </c>
      <c r="P209" s="2">
        <f t="shared" si="27"/>
        <v>799.75</v>
      </c>
      <c r="Q209" s="2"/>
      <c r="R209" s="2"/>
    </row>
    <row r="210" spans="1:18" x14ac:dyDescent="0.45">
      <c r="A210" s="12" t="s">
        <v>157</v>
      </c>
      <c r="B210" s="4">
        <v>45355</v>
      </c>
      <c r="C210" s="1">
        <f>16+6/60</f>
        <v>16.100000000000001</v>
      </c>
      <c r="D210" s="2">
        <v>683</v>
      </c>
      <c r="E210" s="2">
        <v>2</v>
      </c>
      <c r="F210" s="2">
        <v>8702</v>
      </c>
      <c r="G210" s="2">
        <f t="shared" si="23"/>
        <v>12144</v>
      </c>
      <c r="I210" s="1">
        <f t="shared" si="21"/>
        <v>18.691666666666666</v>
      </c>
      <c r="J210" s="2">
        <f t="shared" si="22"/>
        <v>794.5</v>
      </c>
      <c r="L210" s="1">
        <f t="shared" si="24"/>
        <v>17.764166666666668</v>
      </c>
      <c r="M210" s="2">
        <f t="shared" si="25"/>
        <v>735.15</v>
      </c>
      <c r="N210" s="2"/>
      <c r="O210" s="1">
        <f t="shared" si="26"/>
        <v>16.31851851851852</v>
      </c>
      <c r="P210" s="2">
        <f t="shared" si="27"/>
        <v>666.69444444444446</v>
      </c>
      <c r="Q210" s="2"/>
      <c r="R210" s="2"/>
    </row>
    <row r="211" spans="1:18" x14ac:dyDescent="0.45">
      <c r="A211" s="12" t="s">
        <v>158</v>
      </c>
      <c r="B211" s="10">
        <v>45362</v>
      </c>
      <c r="C211" s="1">
        <f>22+27/60</f>
        <v>22.45</v>
      </c>
      <c r="D211" s="2">
        <v>975</v>
      </c>
      <c r="E211" s="2">
        <v>2</v>
      </c>
      <c r="F211" s="2">
        <v>16606</v>
      </c>
      <c r="G211" s="2">
        <f t="shared" si="23"/>
        <v>13497</v>
      </c>
      <c r="I211" s="1">
        <f t="shared" si="21"/>
        <v>19.600000000000001</v>
      </c>
      <c r="J211" s="2">
        <f t="shared" si="22"/>
        <v>842.75</v>
      </c>
      <c r="L211" s="1">
        <f t="shared" si="24"/>
        <v>18.646666666666668</v>
      </c>
      <c r="M211" s="2">
        <f t="shared" si="25"/>
        <v>781.7</v>
      </c>
      <c r="N211" s="2"/>
      <c r="O211" s="1">
        <f t="shared" si="26"/>
        <v>17.427314814814814</v>
      </c>
      <c r="P211" s="2">
        <f t="shared" si="27"/>
        <v>734.58333333333337</v>
      </c>
      <c r="Q211" s="2"/>
      <c r="R211" s="2"/>
    </row>
    <row r="212" spans="1:18" x14ac:dyDescent="0.45">
      <c r="A212" s="12"/>
      <c r="B212" s="10">
        <v>45369</v>
      </c>
      <c r="C212" s="1">
        <f>17+27/60</f>
        <v>17.45</v>
      </c>
      <c r="D212" s="2">
        <v>942</v>
      </c>
      <c r="E212" s="2">
        <v>2</v>
      </c>
      <c r="F212" s="2">
        <v>12856</v>
      </c>
      <c r="G212" s="2">
        <f t="shared" si="23"/>
        <v>11641</v>
      </c>
      <c r="I212" s="1">
        <f t="shared" si="21"/>
        <v>17.229166666666668</v>
      </c>
      <c r="J212" s="2">
        <f t="shared" si="22"/>
        <v>794.5</v>
      </c>
      <c r="L212" s="1">
        <f t="shared" si="24"/>
        <v>18.77</v>
      </c>
      <c r="M212" s="2">
        <f t="shared" si="25"/>
        <v>802.55</v>
      </c>
      <c r="N212" s="2"/>
      <c r="O212" s="1">
        <f t="shared" si="26"/>
        <v>18.285648148148152</v>
      </c>
      <c r="P212" s="2">
        <f t="shared" si="27"/>
        <v>765.33333333333337</v>
      </c>
      <c r="Q212" s="2"/>
      <c r="R212" s="2"/>
    </row>
    <row r="213" spans="1:18" x14ac:dyDescent="0.45">
      <c r="A213" s="12" t="s">
        <v>159</v>
      </c>
      <c r="B213" s="10">
        <v>45376</v>
      </c>
      <c r="C213" s="1">
        <f>9+26/60</f>
        <v>9.4333333333333336</v>
      </c>
      <c r="D213" s="2">
        <v>434</v>
      </c>
      <c r="E213" s="2">
        <v>1</v>
      </c>
      <c r="F213" s="2">
        <v>6333</v>
      </c>
      <c r="G213" s="2">
        <f t="shared" si="23"/>
        <v>11124.25</v>
      </c>
      <c r="I213" s="1">
        <f t="shared" si="21"/>
        <v>16.358333333333334</v>
      </c>
      <c r="J213" s="2">
        <f t="shared" si="22"/>
        <v>758.5</v>
      </c>
      <c r="L213" s="1">
        <f t="shared" si="24"/>
        <v>18.102499999999999</v>
      </c>
      <c r="M213" s="2">
        <f t="shared" si="25"/>
        <v>792.6</v>
      </c>
      <c r="N213" s="2"/>
      <c r="O213" s="1">
        <f t="shared" si="26"/>
        <v>18.358796296296298</v>
      </c>
      <c r="P213" s="2">
        <f t="shared" si="27"/>
        <v>775.47222222222217</v>
      </c>
      <c r="Q213" s="2"/>
      <c r="R213" s="2"/>
    </row>
    <row r="214" spans="1:18" x14ac:dyDescent="0.45">
      <c r="A214" s="12" t="s">
        <v>160</v>
      </c>
      <c r="B214" s="10">
        <v>45383</v>
      </c>
      <c r="C214" s="1">
        <f>25+49/60</f>
        <v>25.816666666666666</v>
      </c>
      <c r="D214" s="2">
        <v>1249</v>
      </c>
      <c r="E214" s="2">
        <v>0</v>
      </c>
      <c r="F214" s="2">
        <v>16156</v>
      </c>
      <c r="G214" s="2">
        <f t="shared" si="23"/>
        <v>12987.75</v>
      </c>
      <c r="I214" s="1">
        <f t="shared" si="21"/>
        <v>18.787499999999998</v>
      </c>
      <c r="J214" s="2">
        <f t="shared" si="22"/>
        <v>900</v>
      </c>
      <c r="L214" s="1">
        <f t="shared" si="24"/>
        <v>18.133333333333333</v>
      </c>
      <c r="M214" s="2">
        <f t="shared" si="25"/>
        <v>818.05</v>
      </c>
      <c r="N214" s="2"/>
      <c r="O214" s="1">
        <f t="shared" si="26"/>
        <v>18.99722222222222</v>
      </c>
      <c r="P214" s="2">
        <f t="shared" si="27"/>
        <v>831.30555555555554</v>
      </c>
      <c r="Q214" s="2"/>
      <c r="R214" s="2"/>
    </row>
    <row r="215" spans="1:18" x14ac:dyDescent="0.45">
      <c r="A215" s="12"/>
      <c r="B215" s="4">
        <v>45390</v>
      </c>
      <c r="C215" s="1">
        <f>9+38/60</f>
        <v>9.6333333333333329</v>
      </c>
      <c r="D215" s="2">
        <v>336</v>
      </c>
      <c r="E215" s="2">
        <v>2</v>
      </c>
      <c r="F215" s="2">
        <v>6745</v>
      </c>
      <c r="G215" s="2">
        <f t="shared" si="23"/>
        <v>10522.5</v>
      </c>
      <c r="I215" s="1">
        <f t="shared" si="21"/>
        <v>15.583333333333334</v>
      </c>
      <c r="J215" s="2">
        <f t="shared" si="22"/>
        <v>740.25</v>
      </c>
      <c r="L215" s="1">
        <f t="shared" si="24"/>
        <v>17.511666666666667</v>
      </c>
      <c r="M215" s="2">
        <f t="shared" si="25"/>
        <v>807.2</v>
      </c>
      <c r="N215" s="2"/>
      <c r="O215" s="1">
        <f t="shared" si="26"/>
        <v>18.725000000000001</v>
      </c>
      <c r="P215" s="2">
        <f t="shared" si="27"/>
        <v>833.41666666666663</v>
      </c>
      <c r="Q215" s="2"/>
      <c r="R215" s="2"/>
    </row>
    <row r="216" spans="1:18" x14ac:dyDescent="0.45">
      <c r="B216" s="4">
        <v>45397</v>
      </c>
      <c r="C216" s="1">
        <f>15+54/60</f>
        <v>15.9</v>
      </c>
      <c r="D216" s="2">
        <v>938</v>
      </c>
      <c r="E216" s="2">
        <v>2</v>
      </c>
      <c r="F216" s="2">
        <v>12192</v>
      </c>
      <c r="G216" s="2">
        <f t="shared" si="23"/>
        <v>10356.5</v>
      </c>
      <c r="I216" s="1">
        <f t="shared" si="21"/>
        <v>15.195833333333333</v>
      </c>
      <c r="J216" s="2">
        <f t="shared" si="22"/>
        <v>739.25</v>
      </c>
      <c r="L216" s="1">
        <f t="shared" si="24"/>
        <v>16.630833333333332</v>
      </c>
      <c r="M216" s="2">
        <f t="shared" si="25"/>
        <v>786.5</v>
      </c>
      <c r="N216" s="2"/>
      <c r="O216" s="1">
        <f t="shared" si="26"/>
        <v>16.342592592592595</v>
      </c>
      <c r="P216" s="2">
        <f t="shared" si="27"/>
        <v>751.61111111111109</v>
      </c>
      <c r="Q216" s="2"/>
      <c r="R216" s="2"/>
    </row>
    <row r="217" spans="1:18" x14ac:dyDescent="0.45">
      <c r="B217" s="4">
        <v>45404</v>
      </c>
      <c r="C217" s="1">
        <f>19+32/60</f>
        <v>19.533333333333335</v>
      </c>
      <c r="D217" s="2">
        <v>951</v>
      </c>
      <c r="E217" s="2">
        <v>2</v>
      </c>
      <c r="F217" s="2">
        <v>14330</v>
      </c>
      <c r="G217" s="2">
        <f t="shared" si="23"/>
        <v>12355.75</v>
      </c>
      <c r="I217" s="1">
        <f t="shared" si="21"/>
        <v>17.720833333333335</v>
      </c>
      <c r="J217" s="2">
        <f t="shared" si="22"/>
        <v>868.5</v>
      </c>
      <c r="L217" s="1">
        <f t="shared" si="24"/>
        <v>16.729166666666664</v>
      </c>
      <c r="M217" s="2">
        <f t="shared" si="25"/>
        <v>801.3</v>
      </c>
      <c r="N217" s="2"/>
      <c r="O217" s="1">
        <f t="shared" si="26"/>
        <v>17.258796296296296</v>
      </c>
      <c r="P217" s="2">
        <f t="shared" si="27"/>
        <v>803.94444444444446</v>
      </c>
      <c r="Q217" s="2"/>
      <c r="R217" s="2"/>
    </row>
    <row r="218" spans="1:18" x14ac:dyDescent="0.45">
      <c r="B218" s="4">
        <v>45411</v>
      </c>
      <c r="C218" s="15">
        <f>17+15/60</f>
        <v>17.25</v>
      </c>
      <c r="D218" s="17">
        <v>989</v>
      </c>
      <c r="E218" s="12">
        <v>2</v>
      </c>
      <c r="F218" s="17">
        <v>12832</v>
      </c>
      <c r="G218" s="2">
        <f t="shared" si="23"/>
        <v>11524.75</v>
      </c>
      <c r="I218" s="1">
        <f t="shared" si="21"/>
        <v>15.579166666666666</v>
      </c>
      <c r="J218" s="2">
        <f t="shared" si="22"/>
        <v>803.5</v>
      </c>
      <c r="L218" s="1">
        <f t="shared" si="24"/>
        <v>16.573333333333331</v>
      </c>
      <c r="M218" s="2">
        <f t="shared" si="25"/>
        <v>810.3</v>
      </c>
      <c r="N218" s="2"/>
      <c r="O218" s="1">
        <f t="shared" si="26"/>
        <v>17.499537037037037</v>
      </c>
      <c r="P218" s="2">
        <f t="shared" si="27"/>
        <v>841.44444444444446</v>
      </c>
      <c r="Q218" s="2"/>
      <c r="R218" s="2"/>
    </row>
    <row r="219" spans="1:18" x14ac:dyDescent="0.45">
      <c r="B219" s="4">
        <v>45418</v>
      </c>
      <c r="C219" s="15">
        <f>10+40/60</f>
        <v>10.666666666666666</v>
      </c>
      <c r="D219" s="12">
        <v>477</v>
      </c>
      <c r="E219" s="18">
        <v>1</v>
      </c>
      <c r="F219" s="12">
        <v>7355</v>
      </c>
      <c r="G219" s="2">
        <f t="shared" si="23"/>
        <v>11677.25</v>
      </c>
      <c r="I219" s="1">
        <f t="shared" si="21"/>
        <v>15.8375</v>
      </c>
      <c r="J219" s="2">
        <f t="shared" si="22"/>
        <v>838.75</v>
      </c>
      <c r="L219" s="1">
        <f t="shared" si="24"/>
        <v>15.983333333333334</v>
      </c>
      <c r="M219" s="2">
        <f t="shared" si="25"/>
        <v>798.05</v>
      </c>
      <c r="N219" s="2"/>
      <c r="O219" s="1">
        <f t="shared" si="26"/>
        <v>16.001851851851853</v>
      </c>
      <c r="P219" s="2">
        <f t="shared" si="27"/>
        <v>800.22222222222217</v>
      </c>
      <c r="Q219" s="2"/>
      <c r="R219" s="2"/>
    </row>
    <row r="220" spans="1:18" x14ac:dyDescent="0.45">
      <c r="B220" s="4">
        <v>45425</v>
      </c>
      <c r="C220" s="15">
        <f>12+48/60</f>
        <v>12.8</v>
      </c>
      <c r="D220" s="12">
        <v>621</v>
      </c>
      <c r="E220" s="18">
        <v>1</v>
      </c>
      <c r="F220" s="12">
        <v>9585</v>
      </c>
      <c r="G220" s="2">
        <f t="shared" si="23"/>
        <v>11025.5</v>
      </c>
      <c r="I220" s="1">
        <f t="shared" si="21"/>
        <v>15.0625</v>
      </c>
      <c r="J220" s="2">
        <f t="shared" si="22"/>
        <v>759.5</v>
      </c>
      <c r="L220" s="1">
        <f t="shared" si="24"/>
        <v>15.879166666666666</v>
      </c>
      <c r="M220" s="2">
        <f t="shared" si="25"/>
        <v>801.9</v>
      </c>
      <c r="N220" s="2"/>
      <c r="O220" s="1">
        <f t="shared" si="26"/>
        <v>15.486111111111111</v>
      </c>
      <c r="P220" s="2">
        <f t="shared" si="27"/>
        <v>757.41666666666663</v>
      </c>
      <c r="Q220" s="2"/>
      <c r="R220" s="2"/>
    </row>
    <row r="221" spans="1:18" x14ac:dyDescent="0.45">
      <c r="B221" s="4">
        <v>45432</v>
      </c>
      <c r="C221" s="15">
        <f>17+37/60</f>
        <v>17.616666666666667</v>
      </c>
      <c r="D221" s="12">
        <v>847</v>
      </c>
      <c r="E221" s="12">
        <v>2</v>
      </c>
      <c r="F221" s="12">
        <v>13701</v>
      </c>
      <c r="G221" s="2">
        <f t="shared" si="23"/>
        <v>10868.25</v>
      </c>
      <c r="I221" s="1">
        <f t="shared" si="21"/>
        <v>14.583333333333334</v>
      </c>
      <c r="J221" s="2">
        <f t="shared" si="22"/>
        <v>733.5</v>
      </c>
      <c r="L221" s="1">
        <f t="shared" si="24"/>
        <v>15.756666666666669</v>
      </c>
      <c r="M221" s="2">
        <f t="shared" si="25"/>
        <v>800.75</v>
      </c>
      <c r="N221" s="2"/>
      <c r="O221" s="1">
        <f t="shared" si="26"/>
        <v>16.979166666666668</v>
      </c>
      <c r="P221" s="2">
        <f t="shared" si="27"/>
        <v>838.97222222222217</v>
      </c>
      <c r="Q221" s="2"/>
      <c r="R221" s="2"/>
    </row>
    <row r="222" spans="1:18" x14ac:dyDescent="0.45">
      <c r="B222" s="4">
        <v>45439</v>
      </c>
      <c r="C222" s="15">
        <f>7+39/60</f>
        <v>7.65</v>
      </c>
      <c r="D222" s="12">
        <v>350</v>
      </c>
      <c r="E222" s="18">
        <v>2</v>
      </c>
      <c r="F222" s="12">
        <v>5331</v>
      </c>
      <c r="G222" s="2">
        <f t="shared" si="23"/>
        <v>8993</v>
      </c>
      <c r="I222" s="1">
        <f t="shared" si="21"/>
        <v>12.183333333333334</v>
      </c>
      <c r="J222" s="2">
        <f t="shared" si="22"/>
        <v>573.75</v>
      </c>
      <c r="L222" s="1">
        <f t="shared" si="24"/>
        <v>14.649166666666668</v>
      </c>
      <c r="M222" s="2">
        <f t="shared" si="25"/>
        <v>741.8</v>
      </c>
      <c r="N222" s="2"/>
      <c r="O222" s="1">
        <f t="shared" si="26"/>
        <v>14.326851851851851</v>
      </c>
      <c r="P222" s="2">
        <f t="shared" si="27"/>
        <v>714.44444444444446</v>
      </c>
      <c r="Q222" s="2"/>
      <c r="R222" s="2"/>
    </row>
    <row r="223" spans="1:18" x14ac:dyDescent="0.45">
      <c r="B223" s="4">
        <v>45446</v>
      </c>
      <c r="C223" s="15">
        <f>21+31/60</f>
        <v>21.516666666666666</v>
      </c>
      <c r="D223" s="12">
        <v>1055</v>
      </c>
      <c r="E223" s="18">
        <v>0</v>
      </c>
      <c r="F223" s="12">
        <v>16567</v>
      </c>
      <c r="G223" s="2">
        <f t="shared" si="23"/>
        <v>11296</v>
      </c>
      <c r="I223" s="1">
        <f t="shared" si="21"/>
        <v>14.895833333333334</v>
      </c>
      <c r="J223" s="2">
        <f t="shared" si="22"/>
        <v>718.25</v>
      </c>
      <c r="L223" s="1">
        <f t="shared" si="24"/>
        <v>14.512499999999998</v>
      </c>
      <c r="M223" s="2">
        <f t="shared" si="25"/>
        <v>724.75</v>
      </c>
      <c r="N223" s="2"/>
      <c r="O223" s="1">
        <f t="shared" si="26"/>
        <v>15.600925925925926</v>
      </c>
      <c r="P223" s="2">
        <f t="shared" si="27"/>
        <v>812.77777777777783</v>
      </c>
      <c r="Q223" s="2"/>
      <c r="R223" s="2"/>
    </row>
    <row r="224" spans="1:18" x14ac:dyDescent="0.45">
      <c r="B224" s="4">
        <v>45453</v>
      </c>
      <c r="C224" s="15">
        <f>1+37</f>
        <v>38</v>
      </c>
      <c r="D224" s="12">
        <v>862</v>
      </c>
      <c r="E224" s="12">
        <v>2</v>
      </c>
      <c r="F224" s="12">
        <v>13651</v>
      </c>
      <c r="G224" s="2">
        <f t="shared" si="23"/>
        <v>12312.5</v>
      </c>
      <c r="I224" s="1">
        <f t="shared" si="21"/>
        <v>21.195833333333333</v>
      </c>
      <c r="J224" s="2">
        <f t="shared" si="22"/>
        <v>778.5</v>
      </c>
      <c r="L224" s="1">
        <f t="shared" si="24"/>
        <v>15.58416666666667</v>
      </c>
      <c r="M224" s="2">
        <f t="shared" si="25"/>
        <v>712.7</v>
      </c>
      <c r="N224" s="2"/>
      <c r="O224" s="1">
        <f t="shared" si="26"/>
        <v>16.096296296296298</v>
      </c>
      <c r="P224" s="2">
        <f t="shared" si="27"/>
        <v>775.22222222222217</v>
      </c>
      <c r="Q224" s="2"/>
      <c r="R224" s="2"/>
    </row>
    <row r="225" spans="1:18" x14ac:dyDescent="0.45">
      <c r="B225" s="4">
        <v>45460</v>
      </c>
      <c r="C225" s="15">
        <f>19+11/60</f>
        <v>19.183333333333334</v>
      </c>
      <c r="D225" s="12">
        <v>920</v>
      </c>
      <c r="E225" s="12">
        <v>2</v>
      </c>
      <c r="F225" s="12">
        <v>14733</v>
      </c>
      <c r="G225" s="2">
        <f t="shared" si="23"/>
        <v>12570.5</v>
      </c>
      <c r="I225" s="1">
        <f t="shared" si="21"/>
        <v>21.587499999999999</v>
      </c>
      <c r="J225" s="2">
        <f t="shared" si="22"/>
        <v>796.75</v>
      </c>
      <c r="L225" s="1">
        <f t="shared" si="24"/>
        <v>16.889166666666664</v>
      </c>
      <c r="M225" s="2">
        <f t="shared" si="25"/>
        <v>720.15</v>
      </c>
      <c r="N225" s="2"/>
      <c r="O225" s="1">
        <f t="shared" si="26"/>
        <v>15.774537037037037</v>
      </c>
      <c r="P225" s="2">
        <f t="shared" si="27"/>
        <v>733.91666666666663</v>
      </c>
      <c r="Q225" s="2"/>
      <c r="R225" s="2"/>
    </row>
    <row r="226" spans="1:18" x14ac:dyDescent="0.45">
      <c r="B226" s="4">
        <v>45467</v>
      </c>
      <c r="C226" s="15">
        <f>16+34/60</f>
        <v>16.566666666666666</v>
      </c>
      <c r="D226" s="12">
        <v>818</v>
      </c>
      <c r="E226" s="12">
        <v>2</v>
      </c>
      <c r="F226" s="12">
        <v>12817</v>
      </c>
      <c r="G226" s="2">
        <f t="shared" si="23"/>
        <v>14442</v>
      </c>
      <c r="I226" s="1">
        <f t="shared" si="21"/>
        <v>23.816666666666666</v>
      </c>
      <c r="J226" s="2">
        <f t="shared" si="22"/>
        <v>913.75</v>
      </c>
      <c r="L226" s="1">
        <f t="shared" si="24"/>
        <v>18.735833333333332</v>
      </c>
      <c r="M226" s="2">
        <f t="shared" si="25"/>
        <v>756.2</v>
      </c>
      <c r="N226" s="2"/>
      <c r="O226" s="1">
        <f t="shared" si="26"/>
        <v>15.941203703703703</v>
      </c>
      <c r="P226" s="2">
        <f t="shared" si="27"/>
        <v>679.41666666666663</v>
      </c>
      <c r="Q226" s="2"/>
      <c r="R226" s="2"/>
    </row>
    <row r="227" spans="1:18" x14ac:dyDescent="0.45">
      <c r="A227" t="s">
        <v>136</v>
      </c>
      <c r="B227" s="4">
        <v>45474</v>
      </c>
      <c r="C227" s="15">
        <f>11+15/60</f>
        <v>11.25</v>
      </c>
      <c r="D227" s="12">
        <v>527</v>
      </c>
      <c r="E227" s="12">
        <v>1</v>
      </c>
      <c r="F227" s="12">
        <v>7497</v>
      </c>
      <c r="G227" s="2">
        <f t="shared" si="23"/>
        <v>12174.5</v>
      </c>
      <c r="I227" s="1">
        <f t="shared" si="21"/>
        <v>21.25</v>
      </c>
      <c r="J227" s="2">
        <f t="shared" si="22"/>
        <v>781.75</v>
      </c>
      <c r="L227" s="1">
        <f t="shared" si="24"/>
        <v>20.549166666666668</v>
      </c>
      <c r="M227" s="2">
        <f t="shared" si="25"/>
        <v>797.8</v>
      </c>
      <c r="N227" s="2"/>
      <c r="O227" s="1">
        <f t="shared" si="26"/>
        <v>17.587037037037035</v>
      </c>
      <c r="P227" s="2">
        <f t="shared" si="27"/>
        <v>740.08333333333337</v>
      </c>
      <c r="Q227" s="2"/>
      <c r="R227" s="2"/>
    </row>
    <row r="228" spans="1:18" x14ac:dyDescent="0.45">
      <c r="B228" s="4">
        <v>45481</v>
      </c>
      <c r="C228" s="15">
        <f>18+57/60</f>
        <v>18.95</v>
      </c>
      <c r="D228" s="12">
        <v>900</v>
      </c>
      <c r="E228" s="12">
        <v>0</v>
      </c>
      <c r="F228" s="12">
        <v>12834</v>
      </c>
      <c r="G228" s="2">
        <f t="shared" si="23"/>
        <v>11970.25</v>
      </c>
      <c r="I228" s="1">
        <f t="shared" si="21"/>
        <v>16.487500000000001</v>
      </c>
      <c r="J228" s="2">
        <f t="shared" si="22"/>
        <v>791.25</v>
      </c>
      <c r="L228" s="1">
        <f t="shared" si="24"/>
        <v>20.8675</v>
      </c>
      <c r="M228" s="2">
        <f t="shared" si="25"/>
        <v>812.4</v>
      </c>
      <c r="N228" s="2"/>
      <c r="O228" s="1">
        <f t="shared" si="26"/>
        <v>18.92962962962963</v>
      </c>
      <c r="P228" s="2">
        <f t="shared" si="27"/>
        <v>776.5</v>
      </c>
      <c r="Q228" s="2"/>
      <c r="R228" s="2"/>
    </row>
    <row r="229" spans="1:18" x14ac:dyDescent="0.45">
      <c r="B229" s="4">
        <v>45488</v>
      </c>
      <c r="C229" s="15">
        <f>7+7/60</f>
        <v>7.1166666666666663</v>
      </c>
      <c r="D229" s="12">
        <v>327</v>
      </c>
      <c r="E229" s="12">
        <v>0</v>
      </c>
      <c r="F229" s="12">
        <v>5536</v>
      </c>
      <c r="G229" s="2">
        <f t="shared" si="23"/>
        <v>9671</v>
      </c>
      <c r="I229" s="1">
        <f t="shared" si="21"/>
        <v>13.470833333333333</v>
      </c>
      <c r="J229" s="2">
        <f t="shared" si="22"/>
        <v>643</v>
      </c>
      <c r="L229" s="1">
        <f t="shared" si="24"/>
        <v>19.322499999999998</v>
      </c>
      <c r="M229" s="2">
        <f t="shared" si="25"/>
        <v>785.3</v>
      </c>
      <c r="N229" s="2"/>
      <c r="O229" s="1">
        <f t="shared" si="26"/>
        <v>18.910185185185185</v>
      </c>
      <c r="P229" s="2">
        <f t="shared" si="27"/>
        <v>748.25</v>
      </c>
      <c r="Q229" s="2"/>
      <c r="R229" s="2"/>
    </row>
    <row r="230" spans="1:18" x14ac:dyDescent="0.45">
      <c r="B230" s="4">
        <v>45495</v>
      </c>
      <c r="C230" s="15">
        <f>12+58/60</f>
        <v>12.966666666666667</v>
      </c>
      <c r="D230" s="12">
        <v>599</v>
      </c>
      <c r="E230" s="12">
        <v>2</v>
      </c>
      <c r="F230" s="12">
        <v>9678</v>
      </c>
      <c r="G230" s="2">
        <f t="shared" si="23"/>
        <v>8886.25</v>
      </c>
      <c r="I230" s="1">
        <f t="shared" si="21"/>
        <v>12.570833333333333</v>
      </c>
      <c r="J230" s="2">
        <f t="shared" si="22"/>
        <v>588.25</v>
      </c>
      <c r="L230" s="1">
        <f t="shared" si="24"/>
        <v>17.519166666666663</v>
      </c>
      <c r="M230" s="2">
        <f t="shared" si="25"/>
        <v>743.6</v>
      </c>
      <c r="N230" s="2"/>
      <c r="O230" s="1">
        <f t="shared" si="26"/>
        <v>21.25324074074074</v>
      </c>
      <c r="P230" s="2">
        <f t="shared" si="27"/>
        <v>837.36111111111109</v>
      </c>
      <c r="Q230" s="2"/>
      <c r="R230" s="2"/>
    </row>
    <row r="231" spans="1:18" x14ac:dyDescent="0.45">
      <c r="B231" s="4">
        <v>45502</v>
      </c>
      <c r="C231" s="15">
        <f>20+39/60</f>
        <v>20.65</v>
      </c>
      <c r="D231" s="12">
        <v>925</v>
      </c>
      <c r="E231" s="12">
        <v>2</v>
      </c>
      <c r="F231" s="12">
        <v>14942</v>
      </c>
      <c r="G231" s="2">
        <f t="shared" si="23"/>
        <v>10747.5</v>
      </c>
      <c r="I231" s="1">
        <f t="shared" si="21"/>
        <v>14.920833333333333</v>
      </c>
      <c r="J231" s="2">
        <f t="shared" si="22"/>
        <v>687.75</v>
      </c>
      <c r="L231" s="1">
        <f t="shared" si="24"/>
        <v>15.74</v>
      </c>
      <c r="M231" s="2">
        <f t="shared" si="25"/>
        <v>698.4</v>
      </c>
      <c r="N231" s="2"/>
      <c r="O231" s="1">
        <f t="shared" si="26"/>
        <v>20.49074074074074</v>
      </c>
      <c r="P231" s="2">
        <f t="shared" si="27"/>
        <v>766.19444444444446</v>
      </c>
      <c r="Q231" s="2"/>
      <c r="R231" s="2"/>
    </row>
    <row r="232" spans="1:18" x14ac:dyDescent="0.45">
      <c r="B232" s="4">
        <v>45509</v>
      </c>
      <c r="C232" s="15">
        <f>12+23/60</f>
        <v>12.383333333333333</v>
      </c>
      <c r="D232" s="12">
        <v>575</v>
      </c>
      <c r="E232" s="12">
        <v>2</v>
      </c>
      <c r="F232" s="12">
        <v>9369</v>
      </c>
      <c r="G232" s="2">
        <f t="shared" si="23"/>
        <v>9881.25</v>
      </c>
      <c r="I232" s="1">
        <f t="shared" si="21"/>
        <v>13.279166666666667</v>
      </c>
      <c r="J232" s="2">
        <f t="shared" si="22"/>
        <v>606.5</v>
      </c>
      <c r="L232" s="1">
        <f t="shared" si="24"/>
        <v>14.145833333333334</v>
      </c>
      <c r="M232" s="2">
        <f t="shared" si="25"/>
        <v>663.35</v>
      </c>
      <c r="N232" s="2"/>
      <c r="O232" s="1">
        <f t="shared" si="26"/>
        <v>15.353703703703705</v>
      </c>
      <c r="P232" s="2">
        <f t="shared" si="27"/>
        <v>729.94444444444446</v>
      </c>
      <c r="Q232" s="2"/>
      <c r="R232" s="2"/>
    </row>
    <row r="233" spans="1:18" x14ac:dyDescent="0.45">
      <c r="B233" s="4">
        <v>45516</v>
      </c>
      <c r="C233" s="15">
        <f>24+48/60</f>
        <v>24.8</v>
      </c>
      <c r="D233" s="12">
        <v>1201</v>
      </c>
      <c r="E233" s="12">
        <v>2</v>
      </c>
      <c r="F233" s="12">
        <v>18902</v>
      </c>
      <c r="G233" s="2">
        <f t="shared" si="23"/>
        <v>13222.75</v>
      </c>
      <c r="I233" s="1">
        <f t="shared" si="21"/>
        <v>17.7</v>
      </c>
      <c r="J233" s="2">
        <f t="shared" si="22"/>
        <v>825</v>
      </c>
      <c r="L233" s="1">
        <f t="shared" si="24"/>
        <v>14.388333333333332</v>
      </c>
      <c r="M233" s="2">
        <f t="shared" si="25"/>
        <v>670.1</v>
      </c>
      <c r="N233" s="2"/>
      <c r="O233" s="1">
        <f t="shared" si="26"/>
        <v>14.554166666666665</v>
      </c>
      <c r="P233" s="2">
        <f t="shared" si="27"/>
        <v>688.61111111111109</v>
      </c>
      <c r="Q233" s="2"/>
      <c r="R233" s="2"/>
    </row>
    <row r="234" spans="1:18" x14ac:dyDescent="0.45">
      <c r="B234" s="4">
        <v>45523</v>
      </c>
      <c r="C234" s="15">
        <f>10+22/60</f>
        <v>10.366666666666667</v>
      </c>
      <c r="D234" s="12">
        <v>483</v>
      </c>
      <c r="E234" s="12">
        <v>2</v>
      </c>
      <c r="F234" s="12">
        <v>6713</v>
      </c>
      <c r="G234" s="2">
        <f t="shared" si="23"/>
        <v>12481.5</v>
      </c>
      <c r="I234" s="1">
        <f t="shared" si="21"/>
        <v>17.049999999999997</v>
      </c>
      <c r="J234" s="2">
        <f t="shared" si="22"/>
        <v>796</v>
      </c>
      <c r="L234" s="1">
        <f t="shared" si="24"/>
        <v>15.104166666666668</v>
      </c>
      <c r="M234" s="2">
        <f t="shared" si="25"/>
        <v>700.7</v>
      </c>
      <c r="N234" s="2"/>
      <c r="O234" s="1">
        <f t="shared" si="26"/>
        <v>14.163888888888888</v>
      </c>
      <c r="P234" s="2">
        <f t="shared" si="27"/>
        <v>660.63888888888891</v>
      </c>
      <c r="Q234" s="2"/>
      <c r="R234" s="2"/>
    </row>
    <row r="235" spans="1:18" x14ac:dyDescent="0.45">
      <c r="A235" t="s">
        <v>113</v>
      </c>
      <c r="B235" s="4">
        <v>45530</v>
      </c>
      <c r="C235" s="15">
        <f>24+10/60</f>
        <v>24.166666666666668</v>
      </c>
      <c r="D235" s="12">
        <v>1225</v>
      </c>
      <c r="E235" s="12">
        <v>0</v>
      </c>
      <c r="F235" s="12">
        <v>16770</v>
      </c>
      <c r="G235" s="2">
        <f t="shared" si="23"/>
        <v>12938.5</v>
      </c>
      <c r="I235" s="1">
        <f t="shared" si="21"/>
        <v>17.929166666666667</v>
      </c>
      <c r="J235" s="2">
        <f t="shared" si="22"/>
        <v>871</v>
      </c>
      <c r="L235" s="1">
        <f t="shared" si="24"/>
        <v>16.175833333333337</v>
      </c>
      <c r="M235" s="2">
        <f t="shared" si="25"/>
        <v>757.25</v>
      </c>
      <c r="N235" s="2"/>
      <c r="O235" s="1">
        <f t="shared" si="26"/>
        <v>15.31388888888889</v>
      </c>
      <c r="P235" s="2">
        <f t="shared" si="27"/>
        <v>716.72222222222217</v>
      </c>
      <c r="Q235" s="2"/>
      <c r="R235" s="2"/>
    </row>
    <row r="236" spans="1:18" x14ac:dyDescent="0.45">
      <c r="A236" t="s">
        <v>151</v>
      </c>
      <c r="B236" s="4">
        <v>45537</v>
      </c>
      <c r="C236" s="15">
        <f>18+19/60</f>
        <v>18.316666666666666</v>
      </c>
      <c r="D236" s="12">
        <v>1006</v>
      </c>
      <c r="E236" s="12">
        <v>0</v>
      </c>
      <c r="F236" s="12">
        <v>12152</v>
      </c>
      <c r="G236" s="2">
        <f t="shared" si="23"/>
        <v>13634.25</v>
      </c>
      <c r="I236" s="1">
        <f t="shared" si="21"/>
        <v>19.412500000000001</v>
      </c>
      <c r="J236" s="2">
        <f t="shared" si="22"/>
        <v>978.75</v>
      </c>
      <c r="L236" s="1">
        <f t="shared" si="24"/>
        <v>17.074166666666667</v>
      </c>
      <c r="M236" s="2">
        <f t="shared" si="25"/>
        <v>815.45</v>
      </c>
      <c r="N236" s="2"/>
      <c r="O236" s="1">
        <f t="shared" si="26"/>
        <v>14.735185185185182</v>
      </c>
      <c r="P236" s="2">
        <f t="shared" si="27"/>
        <v>692.86111111111109</v>
      </c>
      <c r="Q236" s="2"/>
      <c r="R236" s="2"/>
    </row>
    <row r="237" spans="1:18" x14ac:dyDescent="0.45">
      <c r="A237" t="s">
        <v>151</v>
      </c>
      <c r="B237" s="4">
        <v>45544</v>
      </c>
      <c r="C237" s="15">
        <f>12+3/60</f>
        <v>12.05</v>
      </c>
      <c r="D237" s="12">
        <v>725</v>
      </c>
      <c r="E237" s="17">
        <v>0</v>
      </c>
      <c r="F237" s="15">
        <v>9286</v>
      </c>
      <c r="G237" s="2">
        <f t="shared" si="23"/>
        <v>11230.25</v>
      </c>
      <c r="I237" s="1">
        <f t="shared" si="21"/>
        <v>16.224999999999998</v>
      </c>
      <c r="J237" s="2">
        <f t="shared" si="22"/>
        <v>859.75</v>
      </c>
      <c r="L237" s="1">
        <f t="shared" si="24"/>
        <v>17.663333333333334</v>
      </c>
      <c r="M237" s="2">
        <f t="shared" si="25"/>
        <v>866.1</v>
      </c>
      <c r="N237" s="2"/>
      <c r="O237" s="1">
        <f t="shared" si="26"/>
        <v>16.923148148148147</v>
      </c>
      <c r="P237" s="2">
        <f t="shared" si="27"/>
        <v>807.38888888888891</v>
      </c>
      <c r="Q237" s="2"/>
      <c r="R237" s="2"/>
    </row>
    <row r="238" spans="1:18" x14ac:dyDescent="0.45">
      <c r="B238" s="4">
        <v>45551</v>
      </c>
      <c r="C238" s="15">
        <f>19+21/60</f>
        <v>19.350000000000001</v>
      </c>
      <c r="D238" s="12">
        <v>971</v>
      </c>
      <c r="E238" s="12">
        <v>2</v>
      </c>
      <c r="F238" s="12">
        <v>13679</v>
      </c>
      <c r="G238" s="2">
        <f t="shared" si="23"/>
        <v>12971.75</v>
      </c>
      <c r="I238" s="1">
        <f t="shared" si="21"/>
        <v>18.470833333333331</v>
      </c>
      <c r="J238" s="2">
        <f t="shared" si="22"/>
        <v>981.75</v>
      </c>
      <c r="L238" s="1">
        <f t="shared" si="24"/>
        <v>17.817500000000003</v>
      </c>
      <c r="M238" s="2">
        <f t="shared" si="25"/>
        <v>897.45</v>
      </c>
      <c r="N238" s="2"/>
      <c r="O238" s="1">
        <f t="shared" si="26"/>
        <v>17.988425925925927</v>
      </c>
      <c r="P238" s="2">
        <f t="shared" si="27"/>
        <v>871.80555555555554</v>
      </c>
      <c r="Q238" s="2"/>
      <c r="R238" s="2"/>
    </row>
    <row r="239" spans="1:18" x14ac:dyDescent="0.45">
      <c r="A239" t="s">
        <v>161</v>
      </c>
      <c r="B239" s="4">
        <v>45558</v>
      </c>
      <c r="C239" s="15">
        <f>11+42/60</f>
        <v>11.7</v>
      </c>
      <c r="D239" s="12">
        <v>626</v>
      </c>
      <c r="E239" s="12">
        <v>0</v>
      </c>
      <c r="F239" s="12">
        <v>7755</v>
      </c>
      <c r="G239" s="2">
        <f t="shared" si="23"/>
        <v>10718</v>
      </c>
      <c r="I239" s="1">
        <f t="shared" si="21"/>
        <v>15.354166666666668</v>
      </c>
      <c r="J239" s="2">
        <f t="shared" si="22"/>
        <v>832</v>
      </c>
      <c r="L239" s="1">
        <f t="shared" si="24"/>
        <v>17.478333333333332</v>
      </c>
      <c r="M239" s="2">
        <f t="shared" si="25"/>
        <v>904.65</v>
      </c>
      <c r="N239" s="2"/>
      <c r="O239" s="1">
        <f t="shared" si="26"/>
        <v>17.097685185185185</v>
      </c>
      <c r="P239" s="2">
        <f t="shared" si="27"/>
        <v>855.47222222222217</v>
      </c>
      <c r="Q239" s="2"/>
      <c r="R239" s="2"/>
    </row>
    <row r="240" spans="1:18" x14ac:dyDescent="0.45">
      <c r="B240" s="4">
        <v>45565</v>
      </c>
      <c r="C240" s="15">
        <f>10+25/60</f>
        <v>10.416666666666666</v>
      </c>
      <c r="D240" s="12">
        <v>485</v>
      </c>
      <c r="E240" s="12">
        <v>0</v>
      </c>
      <c r="F240" s="12">
        <v>7498</v>
      </c>
      <c r="G240" s="2">
        <f t="shared" ref="G240:G273" si="28">AVERAGE(F237:F240)</f>
        <v>9554.5</v>
      </c>
      <c r="I240" s="1">
        <f t="shared" ref="I240:I273" si="29">AVERAGE(C237:C240)</f>
        <v>13.379166666666666</v>
      </c>
      <c r="J240" s="2">
        <f t="shared" ref="J240:J273" si="30">AVERAGE(D237:D240)</f>
        <v>701.75</v>
      </c>
      <c r="L240" s="1">
        <f t="shared" ref="L240:M240" si="31">((1*C233)+(2*C234)+(3*C235)+(4*C236)+(4*C237)+(3*C238)+(2*C239)+(C240))/20</f>
        <v>16.568333333333335</v>
      </c>
      <c r="M240" s="2">
        <f t="shared" si="31"/>
        <v>870.8</v>
      </c>
      <c r="N240" s="2"/>
      <c r="O240" s="1">
        <f t="shared" ref="O240:P240" si="32">((C240)+(C239*2)+(C238*3)+(C237*4)+(C236*5)+(C235*6)+(C234*7)+(C233*8))/36</f>
        <v>17.98935185185185</v>
      </c>
      <c r="P240" s="2">
        <f t="shared" si="32"/>
        <v>914.41666666666663</v>
      </c>
      <c r="Q240" s="2"/>
      <c r="R240" s="2"/>
    </row>
    <row r="241" spans="1:18" x14ac:dyDescent="0.45">
      <c r="A241" t="s">
        <v>162</v>
      </c>
      <c r="B241" s="4">
        <v>45572</v>
      </c>
      <c r="C241" s="15">
        <f>16+23/60</f>
        <v>16.383333333333333</v>
      </c>
      <c r="D241" s="12">
        <v>1050</v>
      </c>
      <c r="E241" s="17">
        <v>0</v>
      </c>
      <c r="F241" s="17">
        <v>13204</v>
      </c>
      <c r="G241" s="2">
        <f t="shared" si="28"/>
        <v>10534</v>
      </c>
      <c r="I241" s="1">
        <f t="shared" si="29"/>
        <v>14.4625</v>
      </c>
      <c r="J241" s="2">
        <f t="shared" si="30"/>
        <v>783</v>
      </c>
      <c r="L241" s="1">
        <f t="shared" ref="L241:M241" si="33">((1*C234)+(2*C235)+(3*C236)+(4*C237)+(4*C238)+(3*C239)+(2*C240)+(C241))/20</f>
        <v>15.578333333333333</v>
      </c>
      <c r="M241" s="2">
        <f t="shared" si="33"/>
        <v>831.65</v>
      </c>
      <c r="N241" s="2"/>
      <c r="O241" s="1">
        <f t="shared" ref="O241:P241" si="34">((C241)+(C240*2)+(C239*3)+(C238*4)+(C237*5)+(C236*6)+(C235*7)+(C234*8))/36</f>
        <v>15.887962962962964</v>
      </c>
      <c r="P241" s="2">
        <f t="shared" si="34"/>
        <v>830.05555555555554</v>
      </c>
      <c r="Q241" s="2"/>
      <c r="R241" s="2"/>
    </row>
    <row r="242" spans="1:18" x14ac:dyDescent="0.45">
      <c r="A242" t="s">
        <v>163</v>
      </c>
      <c r="B242" s="4">
        <v>45579</v>
      </c>
      <c r="C242" s="15">
        <f>13+30/60</f>
        <v>13.5</v>
      </c>
      <c r="D242" s="12">
        <v>869</v>
      </c>
      <c r="E242" s="12">
        <v>0</v>
      </c>
      <c r="F242" s="17">
        <v>10627</v>
      </c>
      <c r="G242" s="2">
        <f t="shared" si="28"/>
        <v>9771</v>
      </c>
      <c r="I242" s="1">
        <f t="shared" si="29"/>
        <v>13</v>
      </c>
      <c r="J242" s="2">
        <f t="shared" si="30"/>
        <v>757.5</v>
      </c>
      <c r="L242" s="1">
        <f t="shared" ref="L242:M242" si="35">((1*C235)+(2*C236)+(3*C237)+(4*C238)+(4*C239)+(3*C240)+(2*C241)+(C242))/20</f>
        <v>14.933333333333334</v>
      </c>
      <c r="M242" s="2">
        <f t="shared" si="35"/>
        <v>811.2</v>
      </c>
      <c r="N242" s="2"/>
      <c r="O242" s="1">
        <f t="shared" ref="O242:P242" si="36">((C242)+(C241*2)+(C240*3)+(C239*4)+(C238*5)+(C237*6)+(C236*7)+(C235*8))/36</f>
        <v>17.081018518518519</v>
      </c>
      <c r="P242" s="2">
        <f t="shared" si="36"/>
        <v>915.97222222222217</v>
      </c>
      <c r="Q242" s="2"/>
      <c r="R242" s="2"/>
    </row>
    <row r="243" spans="1:18" x14ac:dyDescent="0.45">
      <c r="B243" s="4">
        <v>45586</v>
      </c>
      <c r="C243" s="15">
        <f>11+55/60</f>
        <v>11.916666666666666</v>
      </c>
      <c r="D243" s="12">
        <v>554</v>
      </c>
      <c r="E243" s="12">
        <v>1</v>
      </c>
      <c r="F243" s="17">
        <v>9188</v>
      </c>
      <c r="G243" s="2">
        <f t="shared" si="28"/>
        <v>10129.25</v>
      </c>
      <c r="I243" s="1">
        <f t="shared" si="29"/>
        <v>13.054166666666665</v>
      </c>
      <c r="J243" s="2">
        <f t="shared" si="30"/>
        <v>739.5</v>
      </c>
      <c r="L243" s="1">
        <f t="shared" ref="L243:M243" si="37">((1*C236)+(2*C237)+(3*C238)+(4*C239)+(4*C240)+(3*C241)+(2*C242)+(C243))/20</f>
        <v>13.85</v>
      </c>
      <c r="M243" s="2">
        <f t="shared" si="37"/>
        <v>762.75</v>
      </c>
      <c r="N243" s="2"/>
      <c r="O243" s="1">
        <f t="shared" ref="O243:P243" si="38">((C243)+(C242*2)+(C241*3)+(C240*4)+(C239*5)+(C238*6)+(C237*7)+(C236*8))/36</f>
        <v>14.86712962962963</v>
      </c>
      <c r="P243" s="2">
        <f t="shared" si="38"/>
        <v>818.36111111111109</v>
      </c>
      <c r="Q243" s="2"/>
      <c r="R243" s="2"/>
    </row>
    <row r="244" spans="1:18" x14ac:dyDescent="0.45">
      <c r="A244" t="s">
        <v>164</v>
      </c>
      <c r="B244" s="4">
        <v>45593</v>
      </c>
      <c r="C244" s="15">
        <f>10+35/60</f>
        <v>10.583333333333334</v>
      </c>
      <c r="D244" s="12">
        <v>538</v>
      </c>
      <c r="E244" s="12">
        <v>1</v>
      </c>
      <c r="F244" s="17">
        <v>7849</v>
      </c>
      <c r="G244" s="2">
        <f t="shared" si="28"/>
        <v>10217</v>
      </c>
      <c r="I244" s="1">
        <f t="shared" si="29"/>
        <v>13.095833333333333</v>
      </c>
      <c r="J244" s="2">
        <f t="shared" si="30"/>
        <v>752.75</v>
      </c>
      <c r="L244" s="1">
        <f t="shared" ref="L244:M244" si="39">((1*C237)+(2*C238)+(3*C239)+(4*C240)+(4*C241)+(3*C242)+(2*C243)+(C244))/20</f>
        <v>13.398333333333332</v>
      </c>
      <c r="M244" s="2">
        <f t="shared" si="39"/>
        <v>746.9</v>
      </c>
      <c r="N244" s="2"/>
      <c r="O244" s="1">
        <f t="shared" ref="O244:P244" si="40">((C244)+(C243*2)+(C242*3)+(C241*4)+(C240*5)+(C239*6)+(C238*7)+(C237*8))/36</f>
        <v>13.738425925925924</v>
      </c>
      <c r="P244" s="2">
        <f t="shared" si="40"/>
        <v>756.41666666666663</v>
      </c>
      <c r="Q244" s="2"/>
      <c r="R244" s="2"/>
    </row>
    <row r="245" spans="1:18" x14ac:dyDescent="0.45">
      <c r="A245" t="s">
        <v>153</v>
      </c>
      <c r="B245" s="4">
        <v>45600</v>
      </c>
      <c r="C245" s="15">
        <f>22+55/60</f>
        <v>22.916666666666668</v>
      </c>
      <c r="D245" s="12">
        <v>1654</v>
      </c>
      <c r="E245" s="17">
        <v>0</v>
      </c>
      <c r="F245" s="17">
        <v>19551</v>
      </c>
      <c r="G245" s="2">
        <f t="shared" si="28"/>
        <v>11803.75</v>
      </c>
      <c r="I245" s="1">
        <f t="shared" si="29"/>
        <v>14.729166666666668</v>
      </c>
      <c r="J245" s="2">
        <f t="shared" si="30"/>
        <v>903.75</v>
      </c>
      <c r="L245" s="1">
        <f t="shared" ref="L245:M245" si="41">((1*C238)+(2*C239)+(3*C240)+(4*C241)+(4*C242)+(3*C243)+(2*C244)+(C245))/20</f>
        <v>13.668333333333333</v>
      </c>
      <c r="M245" s="2">
        <f t="shared" si="41"/>
        <v>787.3</v>
      </c>
      <c r="N245" s="2"/>
      <c r="O245" s="1">
        <f t="shared" ref="O245:P245" si="42">((C245)+(C244*2)+(C243*3)+(C242*4)+(C241*5)+(C240*6)+(C239*7)+(C238*8))/36</f>
        <v>14.304166666666667</v>
      </c>
      <c r="P245" s="2">
        <f t="shared" si="42"/>
        <v>782.72222222222217</v>
      </c>
      <c r="Q245" s="2"/>
      <c r="R245" s="2"/>
    </row>
    <row r="246" spans="1:18" x14ac:dyDescent="0.45">
      <c r="A246" t="s">
        <v>165</v>
      </c>
      <c r="B246" s="4">
        <v>45607</v>
      </c>
      <c r="C246" s="15">
        <v>0</v>
      </c>
      <c r="D246" s="12">
        <v>0</v>
      </c>
      <c r="E246" s="12">
        <v>0</v>
      </c>
      <c r="F246" s="17">
        <v>0</v>
      </c>
      <c r="G246" s="2">
        <f t="shared" si="28"/>
        <v>9147</v>
      </c>
      <c r="I246" s="1">
        <f t="shared" si="29"/>
        <v>11.354166666666668</v>
      </c>
      <c r="J246" s="2">
        <f t="shared" si="30"/>
        <v>686.5</v>
      </c>
      <c r="L246" s="1">
        <f t="shared" ref="L246:M246" si="43">((1*C239)+(2*C240)+(3*C241)+(4*C242)+(4*C243)+(3*C244)+(2*C245)+(C246))/20</f>
        <v>13.046666666666667</v>
      </c>
      <c r="M246" s="2">
        <f t="shared" si="43"/>
        <v>768</v>
      </c>
      <c r="N246" s="2"/>
      <c r="O246" s="1">
        <f t="shared" ref="O246:P246" si="44">((C246)+(C245*2)+(C244*3)+(C243*4)+(C242*5)+(C241*6)+(C240*7)+(C239*8))/36</f>
        <v>12.710185185185187</v>
      </c>
      <c r="P246" s="2">
        <f t="shared" si="44"/>
        <v>727.38888888888891</v>
      </c>
      <c r="Q246" s="2"/>
      <c r="R246" s="2"/>
    </row>
    <row r="247" spans="1:18" x14ac:dyDescent="0.45">
      <c r="A247" t="s">
        <v>165</v>
      </c>
      <c r="B247" s="4">
        <v>45614</v>
      </c>
      <c r="C247" s="1">
        <v>0</v>
      </c>
      <c r="D247" s="12">
        <v>0</v>
      </c>
      <c r="E247" s="12">
        <v>0</v>
      </c>
      <c r="F247" s="2">
        <v>0</v>
      </c>
      <c r="G247" s="2">
        <f t="shared" si="28"/>
        <v>6850</v>
      </c>
      <c r="I247" s="1">
        <f t="shared" si="29"/>
        <v>8.375</v>
      </c>
      <c r="J247" s="2">
        <f t="shared" si="30"/>
        <v>548</v>
      </c>
      <c r="L247" s="1">
        <f t="shared" ref="L247:M247" si="45">((1*C240)+(2*C241)+(3*C242)+(4*C243)+(4*C244)+(3*C245)+(2*C246)+(C247))/20</f>
        <v>12.121666666666666</v>
      </c>
      <c r="M247" s="2">
        <f t="shared" si="45"/>
        <v>726.1</v>
      </c>
      <c r="N247" s="2"/>
      <c r="O247" s="1">
        <f t="shared" ref="O247:P247" si="46">((C247)+(C246*2)+(C245*3)+(C244*4)+(C243*5)+(C242*6)+(C241*7)+(C240*8))/36</f>
        <v>12.491203703703704</v>
      </c>
      <c r="P247" s="2">
        <f t="shared" si="46"/>
        <v>731.33333333333337</v>
      </c>
      <c r="Q247" s="2"/>
      <c r="R247" s="2"/>
    </row>
    <row r="248" spans="1:18" x14ac:dyDescent="0.45">
      <c r="A248" t="s">
        <v>165</v>
      </c>
      <c r="B248" s="4">
        <v>45621</v>
      </c>
      <c r="C248" s="1">
        <f>8+2/60</f>
        <v>8.0333333333333332</v>
      </c>
      <c r="D248" s="12">
        <v>336</v>
      </c>
      <c r="E248" s="12">
        <v>1</v>
      </c>
      <c r="F248" s="2">
        <v>6221</v>
      </c>
      <c r="G248" s="2">
        <f t="shared" si="28"/>
        <v>6443</v>
      </c>
      <c r="I248" s="1">
        <f t="shared" si="29"/>
        <v>7.7375000000000007</v>
      </c>
      <c r="J248" s="2">
        <f t="shared" si="30"/>
        <v>497.5</v>
      </c>
      <c r="L248" s="1">
        <f t="shared" ref="L248:M248" si="47">((1*C241)+(2*C242)+(3*C243)+(4*C244)+(4*C245)+(3*C246)+(2*C247)+(C248))/20</f>
        <v>11.058333333333334</v>
      </c>
      <c r="M248" s="2">
        <f t="shared" si="47"/>
        <v>677.7</v>
      </c>
      <c r="N248" s="2"/>
      <c r="O248" s="1">
        <f t="shared" ref="O248:P248" si="48">((C248)+(C247*2)+(C246*3)+(C245*4)+(C244*5)+(C243*6)+(C242*7)+(C241*8))/36</f>
        <v>12.491203703703704</v>
      </c>
      <c r="P248" s="2">
        <f t="shared" si="48"/>
        <v>762.47222222222217</v>
      </c>
      <c r="Q248" s="2"/>
      <c r="R248" s="2"/>
    </row>
    <row r="249" spans="1:18" x14ac:dyDescent="0.45">
      <c r="B249" s="4">
        <v>45628</v>
      </c>
      <c r="C249" s="1">
        <f>15+43/60</f>
        <v>15.716666666666667</v>
      </c>
      <c r="D249" s="12">
        <v>973</v>
      </c>
      <c r="E249" s="12">
        <v>1</v>
      </c>
      <c r="F249" s="2">
        <v>12832</v>
      </c>
      <c r="G249" s="2">
        <f t="shared" si="28"/>
        <v>4763.25</v>
      </c>
      <c r="I249" s="1">
        <f t="shared" si="29"/>
        <v>5.9375</v>
      </c>
      <c r="J249" s="2">
        <f t="shared" si="30"/>
        <v>327.25</v>
      </c>
      <c r="L249" s="1">
        <f t="shared" ref="L249:M249" si="49">((1*C242)+(2*C243)+(3*C244)+(4*C245)+(4*C246)+(3*C247)+(2*C248)+(C249))/20</f>
        <v>9.6266666666666669</v>
      </c>
      <c r="M249" s="2">
        <f t="shared" si="49"/>
        <v>592.6</v>
      </c>
      <c r="N249" s="2"/>
      <c r="O249" s="1">
        <f t="shared" ref="O249:P249" si="50">((C249)+(C248*2)+(C247*3)+(C246*4)+(C245*5)+(C244*6)+(C243*7)+(C242*8))/36</f>
        <v>11.146759259259259</v>
      </c>
      <c r="P249" s="2">
        <f t="shared" si="50"/>
        <v>665.91666666666663</v>
      </c>
      <c r="Q249" s="2"/>
      <c r="R249" s="2"/>
    </row>
    <row r="250" spans="1:18" x14ac:dyDescent="0.45">
      <c r="B250" s="4">
        <v>45635</v>
      </c>
      <c r="C250" s="1">
        <f>17+4/60</f>
        <v>17.066666666666666</v>
      </c>
      <c r="D250" s="12">
        <v>836</v>
      </c>
      <c r="E250" s="12">
        <v>2</v>
      </c>
      <c r="F250" s="2">
        <v>13664</v>
      </c>
      <c r="G250" s="2">
        <f t="shared" si="28"/>
        <v>8179.25</v>
      </c>
      <c r="I250" s="1">
        <f t="shared" si="29"/>
        <v>10.204166666666666</v>
      </c>
      <c r="J250" s="2">
        <f t="shared" si="30"/>
        <v>536.25</v>
      </c>
      <c r="L250" s="1">
        <f t="shared" ref="L250:M250" si="51">((1*C243)+(2*C244)+(3*C245)+(4*C246)+(4*C247)+(3*C248)+(2*C249)+(C250))/20</f>
        <v>8.7216666666666676</v>
      </c>
      <c r="M250" s="2">
        <f t="shared" si="51"/>
        <v>519.1</v>
      </c>
      <c r="N250" s="2"/>
      <c r="O250" s="1">
        <f t="shared" ref="O250:P250" si="52">((C250)+(C249*2)+(C248*3)+(C247*4)+(C246*5)+(C245*6)+(C244*7)+(C243*8))/36</f>
        <v>10.542129629629629</v>
      </c>
      <c r="P250" s="2">
        <f t="shared" si="52"/>
        <v>608.66666666666663</v>
      </c>
      <c r="Q250" s="2"/>
      <c r="R250" s="2"/>
    </row>
    <row r="251" spans="1:18" x14ac:dyDescent="0.45">
      <c r="A251" t="s">
        <v>166</v>
      </c>
      <c r="B251" s="4">
        <v>45642</v>
      </c>
      <c r="C251" s="1">
        <f>10+26/60</f>
        <v>10.433333333333334</v>
      </c>
      <c r="D251" s="12">
        <v>480</v>
      </c>
      <c r="E251" s="12">
        <v>2</v>
      </c>
      <c r="F251" s="2">
        <v>8283</v>
      </c>
      <c r="G251" s="2">
        <f t="shared" si="28"/>
        <v>10250</v>
      </c>
      <c r="I251" s="1">
        <f t="shared" si="29"/>
        <v>12.8125</v>
      </c>
      <c r="J251" s="2">
        <f t="shared" si="30"/>
        <v>656.25</v>
      </c>
      <c r="L251" s="1">
        <f t="shared" ref="L251:M251" si="53">((1*C244)+(2*C245)+(3*C246)+(4*C247)+(4*C248)+(3*C249)+(2*C250)+(C251))/20</f>
        <v>9.0133333333333336</v>
      </c>
      <c r="M251" s="2">
        <f t="shared" si="53"/>
        <v>513.04999999999995</v>
      </c>
      <c r="N251" s="2"/>
      <c r="O251" s="1">
        <f t="shared" ref="O251:P251" si="54">((C251)+(C250*2)+(C249*3)+(C248*4)+(C247*5)+(C246*6)+(C245*7)+(C244*8))/36</f>
        <v>10.248148148148148</v>
      </c>
      <c r="P251" s="2">
        <f t="shared" si="54"/>
        <v>619.36111111111109</v>
      </c>
      <c r="Q251" s="2"/>
      <c r="R251" s="2"/>
    </row>
    <row r="252" spans="1:18" x14ac:dyDescent="0.45">
      <c r="B252" s="4">
        <v>45649</v>
      </c>
      <c r="C252" s="1">
        <f>4+2/60</f>
        <v>4.0333333333333332</v>
      </c>
      <c r="D252" s="12">
        <v>209</v>
      </c>
      <c r="E252" s="12">
        <v>0</v>
      </c>
      <c r="F252" s="2">
        <v>2617</v>
      </c>
      <c r="G252" s="2">
        <f t="shared" si="28"/>
        <v>9349</v>
      </c>
      <c r="I252" s="1">
        <f t="shared" si="29"/>
        <v>11.8125</v>
      </c>
      <c r="J252" s="2">
        <f t="shared" si="30"/>
        <v>624.5</v>
      </c>
      <c r="L252" s="1">
        <f t="shared" ref="L252:M252" si="55">((1*C245)+(2*C246)+(3*C247)+(4*C248)+(4*C249)+(3*C250)+(2*C251)+(C252))/20</f>
        <v>9.7008333333333336</v>
      </c>
      <c r="M252" s="2">
        <f t="shared" si="55"/>
        <v>528.35</v>
      </c>
      <c r="N252" s="2"/>
      <c r="O252" s="1">
        <f t="shared" ref="O252:P252" si="56">((C252)+(C251*2)+(C250*3)+(C249*4)+(C248*5)+(C247*6)+(C246*7)+(C245*8))/36</f>
        <v>10.06851851851852</v>
      </c>
      <c r="P252" s="2">
        <f t="shared" si="56"/>
        <v>624.47222222222217</v>
      </c>
      <c r="Q252" s="2"/>
      <c r="R252" s="2"/>
    </row>
    <row r="253" spans="1:18" x14ac:dyDescent="0.45">
      <c r="B253" s="4">
        <v>45656</v>
      </c>
      <c r="C253" s="1">
        <f>12+11/60</f>
        <v>12.183333333333334</v>
      </c>
      <c r="D253" s="12">
        <v>566</v>
      </c>
      <c r="E253" s="12">
        <v>0</v>
      </c>
      <c r="F253" s="2">
        <v>10002</v>
      </c>
      <c r="G253" s="2">
        <f t="shared" si="28"/>
        <v>8641.5</v>
      </c>
      <c r="I253" s="1">
        <f t="shared" si="29"/>
        <v>10.929166666666667</v>
      </c>
      <c r="J253" s="2">
        <f t="shared" si="30"/>
        <v>522.75</v>
      </c>
      <c r="L253" s="1">
        <f t="shared" ref="L253:M253" si="57">((1*C246)+(2*C247)+(3*C248)+(4*C249)+(4*C250)+(3*C251)+(2*C252)+(C253))/20</f>
        <v>10.339166666666667</v>
      </c>
      <c r="M253" s="2">
        <f t="shared" si="57"/>
        <v>533.4</v>
      </c>
      <c r="N253" s="2"/>
      <c r="O253" s="1">
        <f t="shared" ref="O253:P253" si="58">((C253)+(C252*2)+(C251*3)+(C250*4)+(C249*5)+(C248*6)+(C247*7)+(C246*8))/36</f>
        <v>6.8499999999999988</v>
      </c>
      <c r="P253" s="2">
        <f t="shared" si="58"/>
        <v>351.36111111111109</v>
      </c>
      <c r="Q253" s="2"/>
      <c r="R253" s="2"/>
    </row>
    <row r="254" spans="1:18" x14ac:dyDescent="0.45">
      <c r="A254" t="s">
        <v>167</v>
      </c>
      <c r="B254" s="4">
        <v>45663</v>
      </c>
      <c r="C254" s="1">
        <f>11+2/60</f>
        <v>11.033333333333333</v>
      </c>
      <c r="D254" s="12">
        <v>492</v>
      </c>
      <c r="E254" s="12">
        <v>1</v>
      </c>
      <c r="F254" s="2">
        <v>7779</v>
      </c>
      <c r="G254" s="2">
        <f t="shared" si="28"/>
        <v>7170.25</v>
      </c>
      <c r="I254" s="1">
        <f t="shared" si="29"/>
        <v>9.4208333333333325</v>
      </c>
      <c r="J254" s="2">
        <f t="shared" si="30"/>
        <v>436.75</v>
      </c>
      <c r="L254" s="1">
        <f t="shared" ref="L254:M254" si="59">((1*C247)+(2*C248)+(3*C249)+(4*C250)+(4*C251)+(3*C252)+(2*C253)+(C254))/20</f>
        <v>11.035833333333334</v>
      </c>
      <c r="M254" s="2">
        <f t="shared" si="59"/>
        <v>555.29999999999995</v>
      </c>
      <c r="N254" s="2"/>
      <c r="O254" s="1">
        <f t="shared" ref="O254:P254" si="60">((C254)+(C253*2)+(C252*3)+(C251*4)+(C250*5)+(C249*6)+(C248*7)+(C247*8))/36</f>
        <v>9.0305555555555568</v>
      </c>
      <c r="P254" s="2">
        <f t="shared" si="60"/>
        <v>459.47222222222223</v>
      </c>
      <c r="Q254" s="2"/>
      <c r="R254" s="2"/>
    </row>
    <row r="255" spans="1:18" x14ac:dyDescent="0.45">
      <c r="A255" t="s">
        <v>168</v>
      </c>
      <c r="B255" s="4">
        <v>45670</v>
      </c>
      <c r="C255" s="1">
        <f>19+32/60</f>
        <v>19.533333333333335</v>
      </c>
      <c r="D255" s="12">
        <v>1011</v>
      </c>
      <c r="E255" s="12">
        <v>0</v>
      </c>
      <c r="F255" s="2">
        <v>13515</v>
      </c>
      <c r="G255" s="2">
        <f t="shared" si="28"/>
        <v>8478.25</v>
      </c>
      <c r="I255" s="1">
        <f t="shared" si="29"/>
        <v>11.695833333333333</v>
      </c>
      <c r="J255" s="2">
        <f t="shared" si="30"/>
        <v>569.5</v>
      </c>
      <c r="L255" s="1">
        <f t="shared" ref="L255:M255" si="61">((1*C248)+(2*C249)+(3*C250)+(4*C251)+(4*C252)+(3*C253)+(2*C254)+(C255))/20</f>
        <v>11.334166666666665</v>
      </c>
      <c r="M255" s="2">
        <f t="shared" si="61"/>
        <v>561.95000000000005</v>
      </c>
      <c r="N255" s="2"/>
      <c r="O255" s="1">
        <f t="shared" ref="O255:P255" si="62">((C255)+(C254*2)+(C253*3)+(C252*4)+(C251*5)+(C250*6)+(C249*7)+(C248*8))/36</f>
        <v>11.753703703703703</v>
      </c>
      <c r="P255" s="2">
        <f t="shared" si="62"/>
        <v>595.66666666666663</v>
      </c>
      <c r="Q255" s="2"/>
      <c r="R255" s="2"/>
    </row>
    <row r="256" spans="1:18" x14ac:dyDescent="0.45">
      <c r="B256" s="4">
        <v>45677</v>
      </c>
      <c r="C256" s="1">
        <f>15+53/60</f>
        <v>15.883333333333333</v>
      </c>
      <c r="D256" s="12">
        <v>765</v>
      </c>
      <c r="E256" s="12">
        <v>1</v>
      </c>
      <c r="F256" s="2">
        <v>12381</v>
      </c>
      <c r="G256" s="2">
        <f t="shared" si="28"/>
        <v>10919.25</v>
      </c>
      <c r="I256" s="1">
        <f t="shared" si="29"/>
        <v>14.658333333333333</v>
      </c>
      <c r="J256" s="2">
        <f t="shared" si="30"/>
        <v>708.5</v>
      </c>
      <c r="L256" s="1">
        <f t="shared" ref="L256:M256" si="63">((1*C249)+(2*C250)+(3*C251)+(4*C252)+(4*C253)+(3*C254)+(2*C255)+(C256))/20</f>
        <v>11.703333333333331</v>
      </c>
      <c r="M256" s="2">
        <f t="shared" si="63"/>
        <v>572.4</v>
      </c>
      <c r="N256" s="2"/>
      <c r="O256" s="1">
        <f t="shared" ref="O256:P256" si="64">((C256)+(C255*2)+(C254*3)+(C253*4)+(C252*5)+(C251*6)+(C250*7)+(C249*8))/36</f>
        <v>12.909722222222221</v>
      </c>
      <c r="P256" s="2">
        <f t="shared" si="64"/>
        <v>669.11111111111109</v>
      </c>
      <c r="Q256" s="2"/>
      <c r="R256" s="2"/>
    </row>
    <row r="257" spans="1:18" x14ac:dyDescent="0.45">
      <c r="B257" s="4">
        <v>45684</v>
      </c>
      <c r="C257" s="1">
        <f>15+42/60</f>
        <v>15.7</v>
      </c>
      <c r="D257" s="12">
        <v>750</v>
      </c>
      <c r="E257" s="12">
        <v>2</v>
      </c>
      <c r="F257" s="2">
        <v>11699</v>
      </c>
      <c r="G257" s="2">
        <f t="shared" si="28"/>
        <v>11343.5</v>
      </c>
      <c r="I257" s="1">
        <f t="shared" si="29"/>
        <v>15.537500000000001</v>
      </c>
      <c r="J257" s="2">
        <f t="shared" si="30"/>
        <v>754.5</v>
      </c>
      <c r="L257" s="1">
        <f t="shared" ref="L257:M257" si="65">((1*C250)+(2*C251)+(3*C252)+(4*C253)+(4*C254)+(3*C255)+(2*C256)+(C257))/20</f>
        <v>12.448333333333332</v>
      </c>
      <c r="M257" s="2">
        <f t="shared" si="65"/>
        <v>598.4</v>
      </c>
      <c r="N257" s="2"/>
      <c r="O257" s="1">
        <f t="shared" ref="O257:P257" si="66">((C257)+(C256*2)+(C255*3)+(C254*4)+(C253*5)+(C252*6)+(C251*7)+(C250*8))/36</f>
        <v>12.357870370370371</v>
      </c>
      <c r="P257" s="2">
        <f t="shared" si="66"/>
        <v>594.80555555555554</v>
      </c>
      <c r="Q257" s="2"/>
      <c r="R257" s="2"/>
    </row>
    <row r="258" spans="1:18" x14ac:dyDescent="0.45">
      <c r="B258" s="4">
        <v>45691</v>
      </c>
      <c r="C258" s="1">
        <f>16+48/60</f>
        <v>16.8</v>
      </c>
      <c r="D258" s="12">
        <v>727</v>
      </c>
      <c r="E258" s="12">
        <v>2</v>
      </c>
      <c r="F258" s="2">
        <v>12563</v>
      </c>
      <c r="G258" s="2">
        <f t="shared" si="28"/>
        <v>12539.5</v>
      </c>
      <c r="I258" s="1">
        <f t="shared" si="29"/>
        <v>16.979166666666668</v>
      </c>
      <c r="J258" s="2">
        <f t="shared" si="30"/>
        <v>813.25</v>
      </c>
      <c r="L258" s="1">
        <f t="shared" ref="L258:M258" si="67">((1*C251)+(2*C252)+(3*C253)+(4*C254)+(4*C255)+(3*C256)+(2*C257)+(C258))/20</f>
        <v>13.658333333333335</v>
      </c>
      <c r="M258" s="2">
        <f t="shared" si="67"/>
        <v>656.5</v>
      </c>
      <c r="N258" s="2"/>
      <c r="O258" s="1">
        <f t="shared" ref="O258:P258" si="68">((C258)+(C257*2)+(C256*3)+(C255*4)+(C254*5)+(C253*6)+(C252*7)+(C251*8))/36</f>
        <v>11.498611111111112</v>
      </c>
      <c r="P258" s="2">
        <f t="shared" si="68"/>
        <v>547.91666666666663</v>
      </c>
      <c r="Q258" s="2"/>
      <c r="R258" s="2"/>
    </row>
    <row r="259" spans="1:18" x14ac:dyDescent="0.45">
      <c r="A259" t="s">
        <v>169</v>
      </c>
      <c r="B259" s="4">
        <v>45698</v>
      </c>
      <c r="C259" s="1">
        <f>14+51/60</f>
        <v>14.85</v>
      </c>
      <c r="D259" s="12">
        <v>710</v>
      </c>
      <c r="E259" s="12">
        <v>0</v>
      </c>
      <c r="F259" s="2">
        <v>8829</v>
      </c>
      <c r="G259" s="2">
        <f t="shared" si="28"/>
        <v>11368</v>
      </c>
      <c r="I259" s="1">
        <f t="shared" si="29"/>
        <v>15.808333333333334</v>
      </c>
      <c r="J259" s="2">
        <f t="shared" si="30"/>
        <v>738</v>
      </c>
      <c r="L259" s="1">
        <f t="shared" ref="L259:M259" si="69">((1*C252)+(2*C253)+(3*C254)+(4*C255)+(4*C256)+(3*C257)+(2*C258)+(C259))/20</f>
        <v>14.935833333333335</v>
      </c>
      <c r="M259" s="2">
        <f t="shared" si="69"/>
        <v>716.75</v>
      </c>
      <c r="N259" s="2"/>
      <c r="O259" s="1">
        <f t="shared" ref="O259:P259" si="70">((C259)+(C258*2)+(C257*3)+(C256*4)+(C255*5)+(C254*6)+(C253*7)+(C252*8))/36</f>
        <v>12.236111111111111</v>
      </c>
      <c r="P259" s="2">
        <f t="shared" si="70"/>
        <v>586.52777777777783</v>
      </c>
      <c r="Q259" s="2"/>
      <c r="R259" s="2"/>
    </row>
    <row r="260" spans="1:18" x14ac:dyDescent="0.45">
      <c r="A260" t="s">
        <v>170</v>
      </c>
      <c r="B260" s="4">
        <v>45705</v>
      </c>
      <c r="C260" s="1">
        <f>8+17/60</f>
        <v>8.2833333333333332</v>
      </c>
      <c r="D260" s="12">
        <v>332</v>
      </c>
      <c r="E260" s="12">
        <v>2</v>
      </c>
      <c r="F260" s="2">
        <v>5000</v>
      </c>
      <c r="G260" s="2">
        <f t="shared" si="28"/>
        <v>9522.75</v>
      </c>
      <c r="I260" s="1">
        <f t="shared" si="29"/>
        <v>13.908333333333333</v>
      </c>
      <c r="J260" s="2">
        <f t="shared" si="30"/>
        <v>629.75</v>
      </c>
      <c r="L260" s="1">
        <f t="shared" ref="L260:M260" si="71">((1*C253)+(2*C254)+(3*C255)+(4*C256)+(4*C257)+(3*C258)+(2*C259)+(C260))/20</f>
        <v>15.378333333333336</v>
      </c>
      <c r="M260" s="2">
        <f t="shared" si="71"/>
        <v>728.8</v>
      </c>
      <c r="N260" s="2"/>
      <c r="O260" s="1">
        <f t="shared" ref="O260:P260" si="72">((C260)+(C259*2)+(C258*3)+(C257*4)+(C256*5)+(C255*6)+(C254*7)+(C253*8))/36</f>
        <v>14.513888888888889</v>
      </c>
      <c r="P260" s="2">
        <f t="shared" si="72"/>
        <v>688.77777777777783</v>
      </c>
      <c r="Q260" s="2"/>
      <c r="R260" s="2"/>
    </row>
    <row r="261" spans="1:18" x14ac:dyDescent="0.45">
      <c r="B261" s="4">
        <v>45712</v>
      </c>
      <c r="C261" s="1">
        <f>20+38/60</f>
        <v>20.633333333333333</v>
      </c>
      <c r="D261" s="12">
        <v>1087</v>
      </c>
      <c r="E261" s="12">
        <v>2</v>
      </c>
      <c r="F261" s="2">
        <v>16467</v>
      </c>
      <c r="G261" s="2">
        <f t="shared" si="28"/>
        <v>10714.75</v>
      </c>
      <c r="I261" s="1">
        <f t="shared" si="29"/>
        <v>15.141666666666666</v>
      </c>
      <c r="J261" s="2">
        <f t="shared" si="30"/>
        <v>714</v>
      </c>
      <c r="L261" s="1">
        <f t="shared" ref="L261:M261" si="73">((1*C254)+(2*C255)+(3*C256)+(4*C257)+(4*C258)+(3*C259)+(2*C260)+(C261))/20</f>
        <v>15.475</v>
      </c>
      <c r="M261" s="2">
        <f t="shared" si="73"/>
        <v>729.9</v>
      </c>
      <c r="N261" s="2"/>
      <c r="O261" s="1">
        <f t="shared" ref="O261:P261" si="74">((C261)+(C260*2)+(C259*3)+(C258*4)+(C257*5)+(C256*6)+(C255*7)+(C254*8))/36</f>
        <v>15.215277777777779</v>
      </c>
      <c r="P261" s="2">
        <f t="shared" si="74"/>
        <v>726.16666666666663</v>
      </c>
      <c r="Q261" s="2"/>
      <c r="R261" s="2"/>
    </row>
    <row r="262" spans="1:18" x14ac:dyDescent="0.45">
      <c r="A262" t="s">
        <v>171</v>
      </c>
      <c r="B262" s="4">
        <v>45719</v>
      </c>
      <c r="C262" s="1">
        <f>14+47/60</f>
        <v>14.783333333333333</v>
      </c>
      <c r="D262" s="12">
        <v>799</v>
      </c>
      <c r="E262" s="12">
        <v>1</v>
      </c>
      <c r="F262" s="2">
        <v>11634</v>
      </c>
      <c r="G262" s="2">
        <f t="shared" si="28"/>
        <v>10482.5</v>
      </c>
      <c r="I262" s="1">
        <f t="shared" si="29"/>
        <v>14.637499999999999</v>
      </c>
      <c r="J262" s="2">
        <f t="shared" si="30"/>
        <v>732</v>
      </c>
      <c r="L262" s="1">
        <f t="shared" ref="L262:M262" si="75">((1*C255)+(2*C256)+(3*C257)+(4*C258)+(4*C259)+(3*C260)+(2*C261)+(C262))/20</f>
        <v>15.295000000000002</v>
      </c>
      <c r="M262" s="2">
        <f t="shared" si="75"/>
        <v>725.4</v>
      </c>
      <c r="N262" s="2"/>
      <c r="O262" s="1">
        <f t="shared" ref="O262:P262" si="76">((C262)+(C261*2)+(C260*3)+(C259*4)+(C258*5)+(C257*6)+(C256*7)+(C255*8))/36</f>
        <v>16.276388888888889</v>
      </c>
      <c r="P262" s="2">
        <f t="shared" si="76"/>
        <v>788.52777777777783</v>
      </c>
      <c r="Q262" s="2"/>
      <c r="R262" s="2"/>
    </row>
    <row r="263" spans="1:18" x14ac:dyDescent="0.45">
      <c r="A263" t="s">
        <v>75</v>
      </c>
      <c r="B263" s="4">
        <v>45726</v>
      </c>
      <c r="C263" s="1">
        <f>19+18/60</f>
        <v>19.3</v>
      </c>
      <c r="D263" s="12">
        <v>906</v>
      </c>
      <c r="E263" s="12">
        <v>1</v>
      </c>
      <c r="F263" s="2">
        <v>12422</v>
      </c>
      <c r="G263" s="2">
        <f t="shared" si="28"/>
        <v>11380.75</v>
      </c>
      <c r="I263" s="1">
        <f t="shared" si="29"/>
        <v>15.75</v>
      </c>
      <c r="J263" s="2">
        <f t="shared" si="30"/>
        <v>781</v>
      </c>
      <c r="L263" s="1">
        <f t="shared" ref="L263:M263" si="77">((1*C256)+(2*C257)+(3*C258)+(4*C259)+(4*C260)+(3*C261)+(2*C262)+(C263))/20</f>
        <v>15.049166666666668</v>
      </c>
      <c r="M263" s="2">
        <f t="shared" si="77"/>
        <v>718.95</v>
      </c>
      <c r="N263" s="2"/>
      <c r="O263" s="1">
        <f t="shared" ref="O263:P263" si="78">((C263)+(C262*2)+(C261*3)+(C260*4)+(C259*5)+(C258*6)+(C257*7)+(C256*8))/36</f>
        <v>15.442129629629632</v>
      </c>
      <c r="P263" s="2">
        <f t="shared" si="78"/>
        <v>732.63888888888891</v>
      </c>
      <c r="Q263" s="2"/>
      <c r="R263" s="2"/>
    </row>
    <row r="264" spans="1:18" x14ac:dyDescent="0.45">
      <c r="A264" t="s">
        <v>159</v>
      </c>
      <c r="B264" s="4">
        <v>45733</v>
      </c>
      <c r="C264" s="1">
        <f>6+34/60</f>
        <v>6.5666666666666664</v>
      </c>
      <c r="D264" s="12">
        <v>349</v>
      </c>
      <c r="E264" s="12">
        <v>0</v>
      </c>
      <c r="F264" s="2">
        <v>4821</v>
      </c>
      <c r="G264" s="2">
        <f t="shared" si="28"/>
        <v>11336</v>
      </c>
      <c r="I264" s="1">
        <f t="shared" si="29"/>
        <v>15.320833333333333</v>
      </c>
      <c r="J264" s="2">
        <f t="shared" si="30"/>
        <v>785.25</v>
      </c>
      <c r="L264" s="1">
        <f t="shared" ref="L264:M264" si="79">((1*C257)+(2*C258)+(3*C259)+(4*C260)+(4*C261)+(3*C262)+(2*C263)+(C264))/20</f>
        <v>14.951666666666664</v>
      </c>
      <c r="M264" s="2">
        <f t="shared" si="79"/>
        <v>728.4</v>
      </c>
      <c r="N264" s="2"/>
      <c r="O264" s="1">
        <f t="shared" ref="O264:P264" si="80">((C264)+(C263*2)+(C262*3)+(C261*4)+(C260*5)+(C259*6)+(C258*7)+(C257*8))/36</f>
        <v>15.160185185185185</v>
      </c>
      <c r="P264" s="2">
        <f t="shared" si="80"/>
        <v>719.86111111111109</v>
      </c>
      <c r="Q264" s="2"/>
      <c r="R264" s="2"/>
    </row>
    <row r="265" spans="1:18" x14ac:dyDescent="0.45">
      <c r="A265" t="s">
        <v>160</v>
      </c>
      <c r="B265" s="4">
        <v>45740</v>
      </c>
      <c r="C265" s="1">
        <f>18+54/60</f>
        <v>18.899999999999999</v>
      </c>
      <c r="D265" s="12">
        <v>1052</v>
      </c>
      <c r="E265" s="12">
        <v>0</v>
      </c>
      <c r="F265" s="2">
        <v>13934</v>
      </c>
      <c r="G265" s="2">
        <f t="shared" si="28"/>
        <v>10702.75</v>
      </c>
      <c r="I265" s="1">
        <f t="shared" si="29"/>
        <v>14.887500000000001</v>
      </c>
      <c r="J265" s="2">
        <f t="shared" si="30"/>
        <v>776.5</v>
      </c>
      <c r="L265" s="1">
        <f t="shared" ref="L265:M265" si="81">((1*C258)+(2*C259)+(3*C260)+(4*C261)+(4*C262)+(3*C263)+(2*C264)+(C265))/20</f>
        <v>15.147499999999997</v>
      </c>
      <c r="M265" s="2">
        <f t="shared" si="81"/>
        <v>757.75</v>
      </c>
      <c r="N265" s="2"/>
      <c r="O265" s="1">
        <f t="shared" ref="O265:P265" si="82">((C265)+(C264*2)+(C263*3)+(C262*4)+(C261*5)+(C260*6)+(C259*7)+(C258*8))/36</f>
        <v>15.00787037037037</v>
      </c>
      <c r="P265" s="2">
        <f t="shared" si="82"/>
        <v>718.80555555555554</v>
      </c>
      <c r="Q265" s="2"/>
      <c r="R265" s="2"/>
    </row>
    <row r="266" spans="1:18" x14ac:dyDescent="0.45">
      <c r="A266" t="s">
        <v>172</v>
      </c>
      <c r="B266" s="4">
        <v>45747</v>
      </c>
      <c r="C266" s="1">
        <f>11+8/60</f>
        <v>11.133333333333333</v>
      </c>
      <c r="D266" s="12">
        <v>495</v>
      </c>
      <c r="E266" s="12">
        <v>0</v>
      </c>
      <c r="F266" s="2">
        <v>6931</v>
      </c>
      <c r="G266" s="2">
        <f t="shared" si="28"/>
        <v>9527</v>
      </c>
      <c r="I266" s="1">
        <f t="shared" si="29"/>
        <v>13.975</v>
      </c>
      <c r="J266" s="2">
        <f t="shared" si="30"/>
        <v>700.5</v>
      </c>
      <c r="L266" s="1">
        <f t="shared" ref="L266:M266" si="83">((1*C259)+(2*C260)+(3*C261)+(4*C262)+(4*C263)+(3*C264)+(2*C265)+(C266))/20</f>
        <v>14.914166666666665</v>
      </c>
      <c r="M266" s="2">
        <f t="shared" si="83"/>
        <v>755.05</v>
      </c>
      <c r="N266" s="2"/>
      <c r="O266" s="1">
        <f t="shared" ref="O266:P266" si="84">((C266)+(C265*2)+(C264*3)+(C263*4)+(C262*5)+(C261*6)+(C260*7)+(C259*8))/36</f>
        <v>14.453703703703704</v>
      </c>
      <c r="P266" s="2">
        <f t="shared" si="84"/>
        <v>716.41666666666663</v>
      </c>
      <c r="Q266" s="2"/>
      <c r="R266" s="2"/>
    </row>
    <row r="267" spans="1:18" x14ac:dyDescent="0.45">
      <c r="A267" t="s">
        <v>172</v>
      </c>
      <c r="B267" s="4">
        <v>45754</v>
      </c>
      <c r="C267" s="1">
        <f>24+19/60</f>
        <v>24.316666666666666</v>
      </c>
      <c r="D267" s="12">
        <v>1042</v>
      </c>
      <c r="E267" s="12">
        <v>0</v>
      </c>
      <c r="F267" s="2">
        <v>13406</v>
      </c>
      <c r="G267" s="2">
        <f t="shared" si="28"/>
        <v>9773</v>
      </c>
      <c r="I267" s="1">
        <f t="shared" si="29"/>
        <v>15.229166666666664</v>
      </c>
      <c r="J267" s="2">
        <f t="shared" si="30"/>
        <v>734.5</v>
      </c>
      <c r="L267" s="1">
        <f t="shared" ref="L267:M267" si="85">((1*C260)+(2*C261)+(3*C262)+(4*C263)+(4*C264)+(3*C265)+(2*C266)+(C267))/20</f>
        <v>15.032499999999999</v>
      </c>
      <c r="M267" s="2">
        <f t="shared" si="85"/>
        <v>755.55</v>
      </c>
      <c r="N267" s="2"/>
      <c r="O267" s="1">
        <f t="shared" ref="O267:P267" si="86">((C267)+(C266*2)+(C265*3)+(C264*4)+(C263*5)+(C262*6)+(C261*7)+(C260*8))/36</f>
        <v>14.595833333333335</v>
      </c>
      <c r="P267" s="2">
        <f t="shared" si="86"/>
        <v>727.02777777777783</v>
      </c>
      <c r="Q267" s="2"/>
      <c r="R267" s="2"/>
    </row>
    <row r="268" spans="1:18" x14ac:dyDescent="0.45">
      <c r="A268" t="s">
        <v>172</v>
      </c>
      <c r="B268" s="4">
        <v>45761</v>
      </c>
      <c r="C268" s="1">
        <f>23+55/60</f>
        <v>23.916666666666668</v>
      </c>
      <c r="D268" s="12">
        <v>1093</v>
      </c>
      <c r="E268" s="12">
        <v>0</v>
      </c>
      <c r="F268" s="2">
        <v>13419</v>
      </c>
      <c r="G268" s="2">
        <f t="shared" si="28"/>
        <v>11922.5</v>
      </c>
      <c r="I268" s="1">
        <f t="shared" si="29"/>
        <v>19.566666666666666</v>
      </c>
      <c r="J268" s="2">
        <f t="shared" si="30"/>
        <v>920.5</v>
      </c>
      <c r="L268" s="1">
        <f t="shared" ref="L268:M268" si="87">((1*C261)+(2*C262)+(3*C263)+(4*C264)+(4*C265)+(3*C266)+(2*C267)+(C268))/20</f>
        <v>15.795833333333334</v>
      </c>
      <c r="M268" s="2">
        <f t="shared" si="87"/>
        <v>783.45</v>
      </c>
      <c r="N268" s="2"/>
      <c r="O268" s="1">
        <f t="shared" ref="O268:P268" si="88">((C268)+(C267*2)+(C266*3)+(C265*4)+(C264*5)+(C263*6)+(C262*7)+(C261*8))/36</f>
        <v>16.631481481481483</v>
      </c>
      <c r="P268" s="2">
        <f t="shared" si="88"/>
        <v>842.77777777777783</v>
      </c>
      <c r="Q268" s="2"/>
      <c r="R268" s="2"/>
    </row>
    <row r="269" spans="1:18" x14ac:dyDescent="0.45">
      <c r="A269" t="s">
        <v>172</v>
      </c>
      <c r="B269" s="4">
        <v>45768</v>
      </c>
      <c r="C269" s="1">
        <f>21+47/60</f>
        <v>21.783333333333335</v>
      </c>
      <c r="D269" s="12">
        <v>931</v>
      </c>
      <c r="E269" s="12">
        <v>0</v>
      </c>
      <c r="F269" s="2">
        <v>12922</v>
      </c>
      <c r="G269" s="2">
        <f t="shared" si="28"/>
        <v>11669.5</v>
      </c>
      <c r="I269" s="1">
        <f t="shared" si="29"/>
        <v>20.287500000000001</v>
      </c>
      <c r="J269" s="2">
        <f t="shared" si="30"/>
        <v>890.25</v>
      </c>
      <c r="L269" s="1">
        <f t="shared" ref="L269:M269" si="89">((1*C262)+(2*C263)+(3*C264)+(4*C265)+(4*C266)+(3*C267)+(2*C268)+(C269))/20</f>
        <v>16.789166666666667</v>
      </c>
      <c r="M269" s="2">
        <f t="shared" si="89"/>
        <v>804.45</v>
      </c>
      <c r="N269" s="2"/>
      <c r="O269" s="1">
        <f t="shared" ref="O269:P269" si="90">((C269)+(C268*2)+(C267*3)+(C266*4)+(C265*5)+(C264*6)+(C263*7)+(C262*8))/36</f>
        <v>15.954629629629629</v>
      </c>
      <c r="P269" s="2">
        <f t="shared" si="90"/>
        <v>786.41666666666663</v>
      </c>
      <c r="Q269" s="2"/>
      <c r="R269" s="2"/>
    </row>
    <row r="270" spans="1:18" x14ac:dyDescent="0.45">
      <c r="A270" t="s">
        <v>172</v>
      </c>
      <c r="B270" s="4">
        <v>45775</v>
      </c>
      <c r="C270" s="1">
        <f>11+35/60</f>
        <v>11.583333333333334</v>
      </c>
      <c r="D270" s="12">
        <v>465</v>
      </c>
      <c r="E270" s="12">
        <v>0</v>
      </c>
      <c r="F270" s="2">
        <v>6001</v>
      </c>
      <c r="G270" s="2">
        <f t="shared" si="28"/>
        <v>11437</v>
      </c>
      <c r="I270" s="1">
        <f t="shared" si="29"/>
        <v>20.399999999999999</v>
      </c>
      <c r="J270" s="2">
        <f t="shared" si="30"/>
        <v>882.75</v>
      </c>
      <c r="L270" s="1">
        <f t="shared" ref="L270:M270" si="91">((1*C263)+(2*C264)+(3*C265)+(4*C266)+(4*C267)+(3*C268)+(2*C269)+(C270))/20</f>
        <v>17.891666666666666</v>
      </c>
      <c r="M270" s="2">
        <f t="shared" si="91"/>
        <v>825.7</v>
      </c>
      <c r="N270" s="2"/>
      <c r="O270" s="1">
        <f t="shared" ref="O270:P270" si="92">((C270)+(C269*2)+(C268*3)+(C267*4)+(C266*5)+(C265*6)+(C264*7)+(C263*8))/36</f>
        <v>16.488888888888891</v>
      </c>
      <c r="P270" s="2">
        <f t="shared" si="92"/>
        <v>784.77777777777783</v>
      </c>
      <c r="Q270" s="2"/>
      <c r="R270" s="2"/>
    </row>
    <row r="271" spans="1:18" x14ac:dyDescent="0.45">
      <c r="A271" t="s">
        <v>173</v>
      </c>
      <c r="B271" s="4">
        <v>45782</v>
      </c>
      <c r="C271" s="1">
        <f>9-(1+45/60)</f>
        <v>7.25</v>
      </c>
      <c r="D271" s="12">
        <v>302</v>
      </c>
      <c r="E271" s="12">
        <v>1</v>
      </c>
      <c r="F271" s="2">
        <v>4664</v>
      </c>
      <c r="G271" s="2">
        <f t="shared" si="28"/>
        <v>9251.5</v>
      </c>
      <c r="I271" s="1">
        <f t="shared" si="29"/>
        <v>16.133333333333333</v>
      </c>
      <c r="J271" s="2">
        <f t="shared" si="30"/>
        <v>697.75</v>
      </c>
      <c r="L271" s="1">
        <f t="shared" ref="L271:M271" si="93">((1*C264)+(2*C265)+(3*C266)+(4*C267)+(4*C268)+(3*C269)+(2*C270)+(C271))/20</f>
        <v>18.323333333333334</v>
      </c>
      <c r="M271" s="2">
        <f t="shared" si="93"/>
        <v>825.15</v>
      </c>
      <c r="N271" s="2"/>
      <c r="O271" s="1">
        <f t="shared" ref="O271:P271" si="94">((C271)+(C270*2)+(C269*3)+(C268*4)+(C267*5)+(C266*6)+(C265*7)+(C264*8))/36</f>
        <v>15.684722222222222</v>
      </c>
      <c r="P271" s="2">
        <f t="shared" si="94"/>
        <v>742.58333333333337</v>
      </c>
      <c r="Q271" s="2"/>
      <c r="R271" s="2"/>
    </row>
    <row r="272" spans="1:18" x14ac:dyDescent="0.45">
      <c r="B272" s="4">
        <v>45789</v>
      </c>
      <c r="C272" s="1">
        <f>18+38/60</f>
        <v>18.633333333333333</v>
      </c>
      <c r="D272" s="12">
        <v>910</v>
      </c>
      <c r="E272" s="12">
        <v>2</v>
      </c>
      <c r="F272" s="2">
        <v>14281</v>
      </c>
      <c r="G272" s="2">
        <f t="shared" si="28"/>
        <v>9467</v>
      </c>
      <c r="I272" s="1">
        <f t="shared" si="29"/>
        <v>14.8125</v>
      </c>
      <c r="J272" s="2">
        <f t="shared" si="30"/>
        <v>652</v>
      </c>
      <c r="L272" s="1">
        <f t="shared" ref="L272:M272" si="95">((1*C265)+(2*C266)+(3*C267)+(4*C268)+(4*C269)+(3*C270)+(2*C271)+(C272))/20</f>
        <v>18.240000000000002</v>
      </c>
      <c r="M272" s="2">
        <f t="shared" si="95"/>
        <v>808.65</v>
      </c>
      <c r="N272" s="2"/>
      <c r="O272" s="1">
        <f t="shared" ref="O272:P272" si="96">((C272)+(C271*2)+(C270*3)+(C269*4)+(C268*5)+(C267*6)+(C266*7)+(C265*8))/36</f>
        <v>18.045370370370371</v>
      </c>
      <c r="P272" s="2">
        <f t="shared" si="96"/>
        <v>839.75</v>
      </c>
      <c r="Q272" s="2"/>
      <c r="R272" s="2"/>
    </row>
    <row r="273" spans="1:33" x14ac:dyDescent="0.45">
      <c r="B273" s="4">
        <v>45796</v>
      </c>
      <c r="C273" s="1">
        <f>19</f>
        <v>19</v>
      </c>
      <c r="D273" s="12">
        <v>999</v>
      </c>
      <c r="E273" s="12">
        <v>2</v>
      </c>
      <c r="F273" s="2">
        <v>14969</v>
      </c>
      <c r="G273" s="2">
        <f t="shared" si="28"/>
        <v>9978.75</v>
      </c>
      <c r="I273" s="1">
        <f t="shared" si="29"/>
        <v>14.116666666666667</v>
      </c>
      <c r="J273" s="2">
        <f t="shared" si="30"/>
        <v>669</v>
      </c>
      <c r="L273" s="1">
        <f t="shared" ref="L273:M275" si="97">((1*C266)+(2*C267)+(3*C268)+(4*C269)+(4*C270)+(3*C271)+(2*C272)+(C273))/20</f>
        <v>17.149999999999999</v>
      </c>
      <c r="M273" s="2">
        <f t="shared" si="97"/>
        <v>758.35</v>
      </c>
      <c r="N273" s="2"/>
      <c r="O273" s="1">
        <f t="shared" ref="O273:P275" si="98">((C273)+(C272*2)+(C271*3)+(C270*4)+(C269*5)+(C268*6)+(C267*7)+(C266*8))/36</f>
        <v>17.668055555555554</v>
      </c>
      <c r="P273" s="2">
        <f t="shared" si="98"/>
        <v>779.22222222222217</v>
      </c>
      <c r="Q273" s="2"/>
      <c r="R273" s="2"/>
    </row>
    <row r="274" spans="1:33" x14ac:dyDescent="0.45">
      <c r="B274" s="4">
        <v>45803</v>
      </c>
      <c r="C274" s="1">
        <f>14+25/60</f>
        <v>14.416666666666666</v>
      </c>
      <c r="D274" s="12">
        <v>807</v>
      </c>
      <c r="E274" s="12">
        <v>2</v>
      </c>
      <c r="F274" s="2">
        <v>11329</v>
      </c>
      <c r="G274" s="2">
        <f t="shared" ref="G274:G276" si="99">AVERAGE(F271:F274)</f>
        <v>11310.75</v>
      </c>
      <c r="I274" s="1">
        <f t="shared" ref="I274:I276" si="100">AVERAGE(C271:C274)</f>
        <v>14.824999999999999</v>
      </c>
      <c r="J274" s="2">
        <f t="shared" ref="J274:J276" si="101">AVERAGE(D271:D274)</f>
        <v>754.5</v>
      </c>
      <c r="L274" s="1">
        <f t="shared" si="97"/>
        <v>16.057500000000001</v>
      </c>
      <c r="M274" s="2">
        <f t="shared" si="97"/>
        <v>731.2</v>
      </c>
      <c r="N274" s="2"/>
      <c r="O274" s="1">
        <f t="shared" si="98"/>
        <v>19.107870370370375</v>
      </c>
      <c r="P274" s="2">
        <f t="shared" si="98"/>
        <v>851.13888888888891</v>
      </c>
      <c r="Q274" s="2"/>
      <c r="R274" s="2"/>
    </row>
    <row r="275" spans="1:33" x14ac:dyDescent="0.45">
      <c r="A275" t="s">
        <v>174</v>
      </c>
      <c r="B275" s="4">
        <v>45810</v>
      </c>
      <c r="C275" s="1">
        <f>17+24/60</f>
        <v>17.399999999999999</v>
      </c>
      <c r="D275" s="12">
        <v>1334</v>
      </c>
      <c r="E275" s="12">
        <v>0</v>
      </c>
      <c r="F275" s="2">
        <v>14631</v>
      </c>
      <c r="G275" s="2">
        <f t="shared" si="99"/>
        <v>13802.5</v>
      </c>
      <c r="I275" s="1">
        <f t="shared" si="100"/>
        <v>17.362499999999997</v>
      </c>
      <c r="J275" s="2">
        <f t="shared" si="101"/>
        <v>1012.5</v>
      </c>
      <c r="L275" s="1">
        <f t="shared" si="97"/>
        <v>15.449999999999998</v>
      </c>
      <c r="M275" s="2">
        <f t="shared" si="97"/>
        <v>757.15</v>
      </c>
      <c r="N275" s="2"/>
      <c r="O275" s="1">
        <f t="shared" si="98"/>
        <v>17.425925925925927</v>
      </c>
      <c r="P275" s="2">
        <f t="shared" si="98"/>
        <v>809.61111111111109</v>
      </c>
      <c r="Q275" s="2"/>
      <c r="R275" s="2"/>
      <c r="T275" s="23"/>
      <c r="U275" s="23"/>
      <c r="V275" s="23"/>
    </row>
    <row r="276" spans="1:33" x14ac:dyDescent="0.45">
      <c r="A276" t="s">
        <v>175</v>
      </c>
      <c r="B276" s="4">
        <v>45817</v>
      </c>
      <c r="C276" s="1">
        <f>14+57/60</f>
        <v>14.95</v>
      </c>
      <c r="D276" s="12">
        <v>699</v>
      </c>
      <c r="E276" s="12">
        <v>1</v>
      </c>
      <c r="F276" s="2">
        <v>10296</v>
      </c>
      <c r="G276" s="2">
        <f t="shared" si="99"/>
        <v>12806.25</v>
      </c>
      <c r="I276" s="1">
        <f t="shared" si="100"/>
        <v>16.441666666666666</v>
      </c>
      <c r="J276" s="2">
        <f t="shared" si="101"/>
        <v>959.75</v>
      </c>
      <c r="L276" s="1">
        <f t="shared" ref="L276" si="102">((1*C269)+(2*C270)+(3*C271)+(4*C272)+(4*C273)+(3*C274)+(2*C275)+(C276))/20</f>
        <v>15.511666666666667</v>
      </c>
      <c r="M276" s="2">
        <f t="shared" ref="M276" si="103">((1*D269)+(2*D270)+(3*D271)+(4*D272)+(4*D273)+(3*D274)+(2*D275)+(D276))/20</f>
        <v>809.55</v>
      </c>
      <c r="N276" s="2"/>
      <c r="O276" s="1">
        <f t="shared" ref="O276" si="104">((C276)+(C275*2)+(C274*3)+(C273*4)+(C272*5)+(C271*6)+(C270*7)+(C269*8))/36</f>
        <v>15.583796296296295</v>
      </c>
      <c r="P276" s="2">
        <f t="shared" ref="P276" si="105">((D276)+(D275*2)+(D274*3)+(D273*4)+(D272*5)+(D271*6)+(D270*7)+(D269*8))/36</f>
        <v>745.80555555555554</v>
      </c>
      <c r="Q276" s="2"/>
      <c r="R276" s="2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45">
      <c r="A277" t="s">
        <v>176</v>
      </c>
      <c r="B277" s="4">
        <v>45824</v>
      </c>
      <c r="C277" s="1">
        <f>1+16/60</f>
        <v>1.2666666666666666</v>
      </c>
      <c r="D277" s="12">
        <v>30</v>
      </c>
      <c r="E277" s="12">
        <v>1</v>
      </c>
      <c r="F277" s="2">
        <v>1000</v>
      </c>
      <c r="G277" s="2">
        <f t="shared" ref="G277:G278" si="106">AVERAGE(F274:F277)</f>
        <v>9314</v>
      </c>
      <c r="I277" s="1">
        <f t="shared" ref="I277:I278" si="107">AVERAGE(C274:C277)</f>
        <v>12.008333333333333</v>
      </c>
      <c r="J277" s="2">
        <f t="shared" ref="J277:J278" si="108">AVERAGE(D274:D277)</f>
        <v>717.5</v>
      </c>
      <c r="L277" s="1">
        <f t="shared" ref="L277:L278" si="109">((1*C270)+(2*C271)+(3*C272)+(4*C273)+(4*C274)+(3*C275)+(2*C276)+(C277))/20</f>
        <v>14.950833333333332</v>
      </c>
      <c r="M277" s="2">
        <f t="shared" ref="M277:M278" si="110">((1*D270)+(2*D271)+(3*D272)+(4*D273)+(4*D274)+(3*D275)+(2*D276)+(D277))/20</f>
        <v>822.65</v>
      </c>
      <c r="N277" s="2"/>
      <c r="O277" s="1">
        <f t="shared" ref="O277:O278" si="111">((C277)+(C276*2)+(C275*3)+(C274*4)+(C273*5)+(C272*6)+(C271*7)+(C270*8))/36</f>
        <v>13.645833333333334</v>
      </c>
      <c r="P277" s="2">
        <f t="shared" ref="P277:P278" si="112">((D277)+(D276*2)+(D275*3)+(D274*4)+(D273*5)+(D272*6)+(D271*7)+(D270*8))/36</f>
        <v>692.97222222222217</v>
      </c>
      <c r="Q277" s="2"/>
      <c r="R277" s="2"/>
      <c r="T277" s="1"/>
      <c r="X277" s="2"/>
      <c r="Z277" s="1"/>
      <c r="AA277" s="2"/>
      <c r="AC277" s="1"/>
      <c r="AD277" s="2"/>
      <c r="AF277" s="1"/>
      <c r="AG277" s="2"/>
    </row>
    <row r="278" spans="1:33" x14ac:dyDescent="0.45">
      <c r="B278" s="4">
        <v>45831</v>
      </c>
      <c r="C278" s="1">
        <f>15+56/60</f>
        <v>15.933333333333334</v>
      </c>
      <c r="D278" s="12">
        <v>701</v>
      </c>
      <c r="E278" s="12">
        <v>2</v>
      </c>
      <c r="F278" s="2">
        <v>12098</v>
      </c>
      <c r="G278" s="2">
        <f t="shared" si="106"/>
        <v>9506.25</v>
      </c>
      <c r="I278" s="1">
        <f t="shared" si="107"/>
        <v>12.387499999999999</v>
      </c>
      <c r="J278" s="2">
        <f t="shared" si="108"/>
        <v>691</v>
      </c>
      <c r="L278" s="1">
        <f t="shared" si="109"/>
        <v>14.605</v>
      </c>
      <c r="M278" s="2">
        <f t="shared" si="110"/>
        <v>827.05</v>
      </c>
      <c r="N278" s="2"/>
      <c r="O278" s="1">
        <f t="shared" si="111"/>
        <v>14.09537037037037</v>
      </c>
      <c r="P278" s="2">
        <f t="shared" si="112"/>
        <v>750.25</v>
      </c>
      <c r="Q278" s="2"/>
      <c r="R278" s="2"/>
      <c r="T278" s="1"/>
      <c r="U278" s="2"/>
      <c r="X278" s="2"/>
      <c r="Z278" s="1"/>
      <c r="AA278" s="2"/>
      <c r="AC278" s="1"/>
      <c r="AD278" s="2"/>
      <c r="AF278" s="1"/>
      <c r="AG278" s="2"/>
    </row>
    <row r="279" spans="1:33" x14ac:dyDescent="0.45">
      <c r="B279" s="4">
        <v>45838</v>
      </c>
      <c r="C279" s="1">
        <f>16+5/60</f>
        <v>16.083333333333332</v>
      </c>
      <c r="D279" s="12">
        <v>779</v>
      </c>
      <c r="E279" s="12">
        <v>2</v>
      </c>
      <c r="F279" s="2">
        <v>12271</v>
      </c>
      <c r="G279" s="2">
        <f t="shared" ref="G279:G281" si="113">AVERAGE(F276:F279)</f>
        <v>8916.25</v>
      </c>
      <c r="I279" s="1">
        <f t="shared" ref="I279:I281" si="114">AVERAGE(C276:C279)</f>
        <v>12.058333333333334</v>
      </c>
      <c r="J279" s="2">
        <f t="shared" ref="J279:J281" si="115">AVERAGE(D276:D279)</f>
        <v>552.25</v>
      </c>
      <c r="L279" s="1">
        <f t="shared" ref="L279:L281" si="116">((1*C272)+(2*C273)+(3*C274)+(4*C275)+(4*C276)+(3*C277)+(2*C278)+(C279))/20</f>
        <v>14.051666666666666</v>
      </c>
      <c r="M279" s="2">
        <f t="shared" ref="M279:M281" si="117">((1*D272)+(2*D273)+(3*D274)+(4*D275)+(4*D276)+(3*D277)+(2*D278)+(D279))/20</f>
        <v>786.6</v>
      </c>
      <c r="N279" s="2"/>
      <c r="O279" s="1">
        <f t="shared" ref="O279:O281" si="118">((C279)+(C278*2)+(C277*3)+(C276*4)+(C275*5)+(C274*6)+(C273*7)+(C272*8))/36</f>
        <v>15.753240740740742</v>
      </c>
      <c r="P279" s="2">
        <f t="shared" ref="P279:P281" si="119">((D279)+(D278*2)+(D277*3)+(D276*4)+(D275*5)+(D274*6)+(D273*7)+(D272*8))/36</f>
        <v>857</v>
      </c>
      <c r="Q279" s="2"/>
      <c r="R279" s="2"/>
      <c r="T279" s="1"/>
      <c r="U279" s="2"/>
      <c r="X279" s="2"/>
      <c r="Z279" s="1"/>
      <c r="AA279" s="2"/>
      <c r="AC279" s="1"/>
      <c r="AD279" s="2"/>
      <c r="AF279" s="1"/>
      <c r="AG279" s="2"/>
    </row>
    <row r="280" spans="1:33" x14ac:dyDescent="0.45">
      <c r="B280" s="4">
        <v>45845</v>
      </c>
      <c r="C280" s="1">
        <f>20+42/60</f>
        <v>20.7</v>
      </c>
      <c r="D280" s="12">
        <v>920</v>
      </c>
      <c r="E280" s="12">
        <v>2</v>
      </c>
      <c r="F280" s="2">
        <v>15889</v>
      </c>
      <c r="G280" s="2">
        <f t="shared" si="113"/>
        <v>10314.5</v>
      </c>
      <c r="I280" s="1">
        <f t="shared" si="114"/>
        <v>13.495833333333334</v>
      </c>
      <c r="J280" s="2">
        <f t="shared" si="115"/>
        <v>607.5</v>
      </c>
      <c r="L280" s="1">
        <f t="shared" si="116"/>
        <v>13.278333333333332</v>
      </c>
      <c r="M280" s="2">
        <f t="shared" si="117"/>
        <v>705.6</v>
      </c>
      <c r="N280" s="2"/>
      <c r="O280" s="1">
        <f t="shared" si="118"/>
        <v>14.938888888888888</v>
      </c>
      <c r="P280" s="2">
        <f t="shared" si="119"/>
        <v>828.91666666666663</v>
      </c>
      <c r="Q280" s="2"/>
      <c r="R280" s="2"/>
      <c r="T280" s="1"/>
      <c r="U280" s="2"/>
      <c r="X280" s="2"/>
      <c r="Z280" s="1"/>
      <c r="AA280" s="2"/>
      <c r="AC280" s="1"/>
      <c r="AD280" s="2"/>
      <c r="AF280" s="1"/>
      <c r="AG280" s="2"/>
    </row>
    <row r="281" spans="1:33" x14ac:dyDescent="0.45">
      <c r="B281" s="4">
        <v>45852</v>
      </c>
      <c r="C281" s="1">
        <f>14+25/60</f>
        <v>14.416666666666666</v>
      </c>
      <c r="D281" s="12">
        <v>741</v>
      </c>
      <c r="E281" s="12">
        <v>2</v>
      </c>
      <c r="F281" s="2">
        <v>10861</v>
      </c>
      <c r="G281" s="2">
        <f t="shared" si="113"/>
        <v>12779.75</v>
      </c>
      <c r="I281" s="1">
        <f t="shared" si="114"/>
        <v>16.783333333333335</v>
      </c>
      <c r="J281" s="2">
        <f t="shared" si="115"/>
        <v>785.25</v>
      </c>
      <c r="L281" s="1">
        <f t="shared" si="116"/>
        <v>13.346666666666668</v>
      </c>
      <c r="M281" s="2">
        <f t="shared" si="117"/>
        <v>670.7</v>
      </c>
      <c r="N281" s="2"/>
      <c r="O281" s="1">
        <f t="shared" si="118"/>
        <v>13.915740740740739</v>
      </c>
      <c r="P281" s="2">
        <f t="shared" si="119"/>
        <v>773.88888888888891</v>
      </c>
      <c r="Q281" s="2"/>
      <c r="R281" s="2"/>
      <c r="T281" s="1"/>
      <c r="U281" s="2"/>
      <c r="X281" s="2"/>
      <c r="Z281" s="1"/>
      <c r="AA281" s="2"/>
      <c r="AC281" s="1"/>
      <c r="AD281" s="2"/>
      <c r="AF281" s="1"/>
      <c r="AG281" s="2"/>
    </row>
    <row r="282" spans="1:33" x14ac:dyDescent="0.45">
      <c r="B282" s="4">
        <v>45859</v>
      </c>
      <c r="C282" s="1">
        <f>18+48/60</f>
        <v>18.8</v>
      </c>
      <c r="D282" s="12">
        <v>830</v>
      </c>
      <c r="E282" s="12">
        <v>2</v>
      </c>
      <c r="F282" s="2">
        <v>13834</v>
      </c>
      <c r="G282" s="2">
        <f t="shared" ref="G282:G284" si="120">AVERAGE(F279:F282)</f>
        <v>13213.75</v>
      </c>
      <c r="I282" s="1">
        <f t="shared" ref="I282:I284" si="121">AVERAGE(C279:C282)</f>
        <v>17.5</v>
      </c>
      <c r="J282" s="2">
        <f t="shared" ref="J282:J284" si="122">AVERAGE(D279:D282)</f>
        <v>817.5</v>
      </c>
      <c r="L282" s="1">
        <f t="shared" ref="L282:L283" si="123">((1*C275)+(2*C276)+(3*C277)+(4*C278)+(4*C279)+(3*C280)+(2*C281)+(C282))/20</f>
        <v>14.444999999999999</v>
      </c>
      <c r="M282" s="2">
        <f t="shared" ref="M282:M284" si="124">((1*D275)+(2*D276)+(3*D277)+(4*D278)+(4*D279)+(3*D280)+(2*D281)+(D282))/20</f>
        <v>690.7</v>
      </c>
      <c r="N282" s="2"/>
      <c r="O282" s="1">
        <f t="shared" ref="O282:O283" si="125">((C282)+(C281*2)+(C280*3)+(C279*4)+(C278*5)+(C277*6)+(C276*7)+(C275*8))/36</f>
        <v>14.03287037037037</v>
      </c>
      <c r="P282" s="2">
        <f t="shared" ref="P282:P284" si="126">((D282)+(D281*2)+(D280*3)+(D279*4)+(D278*5)+(D277*6)+(D276*7)+(D275*8))/36</f>
        <v>762.16666666666663</v>
      </c>
      <c r="Q282" s="2"/>
      <c r="R282" s="2"/>
      <c r="T282" s="1"/>
      <c r="U282" s="2"/>
      <c r="X282" s="2"/>
      <c r="Z282" s="1"/>
      <c r="AA282" s="2"/>
      <c r="AC282" s="1"/>
      <c r="AD282" s="2"/>
      <c r="AF282" s="1"/>
      <c r="AG282" s="2"/>
    </row>
    <row r="283" spans="1:33" x14ac:dyDescent="0.45">
      <c r="B283" s="4">
        <v>45866</v>
      </c>
      <c r="C283" s="1">
        <f>19+15/60</f>
        <v>19.25</v>
      </c>
      <c r="D283" s="12">
        <v>873</v>
      </c>
      <c r="E283" s="12">
        <v>2</v>
      </c>
      <c r="F283" s="2">
        <v>14740</v>
      </c>
      <c r="G283" s="2">
        <f t="shared" si="120"/>
        <v>13831</v>
      </c>
      <c r="I283" s="1">
        <f t="shared" si="121"/>
        <v>18.291666666666668</v>
      </c>
      <c r="J283" s="2">
        <f t="shared" si="122"/>
        <v>841</v>
      </c>
      <c r="L283" s="1">
        <f t="shared" si="123"/>
        <v>15.625833333333336</v>
      </c>
      <c r="M283" s="2">
        <f t="shared" si="124"/>
        <v>720.7</v>
      </c>
      <c r="N283" s="2"/>
      <c r="O283" s="1">
        <f t="shared" si="125"/>
        <v>13.538425925925926</v>
      </c>
      <c r="P283" s="2">
        <f t="shared" si="126"/>
        <v>620.52777777777783</v>
      </c>
      <c r="Q283" s="2"/>
      <c r="R283" s="2"/>
      <c r="T283" s="1"/>
      <c r="U283" s="2"/>
      <c r="X283" s="2"/>
      <c r="Z283" s="1"/>
      <c r="AA283" s="2"/>
      <c r="AC283" s="1"/>
      <c r="AD283" s="2"/>
      <c r="AF283" s="1"/>
      <c r="AG283" s="2"/>
    </row>
    <row r="284" spans="1:33" x14ac:dyDescent="0.45">
      <c r="B284" s="4">
        <v>45873</v>
      </c>
      <c r="C284" s="1">
        <f>18+3/60</f>
        <v>18.05</v>
      </c>
      <c r="D284" s="12">
        <v>886</v>
      </c>
      <c r="E284" s="12">
        <v>2</v>
      </c>
      <c r="F284" s="2">
        <v>13633</v>
      </c>
      <c r="G284" s="2">
        <f t="shared" si="120"/>
        <v>13267</v>
      </c>
      <c r="I284" s="1">
        <f t="shared" si="121"/>
        <v>17.629166666666666</v>
      </c>
      <c r="J284" s="2">
        <f t="shared" si="122"/>
        <v>832.5</v>
      </c>
      <c r="L284" s="1">
        <f>((1*C277)+(2*C278)+(3*C279)+(4*C280)+(4*C281)+(3*C282)+(2*C283)+(C284))/20</f>
        <v>16.740000000000002</v>
      </c>
      <c r="M284" s="2">
        <f t="shared" si="124"/>
        <v>776.75</v>
      </c>
      <c r="N284" s="2"/>
      <c r="O284" s="1">
        <f>((C284)+(C283*2)+(C282*3)+(C281*4)+(C280*5)+(C279*6)+(C278*7)+(C277*8))/36</f>
        <v>13.674537037037036</v>
      </c>
      <c r="P284" s="2">
        <f t="shared" si="126"/>
        <v>625.19444444444446</v>
      </c>
      <c r="Q284" s="2"/>
      <c r="R284" s="2"/>
      <c r="T284" s="1"/>
      <c r="U284" s="2"/>
      <c r="X284" s="2"/>
      <c r="Z284" s="1"/>
      <c r="AA284" s="2"/>
      <c r="AC284" s="1"/>
      <c r="AD284" s="2"/>
      <c r="AE284" s="2"/>
      <c r="AF284" s="1"/>
      <c r="AG284" s="2"/>
    </row>
    <row r="285" spans="1:33" x14ac:dyDescent="0.45">
      <c r="B285" s="4">
        <v>45880</v>
      </c>
      <c r="C285" s="1">
        <f>18+29/60</f>
        <v>18.483333333333334</v>
      </c>
      <c r="D285" s="12">
        <v>864</v>
      </c>
      <c r="E285" s="12">
        <v>2</v>
      </c>
      <c r="F285" s="2">
        <v>13715</v>
      </c>
      <c r="G285" s="2">
        <f t="shared" ref="G285" si="127">AVERAGE(F282:F285)</f>
        <v>13980.5</v>
      </c>
      <c r="I285" s="1">
        <f t="shared" ref="I285" si="128">AVERAGE(C282:C285)</f>
        <v>18.645833333333332</v>
      </c>
      <c r="J285" s="2">
        <f t="shared" ref="J285" si="129">AVERAGE(D282:D285)</f>
        <v>863.25</v>
      </c>
      <c r="L285" s="1">
        <f>((1*C278)+(2*C279)+(3*C280)+(4*C281)+(4*C282)+(3*C283)+(2*C284)+(C285))/20</f>
        <v>17.770000000000003</v>
      </c>
      <c r="M285" s="2">
        <f t="shared" ref="M285" si="130">((1*D278)+(2*D279)+(3*D280)+(4*D281)+(4*D282)+(3*D283)+(2*D284)+(D285))/20</f>
        <v>827.9</v>
      </c>
      <c r="N285" s="2"/>
      <c r="O285" s="1">
        <f>((C285)+(C284*2)+(C283*3)+(C282*4)+(C281*5)+(C280*6)+(C279*7)+(C278*8))/36</f>
        <v>17.329629629629629</v>
      </c>
      <c r="P285" s="2">
        <f t="shared" ref="P285" si="131">((D285)+(D284*2)+(D283*3)+(D282*4)+(D281*5)+(D280*6)+(D279*7)+(D278*8))/36</f>
        <v>801.69444444444446</v>
      </c>
      <c r="Q285" s="2"/>
      <c r="R285" s="2"/>
      <c r="T285" s="1"/>
      <c r="U285" s="2"/>
      <c r="X285" s="2"/>
      <c r="Z285" s="1"/>
      <c r="AA285" s="2"/>
      <c r="AC285" s="1"/>
      <c r="AD285" s="2"/>
      <c r="AE285" s="2"/>
      <c r="AF285" s="1"/>
      <c r="AG285" s="2"/>
    </row>
    <row r="286" spans="1:33" x14ac:dyDescent="0.45">
      <c r="B286" s="4">
        <v>45887</v>
      </c>
      <c r="C286">
        <f>18+45/60</f>
        <v>18.75</v>
      </c>
      <c r="D286" s="12">
        <v>923</v>
      </c>
      <c r="E286" s="12">
        <v>2</v>
      </c>
      <c r="F286" s="2">
        <v>14526</v>
      </c>
      <c r="G286" s="2">
        <f t="shared" ref="G286" si="132">AVERAGE(F283:F286)</f>
        <v>14153.5</v>
      </c>
      <c r="I286" s="1">
        <f t="shared" ref="I286" si="133">AVERAGE(C283:C286)</f>
        <v>18.633333333333333</v>
      </c>
      <c r="J286" s="2">
        <f t="shared" ref="J286" si="134">AVERAGE(D283:D286)</f>
        <v>886.5</v>
      </c>
      <c r="L286" s="1">
        <f>((1*C279)+(2*C280)+(3*C281)+(4*C282)+(4*C283)+(3*C284)+(2*C285)+(C286))/20</f>
        <v>18.140000000000004</v>
      </c>
      <c r="M286" s="2">
        <f t="shared" ref="M286" si="135">((1*D279)+(2*D280)+(3*D281)+(4*D282)+(4*D283)+(3*D284)+(2*D285)+(D286))/20</f>
        <v>848.15</v>
      </c>
      <c r="N286" s="2"/>
      <c r="O286" s="1">
        <f>((C286)+(C285*2)+(C284*3)+(C283*4)+(C282*5)+(C281*6)+(C280*7)+(C279*8))/36</f>
        <v>17.803703703703704</v>
      </c>
      <c r="P286" s="2">
        <f t="shared" ref="P286" si="136">((D286)+(D285*2)+(D284*3)+(D283*4)+(D282*5)+(D281*6)+(D280*7)+(D279*8))/36</f>
        <v>835.25</v>
      </c>
      <c r="Q286" s="2"/>
      <c r="R286" s="2"/>
      <c r="T286" s="1"/>
      <c r="U286" s="2"/>
      <c r="X286" s="2"/>
      <c r="Z286" s="1"/>
      <c r="AA286" s="2"/>
      <c r="AC286" s="1"/>
      <c r="AD286" s="2"/>
      <c r="AE286" s="2"/>
      <c r="AF286" s="1"/>
      <c r="AG286" s="2"/>
    </row>
    <row r="287" spans="1:33" x14ac:dyDescent="0.45">
      <c r="B287" s="4">
        <v>45894</v>
      </c>
      <c r="C287">
        <f>14+36/60</f>
        <v>14.6</v>
      </c>
      <c r="D287" s="12">
        <v>671</v>
      </c>
      <c r="E287" s="12">
        <v>2</v>
      </c>
      <c r="F287" s="2">
        <v>11108</v>
      </c>
      <c r="G287" s="2">
        <f t="shared" ref="G287" si="137">AVERAGE(F284:F287)</f>
        <v>13245.5</v>
      </c>
      <c r="I287" s="1">
        <f t="shared" ref="I287" si="138">AVERAGE(C284:C287)</f>
        <v>17.470833333333331</v>
      </c>
      <c r="J287" s="2">
        <f t="shared" ref="J287" si="139">AVERAGE(D284:D287)</f>
        <v>836</v>
      </c>
      <c r="L287" s="1">
        <f>((1*C280)+(2*C281)+(3*C282)+(4*C283)+(4*C284)+(3*C285)+(2*C286)+(C287))/20</f>
        <v>18.134166666666665</v>
      </c>
      <c r="M287" s="2">
        <f t="shared" ref="M287" si="140">((1*D280)+(2*D281)+(3*D282)+(4*D283)+(4*D284)+(3*D285)+(2*D286)+(D287))/20</f>
        <v>851.85</v>
      </c>
      <c r="N287" s="2"/>
      <c r="O287" s="1">
        <f>((C287)+(C286*2)+(C285*3)+(C284*4)+(C283*5)+(C282*6)+(C281*7)+(C280*8))/36</f>
        <v>18.203240740740743</v>
      </c>
      <c r="P287" s="2">
        <f t="shared" ref="P287" si="141">((D287)+(D286*2)+(D285*3)+(D284*4)+(D283*5)+(D282*6)+(D281*7)+(D280*8))/36</f>
        <v>848.47222222222217</v>
      </c>
      <c r="Q287" s="2"/>
      <c r="R287" s="2"/>
      <c r="T287" s="1"/>
      <c r="U287" s="2"/>
    </row>
    <row r="288" spans="1:33" x14ac:dyDescent="0.45">
      <c r="B288" s="4">
        <v>45901</v>
      </c>
      <c r="C288">
        <f>18+49/60</f>
        <v>18.816666666666666</v>
      </c>
      <c r="D288" s="12">
        <v>1036</v>
      </c>
      <c r="E288" s="12">
        <v>2</v>
      </c>
      <c r="F288" s="2">
        <v>14849</v>
      </c>
      <c r="G288" s="2">
        <f t="shared" ref="G288:G290" si="142">AVERAGE(F285:F288)</f>
        <v>13549.5</v>
      </c>
      <c r="I288" s="1">
        <f t="shared" ref="I288:I290" si="143">AVERAGE(C285:C288)</f>
        <v>17.662500000000001</v>
      </c>
      <c r="J288" s="2">
        <f t="shared" ref="J288:J290" si="144">AVERAGE(D285:D288)</f>
        <v>873.5</v>
      </c>
      <c r="L288" s="1">
        <f t="shared" ref="L288:L290" si="145">((1*C281)+(2*C282)+(3*C283)+(4*C284)+(4*C285)+(3*C286)+(2*C287)+(C288))/20</f>
        <v>18.008333333333333</v>
      </c>
      <c r="M288" s="2">
        <f t="shared" ref="M288:M290" si="146">((1*D281)+(2*D282)+(3*D283)+(4*D284)+(4*D285)+(3*D286)+(2*D287)+(D288))/20</f>
        <v>858.35</v>
      </c>
      <c r="N288" s="2"/>
      <c r="O288" s="1">
        <f t="shared" ref="O288:O290" si="147">((C288)+(C287*2)+(C286*3)+(C285*4)+(C284*5)+(C283*6)+(C282*7)+(C281*8))/36</f>
        <v>17.524537037037035</v>
      </c>
      <c r="P288" s="2">
        <f t="shared" ref="P288:P290" si="148">((D288)+(D287*2)+(D286*3)+(D285*4)+(D284*5)+(D283*6)+(D282*7)+(D281*8))/36</f>
        <v>833.58333333333337</v>
      </c>
      <c r="T288" s="1"/>
      <c r="U288" s="2"/>
      <c r="X288" s="2"/>
      <c r="Z288" s="1"/>
      <c r="AA288" s="2"/>
      <c r="AC288" s="1"/>
      <c r="AD288" s="2"/>
      <c r="AE288" s="2"/>
      <c r="AF288" s="1"/>
      <c r="AG288" s="2"/>
    </row>
    <row r="289" spans="2:21" x14ac:dyDescent="0.45">
      <c r="B289" s="4">
        <v>45908</v>
      </c>
      <c r="C289">
        <f>17+59/60</f>
        <v>17.983333333333334</v>
      </c>
      <c r="D289" s="12">
        <v>1089</v>
      </c>
      <c r="E289" s="12">
        <v>2</v>
      </c>
      <c r="F289" s="2">
        <v>14146</v>
      </c>
      <c r="G289" s="2">
        <f t="shared" si="142"/>
        <v>13657.25</v>
      </c>
      <c r="I289" s="1">
        <f t="shared" si="143"/>
        <v>17.537500000000001</v>
      </c>
      <c r="J289" s="2">
        <f t="shared" si="144"/>
        <v>929.75</v>
      </c>
      <c r="L289" s="1">
        <f t="shared" si="145"/>
        <v>17.990000000000002</v>
      </c>
      <c r="M289" s="2">
        <f t="shared" si="146"/>
        <v>877.8</v>
      </c>
      <c r="N289" s="2"/>
      <c r="O289" s="1">
        <f t="shared" si="147"/>
        <v>18.341203703703702</v>
      </c>
      <c r="P289" s="2">
        <f t="shared" si="148"/>
        <v>868.13888888888891</v>
      </c>
      <c r="T289" s="1"/>
      <c r="U289" s="2"/>
    </row>
    <row r="290" spans="2:21" x14ac:dyDescent="0.45">
      <c r="B290" s="4">
        <v>45915</v>
      </c>
      <c r="C290">
        <f>15+41/60</f>
        <v>15.683333333333334</v>
      </c>
      <c r="D290" s="12">
        <v>849</v>
      </c>
      <c r="E290" s="12">
        <v>2</v>
      </c>
      <c r="F290" s="2">
        <v>11636</v>
      </c>
      <c r="G290" s="2">
        <f t="shared" si="142"/>
        <v>12934.75</v>
      </c>
      <c r="I290" s="1">
        <f t="shared" si="143"/>
        <v>16.770833333333332</v>
      </c>
      <c r="J290" s="2">
        <f t="shared" si="144"/>
        <v>911.25</v>
      </c>
      <c r="L290" s="1">
        <f t="shared" si="145"/>
        <v>17.615000000000002</v>
      </c>
      <c r="M290" s="2">
        <f t="shared" si="146"/>
        <v>887.4</v>
      </c>
      <c r="N290" s="2"/>
      <c r="O290" s="1">
        <f t="shared" si="147"/>
        <v>18.097222222222221</v>
      </c>
      <c r="P290" s="2">
        <f t="shared" si="148"/>
        <v>883.44444444444446</v>
      </c>
      <c r="T290" s="1"/>
      <c r="U290" s="2"/>
    </row>
    <row r="291" spans="2:21" x14ac:dyDescent="0.45">
      <c r="B291" s="4"/>
      <c r="T291" s="1"/>
      <c r="U291" s="2"/>
    </row>
    <row r="292" spans="2:21" x14ac:dyDescent="0.45">
      <c r="B292" s="4"/>
      <c r="T292" s="1"/>
      <c r="U292" s="2"/>
    </row>
    <row r="293" spans="2:21" x14ac:dyDescent="0.45">
      <c r="B293" s="4"/>
      <c r="T293" s="1"/>
      <c r="U293" s="2"/>
    </row>
    <row r="294" spans="2:21" x14ac:dyDescent="0.45">
      <c r="T294" s="1"/>
      <c r="U294" s="2"/>
    </row>
    <row r="295" spans="2:21" x14ac:dyDescent="0.45">
      <c r="T295" s="1"/>
      <c r="U295" s="2"/>
    </row>
    <row r="296" spans="2:21" x14ac:dyDescent="0.45">
      <c r="T296" s="1"/>
      <c r="U296" s="2"/>
    </row>
    <row r="297" spans="2:21" x14ac:dyDescent="0.45">
      <c r="T297" s="1"/>
      <c r="U297" s="2"/>
    </row>
    <row r="298" spans="2:21" x14ac:dyDescent="0.45">
      <c r="T298" s="1"/>
      <c r="U298" s="2"/>
    </row>
    <row r="299" spans="2:21" x14ac:dyDescent="0.45">
      <c r="T299" s="1"/>
      <c r="U299" s="2"/>
    </row>
    <row r="300" spans="2:21" x14ac:dyDescent="0.45">
      <c r="T300" s="1"/>
      <c r="U300" s="2"/>
    </row>
    <row r="301" spans="2:21" x14ac:dyDescent="0.45">
      <c r="T301" s="1"/>
      <c r="U301" s="2"/>
    </row>
    <row r="302" spans="2:21" x14ac:dyDescent="0.45">
      <c r="T302" s="1"/>
      <c r="U302" s="2"/>
    </row>
    <row r="303" spans="2:21" x14ac:dyDescent="0.45">
      <c r="T303" s="1"/>
    </row>
    <row r="304" spans="2:21" x14ac:dyDescent="0.45">
      <c r="T304" s="1"/>
    </row>
    <row r="305" spans="20:20" x14ac:dyDescent="0.45">
      <c r="T305" s="1"/>
    </row>
    <row r="306" spans="20:20" x14ac:dyDescent="0.45">
      <c r="T306" s="1"/>
    </row>
    <row r="307" spans="20:20" x14ac:dyDescent="0.45">
      <c r="T307" s="1"/>
    </row>
    <row r="308" spans="20:20" x14ac:dyDescent="0.45">
      <c r="T308" s="1"/>
    </row>
    <row r="309" spans="20:20" x14ac:dyDescent="0.45">
      <c r="T309" s="1"/>
    </row>
    <row r="310" spans="20:20" x14ac:dyDescent="0.45">
      <c r="T310" s="1"/>
    </row>
    <row r="311" spans="20:20" x14ac:dyDescent="0.45">
      <c r="T311" s="1"/>
    </row>
    <row r="312" spans="20:20" x14ac:dyDescent="0.45">
      <c r="T312" s="1"/>
    </row>
  </sheetData>
  <mergeCells count="1">
    <mergeCell ref="T275:V275"/>
  </mergeCells>
  <phoneticPr fontId="2" type="noConversion"/>
  <conditionalFormatting sqref="F581:F2211">
    <cfRule type="colorScale" priority="18">
      <colorScale>
        <cfvo type="num" val="5040"/>
        <cfvo type="num" val="11708"/>
        <cfvo type="num" val="18375"/>
        <color rgb="FF92D050"/>
        <color rgb="FFFFEB84"/>
        <color rgb="FFFF0000"/>
      </colorScale>
    </cfRule>
  </conditionalFormatting>
  <conditionalFormatting sqref="L9:L290">
    <cfRule type="colorScale" priority="30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N290">
    <cfRule type="colorScale" priority="29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N9:N133 L9:M290">
    <cfRule type="colorScale" priority="31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O13:O290">
    <cfRule type="colorScale" priority="27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1:R12">
    <cfRule type="colorScale" priority="28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P13:R253 P254:P290">
    <cfRule type="colorScale" priority="26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X280:X286 X288 G5:G290">
    <cfRule type="colorScale" priority="16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Z280:Z286 Z288 AC277:AC286 AC288:AC435 AF277:AF286 AF288:AF368 I5:I290">
    <cfRule type="colorScale" priority="33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AA280:AA286 AA288 AD277:AD286 AD288:AD426 AG277:AG286 AG288:AG359 J5:J290">
    <cfRule type="colorScale" priority="32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27"/>
  <sheetViews>
    <sheetView zoomScale="70" zoomScaleNormal="70" workbookViewId="0">
      <pane ySplit="1" topLeftCell="A264" activePane="bottomLeft" state="frozen"/>
      <selection pane="bottomLeft" activeCell="G287" sqref="G287:P290"/>
    </sheetView>
  </sheetViews>
  <sheetFormatPr defaultRowHeight="14.25" x14ac:dyDescent="0.45"/>
  <cols>
    <col min="1" max="1" width="19.265625" customWidth="1"/>
    <col min="2" max="2" width="11.3984375" customWidth="1"/>
    <col min="3" max="3" width="12" customWidth="1"/>
    <col min="7" max="7" width="10.59765625" customWidth="1"/>
    <col min="8" max="8" width="2.265625" customWidth="1"/>
    <col min="9" max="9" width="11.1328125" customWidth="1"/>
    <col min="10" max="10" width="9.86328125" customWidth="1"/>
    <col min="11" max="11" width="1.59765625" customWidth="1"/>
    <col min="12" max="12" width="16.59765625" customWidth="1"/>
    <col min="13" max="13" width="18.1328125" customWidth="1"/>
    <col min="14" max="14" width="1.3984375" customWidth="1"/>
    <col min="15" max="15" width="11.3984375" customWidth="1"/>
    <col min="16" max="16" width="15" customWidth="1"/>
    <col min="19" max="19" width="11.86328125" customWidth="1"/>
    <col min="23" max="23" width="9.1328125" customWidth="1"/>
    <col min="24" max="24" width="2.1328125" customWidth="1"/>
    <col min="27" max="27" width="1.86328125" customWidth="1"/>
    <col min="30" max="30" width="1.3984375" customWidth="1"/>
  </cols>
  <sheetData>
    <row r="1" spans="1:16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</row>
    <row r="2" spans="1:16" x14ac:dyDescent="0.45">
      <c r="A2" s="12" t="s">
        <v>177</v>
      </c>
      <c r="B2" s="4">
        <v>43899</v>
      </c>
      <c r="C2" s="1">
        <v>6.33</v>
      </c>
      <c r="D2">
        <v>452</v>
      </c>
      <c r="E2" s="2">
        <v>3</v>
      </c>
      <c r="F2" s="2">
        <v>4400</v>
      </c>
      <c r="G2" s="5"/>
      <c r="I2" s="5"/>
      <c r="J2" s="6"/>
      <c r="K2" s="2"/>
      <c r="L2" s="5"/>
      <c r="M2" s="6"/>
      <c r="N2" s="6"/>
      <c r="O2" s="6"/>
      <c r="P2" s="6"/>
    </row>
    <row r="3" spans="1:16" x14ac:dyDescent="0.45">
      <c r="A3" s="12"/>
      <c r="B3" s="4">
        <v>43906</v>
      </c>
      <c r="C3" s="1">
        <v>12</v>
      </c>
      <c r="D3">
        <v>600</v>
      </c>
      <c r="E3" s="2">
        <v>3</v>
      </c>
      <c r="F3" s="2">
        <v>7887</v>
      </c>
      <c r="G3" s="2"/>
    </row>
    <row r="4" spans="1:16" x14ac:dyDescent="0.45">
      <c r="A4" s="12" t="s">
        <v>11</v>
      </c>
      <c r="B4" s="4">
        <v>43913</v>
      </c>
      <c r="C4" s="1">
        <v>7.33</v>
      </c>
      <c r="D4">
        <v>539</v>
      </c>
      <c r="E4" s="2">
        <v>2</v>
      </c>
      <c r="F4" s="2">
        <v>5321</v>
      </c>
      <c r="G4" s="2"/>
    </row>
    <row r="5" spans="1:16" x14ac:dyDescent="0.45">
      <c r="A5" s="12"/>
      <c r="B5" s="4">
        <v>43920</v>
      </c>
      <c r="C5" s="1">
        <v>13.5</v>
      </c>
      <c r="D5">
        <v>724</v>
      </c>
      <c r="E5" s="2">
        <v>2</v>
      </c>
      <c r="F5" s="2">
        <v>6932</v>
      </c>
      <c r="G5" s="2">
        <f>AVERAGE(F2:F5)</f>
        <v>6135</v>
      </c>
      <c r="I5" s="1">
        <f t="shared" ref="I5:I68" si="0">AVERAGE(C2:C5)</f>
        <v>9.7899999999999991</v>
      </c>
      <c r="J5" s="2">
        <f t="shared" ref="J5:J68" si="1">AVERAGE(D2:D5)</f>
        <v>578.75</v>
      </c>
    </row>
    <row r="6" spans="1:16" x14ac:dyDescent="0.45">
      <c r="A6" s="12"/>
      <c r="B6" s="4">
        <v>43927</v>
      </c>
      <c r="C6" s="1">
        <v>11</v>
      </c>
      <c r="D6">
        <v>642</v>
      </c>
      <c r="E6" s="2">
        <v>2</v>
      </c>
      <c r="F6" s="2">
        <v>8500</v>
      </c>
      <c r="G6" s="2">
        <f t="shared" ref="G6:G69" si="2">AVERAGE(F3:F6)</f>
        <v>7160</v>
      </c>
      <c r="I6" s="1">
        <f t="shared" si="0"/>
        <v>10.9575</v>
      </c>
      <c r="J6" s="2">
        <f t="shared" si="1"/>
        <v>626.25</v>
      </c>
    </row>
    <row r="7" spans="1:16" x14ac:dyDescent="0.45">
      <c r="A7" s="12"/>
      <c r="B7" s="4">
        <v>43934</v>
      </c>
      <c r="C7" s="1">
        <v>10.45</v>
      </c>
      <c r="D7">
        <v>545</v>
      </c>
      <c r="E7" s="2">
        <v>2</v>
      </c>
      <c r="F7" s="2">
        <v>7763</v>
      </c>
      <c r="G7" s="2">
        <f t="shared" si="2"/>
        <v>7129</v>
      </c>
      <c r="I7" s="1">
        <f t="shared" si="0"/>
        <v>10.57</v>
      </c>
      <c r="J7" s="2">
        <f t="shared" si="1"/>
        <v>612.5</v>
      </c>
    </row>
    <row r="8" spans="1:16" x14ac:dyDescent="0.45">
      <c r="A8" s="12" t="s">
        <v>12</v>
      </c>
      <c r="B8" s="4">
        <v>43941</v>
      </c>
      <c r="C8" s="1">
        <v>8.25</v>
      </c>
      <c r="D8">
        <v>460</v>
      </c>
      <c r="E8" s="2">
        <v>2</v>
      </c>
      <c r="F8" s="2">
        <v>6320</v>
      </c>
      <c r="G8" s="2">
        <f t="shared" si="2"/>
        <v>7378.75</v>
      </c>
      <c r="I8" s="1">
        <f t="shared" si="0"/>
        <v>10.8</v>
      </c>
      <c r="J8" s="2">
        <f t="shared" si="1"/>
        <v>592.75</v>
      </c>
    </row>
    <row r="9" spans="1:16" x14ac:dyDescent="0.45">
      <c r="A9" s="12"/>
      <c r="B9" s="4">
        <v>43948</v>
      </c>
      <c r="C9" s="1">
        <v>15</v>
      </c>
      <c r="D9">
        <v>620</v>
      </c>
      <c r="E9" s="2">
        <v>2</v>
      </c>
      <c r="F9" s="2">
        <v>9515</v>
      </c>
      <c r="G9" s="2">
        <f t="shared" si="2"/>
        <v>8024.5</v>
      </c>
      <c r="I9" s="1">
        <f t="shared" si="0"/>
        <v>11.175000000000001</v>
      </c>
      <c r="J9" s="2">
        <f t="shared" si="1"/>
        <v>566.75</v>
      </c>
      <c r="L9" s="1">
        <f t="shared" ref="L9:L72" si="3">((C2)+(2*C3)+(3*C4)+(4*C5)+(4*C6)+(3*C7)+(2*C8)+(C9))/20</f>
        <v>10.6585</v>
      </c>
      <c r="M9" s="2">
        <f t="shared" ref="M9:M72" si="4">((D2)+(2*D3)+(3*D4)+(4*D5)+(4*D6)+(3*D7)+(2*D8)+(D9))/20</f>
        <v>595.4</v>
      </c>
    </row>
    <row r="10" spans="1:16" x14ac:dyDescent="0.45">
      <c r="A10" s="12"/>
      <c r="B10" s="4">
        <v>43955</v>
      </c>
      <c r="C10" s="1">
        <v>18.25</v>
      </c>
      <c r="D10">
        <v>910</v>
      </c>
      <c r="E10" s="2">
        <v>2</v>
      </c>
      <c r="F10" s="2">
        <v>13488</v>
      </c>
      <c r="G10" s="2">
        <f t="shared" si="2"/>
        <v>9271.5</v>
      </c>
      <c r="I10" s="1">
        <f t="shared" si="0"/>
        <v>12.987500000000001</v>
      </c>
      <c r="J10" s="2">
        <f t="shared" si="1"/>
        <v>633.75</v>
      </c>
      <c r="L10" s="1">
        <f t="shared" si="3"/>
        <v>11.297999999999998</v>
      </c>
      <c r="M10" s="2">
        <f t="shared" si="4"/>
        <v>606.4</v>
      </c>
    </row>
    <row r="11" spans="1:16" x14ac:dyDescent="0.45">
      <c r="A11" s="12"/>
      <c r="B11" s="4">
        <v>43962</v>
      </c>
      <c r="C11" s="1">
        <v>14.66</v>
      </c>
      <c r="D11">
        <v>764</v>
      </c>
      <c r="E11" s="2">
        <v>2</v>
      </c>
      <c r="F11" s="2">
        <v>10966</v>
      </c>
      <c r="G11" s="2">
        <f t="shared" si="2"/>
        <v>10072.25</v>
      </c>
      <c r="I11" s="1">
        <f t="shared" si="0"/>
        <v>14.04</v>
      </c>
      <c r="J11" s="2">
        <f t="shared" si="1"/>
        <v>688.5</v>
      </c>
      <c r="L11" s="1">
        <f t="shared" si="3"/>
        <v>11.9145</v>
      </c>
      <c r="M11" s="2">
        <f t="shared" si="4"/>
        <v>618.85</v>
      </c>
    </row>
    <row r="12" spans="1:16" x14ac:dyDescent="0.45">
      <c r="A12" s="12">
        <v>5040</v>
      </c>
      <c r="B12" s="4">
        <v>43969</v>
      </c>
      <c r="C12" s="1">
        <v>12</v>
      </c>
      <c r="D12">
        <v>612</v>
      </c>
      <c r="E12" s="2">
        <v>2</v>
      </c>
      <c r="F12" s="2">
        <v>8930</v>
      </c>
      <c r="G12" s="2">
        <f t="shared" si="2"/>
        <v>10724.75</v>
      </c>
      <c r="I12" s="1">
        <f t="shared" si="0"/>
        <v>14.977499999999999</v>
      </c>
      <c r="J12" s="2">
        <f t="shared" si="1"/>
        <v>726.5</v>
      </c>
      <c r="L12" s="1">
        <f t="shared" si="3"/>
        <v>12.795999999999999</v>
      </c>
      <c r="M12" s="2">
        <f t="shared" si="4"/>
        <v>641.65</v>
      </c>
    </row>
    <row r="13" spans="1:16" x14ac:dyDescent="0.45">
      <c r="A13" s="12">
        <v>11708</v>
      </c>
      <c r="B13" s="4">
        <v>43976</v>
      </c>
      <c r="C13" s="1">
        <v>20</v>
      </c>
      <c r="D13">
        <v>1029</v>
      </c>
      <c r="E13" s="2">
        <v>2</v>
      </c>
      <c r="F13" s="2">
        <v>10488</v>
      </c>
      <c r="G13" s="2">
        <f t="shared" si="2"/>
        <v>10968</v>
      </c>
      <c r="I13" s="1">
        <f t="shared" si="0"/>
        <v>16.227499999999999</v>
      </c>
      <c r="J13" s="2">
        <f t="shared" si="1"/>
        <v>828.75</v>
      </c>
      <c r="L13" s="1">
        <f t="shared" si="3"/>
        <v>13.881499999999999</v>
      </c>
      <c r="M13" s="2">
        <f t="shared" si="4"/>
        <v>688.85</v>
      </c>
      <c r="O13" s="1">
        <f t="shared" ref="O13:O76" si="5">((C13)+(C12*2)+(C11*3)+(C10*4)+(C9*5)+(C8*6)+(C7*7)+(C6*8))/36</f>
        <v>12.406388888888889</v>
      </c>
      <c r="P13" s="2">
        <f t="shared" ref="P13:P76" si="6">((D13)+(D12*2)+(D11*3)+(D10*4)+(D9*5)+(D8*6)+(D7*7)+(D6*8))/36</f>
        <v>638.77777777777783</v>
      </c>
    </row>
    <row r="14" spans="1:16" x14ac:dyDescent="0.45">
      <c r="A14" s="12">
        <v>18375</v>
      </c>
      <c r="B14" s="4">
        <v>43983</v>
      </c>
      <c r="C14" s="1">
        <v>11</v>
      </c>
      <c r="D14">
        <v>495</v>
      </c>
      <c r="E14" s="2">
        <v>2</v>
      </c>
      <c r="F14" s="2">
        <v>5995</v>
      </c>
      <c r="G14" s="2">
        <f t="shared" si="2"/>
        <v>9094.75</v>
      </c>
      <c r="I14" s="1">
        <f t="shared" si="0"/>
        <v>14.414999999999999</v>
      </c>
      <c r="J14" s="2">
        <f t="shared" si="1"/>
        <v>725</v>
      </c>
      <c r="L14" s="1">
        <f t="shared" si="3"/>
        <v>14.529499999999999</v>
      </c>
      <c r="M14" s="2">
        <f t="shared" si="4"/>
        <v>720.5</v>
      </c>
      <c r="O14" s="1">
        <f t="shared" si="5"/>
        <v>13.006666666666668</v>
      </c>
      <c r="P14" s="2">
        <f t="shared" si="6"/>
        <v>647.08333333333337</v>
      </c>
    </row>
    <row r="15" spans="1:16" x14ac:dyDescent="0.45">
      <c r="A15" s="12"/>
      <c r="B15" s="4">
        <v>43990</v>
      </c>
      <c r="C15" s="1">
        <v>18.329999999999998</v>
      </c>
      <c r="D15">
        <v>847</v>
      </c>
      <c r="E15" s="2">
        <v>3</v>
      </c>
      <c r="F15" s="2">
        <v>10567</v>
      </c>
      <c r="G15" s="2">
        <f t="shared" si="2"/>
        <v>8995</v>
      </c>
      <c r="I15" s="1">
        <f t="shared" si="0"/>
        <v>15.3325</v>
      </c>
      <c r="J15" s="2">
        <f t="shared" si="1"/>
        <v>745.75</v>
      </c>
      <c r="L15" s="1">
        <f t="shared" si="3"/>
        <v>14.998499999999998</v>
      </c>
      <c r="M15" s="2">
        <f t="shared" si="4"/>
        <v>742.9</v>
      </c>
      <c r="O15" s="1">
        <f t="shared" si="5"/>
        <v>13.948055555555555</v>
      </c>
      <c r="P15" s="2">
        <f t="shared" si="6"/>
        <v>685.33333333333337</v>
      </c>
    </row>
    <row r="16" spans="1:16" x14ac:dyDescent="0.45">
      <c r="A16" s="12"/>
      <c r="B16" s="4">
        <v>43997</v>
      </c>
      <c r="C16" s="1">
        <v>19.329999999999998</v>
      </c>
      <c r="D16">
        <v>940</v>
      </c>
      <c r="E16" s="2">
        <v>2</v>
      </c>
      <c r="F16" s="2">
        <v>11456</v>
      </c>
      <c r="G16" s="2">
        <f t="shared" si="2"/>
        <v>9626.5</v>
      </c>
      <c r="I16" s="1">
        <f t="shared" si="0"/>
        <v>17.164999999999999</v>
      </c>
      <c r="J16" s="2">
        <f t="shared" si="1"/>
        <v>827.75</v>
      </c>
      <c r="L16" s="1">
        <f t="shared" si="3"/>
        <v>15.623499999999998</v>
      </c>
      <c r="M16" s="2">
        <f t="shared" si="4"/>
        <v>770.75</v>
      </c>
      <c r="O16" s="1">
        <f t="shared" si="5"/>
        <v>15.686111111111112</v>
      </c>
      <c r="P16" s="2">
        <f t="shared" si="6"/>
        <v>755.80555555555554</v>
      </c>
    </row>
    <row r="17" spans="1:16" x14ac:dyDescent="0.45">
      <c r="A17" s="12"/>
      <c r="B17" s="4">
        <v>44004</v>
      </c>
      <c r="C17" s="1">
        <v>13.33</v>
      </c>
      <c r="D17">
        <v>652</v>
      </c>
      <c r="E17" s="2">
        <v>3</v>
      </c>
      <c r="F17" s="2">
        <v>9215</v>
      </c>
      <c r="G17" s="2">
        <f t="shared" si="2"/>
        <v>9308.25</v>
      </c>
      <c r="I17" s="1">
        <f t="shared" si="0"/>
        <v>15.497499999999999</v>
      </c>
      <c r="J17" s="2">
        <f t="shared" si="1"/>
        <v>733.5</v>
      </c>
      <c r="L17" s="1">
        <f t="shared" si="3"/>
        <v>15.727500000000001</v>
      </c>
      <c r="M17" s="2">
        <f t="shared" si="4"/>
        <v>772.15</v>
      </c>
      <c r="O17" s="1">
        <f t="shared" si="5"/>
        <v>15.877777777777778</v>
      </c>
      <c r="P17" s="2">
        <f t="shared" si="6"/>
        <v>791.61111111111109</v>
      </c>
    </row>
    <row r="18" spans="1:16" x14ac:dyDescent="0.45">
      <c r="A18" s="12"/>
      <c r="B18" s="4">
        <v>44011</v>
      </c>
      <c r="C18" s="1">
        <v>13.5</v>
      </c>
      <c r="D18">
        <v>633</v>
      </c>
      <c r="E18" s="2">
        <v>2</v>
      </c>
      <c r="F18" s="2">
        <v>9113</v>
      </c>
      <c r="G18" s="2">
        <f t="shared" si="2"/>
        <v>10087.75</v>
      </c>
      <c r="I18" s="1">
        <f t="shared" si="0"/>
        <v>16.122499999999999</v>
      </c>
      <c r="J18" s="2">
        <f t="shared" si="1"/>
        <v>768</v>
      </c>
      <c r="L18" s="1">
        <f t="shared" si="3"/>
        <v>15.7065</v>
      </c>
      <c r="M18" s="2">
        <f t="shared" si="4"/>
        <v>760</v>
      </c>
      <c r="O18" s="1">
        <f t="shared" si="5"/>
        <v>15.215277777777779</v>
      </c>
      <c r="P18" s="2">
        <f t="shared" si="6"/>
        <v>755.27777777777783</v>
      </c>
    </row>
    <row r="19" spans="1:16" x14ac:dyDescent="0.45">
      <c r="A19" s="12"/>
      <c r="B19" s="4">
        <v>44018</v>
      </c>
      <c r="C19" s="1">
        <v>11.66</v>
      </c>
      <c r="D19">
        <v>658</v>
      </c>
      <c r="E19" s="2">
        <v>2</v>
      </c>
      <c r="F19" s="2">
        <v>4371</v>
      </c>
      <c r="G19" s="2">
        <f t="shared" si="2"/>
        <v>8538.75</v>
      </c>
      <c r="I19" s="1">
        <f t="shared" si="0"/>
        <v>14.454999999999998</v>
      </c>
      <c r="J19" s="2">
        <f t="shared" si="1"/>
        <v>720.75</v>
      </c>
      <c r="L19" s="1">
        <f t="shared" si="3"/>
        <v>15.714500000000001</v>
      </c>
      <c r="M19" s="2">
        <f t="shared" si="4"/>
        <v>759.15</v>
      </c>
      <c r="O19" s="1">
        <f t="shared" si="5"/>
        <v>15.267222222222223</v>
      </c>
      <c r="P19" s="2">
        <f t="shared" si="6"/>
        <v>748.44444444444446</v>
      </c>
    </row>
    <row r="20" spans="1:16" x14ac:dyDescent="0.45">
      <c r="A20" s="12"/>
      <c r="B20" s="4">
        <v>44025</v>
      </c>
      <c r="C20" s="1">
        <v>9.33</v>
      </c>
      <c r="D20">
        <v>665</v>
      </c>
      <c r="E20" s="2">
        <v>1</v>
      </c>
      <c r="F20" s="2">
        <v>8562</v>
      </c>
      <c r="G20" s="2">
        <f t="shared" si="2"/>
        <v>7815.25</v>
      </c>
      <c r="I20" s="1">
        <f t="shared" si="0"/>
        <v>11.954999999999998</v>
      </c>
      <c r="J20" s="2">
        <f t="shared" si="1"/>
        <v>652</v>
      </c>
      <c r="L20" s="1">
        <f t="shared" si="3"/>
        <v>15.038999999999998</v>
      </c>
      <c r="M20" s="2">
        <f t="shared" si="4"/>
        <v>740.4</v>
      </c>
      <c r="O20" s="1">
        <f t="shared" si="5"/>
        <v>15.836111111111112</v>
      </c>
      <c r="P20" s="2">
        <f t="shared" si="6"/>
        <v>776.86111111111109</v>
      </c>
    </row>
    <row r="21" spans="1:16" x14ac:dyDescent="0.45">
      <c r="A21" s="12"/>
      <c r="B21" s="4">
        <v>44032</v>
      </c>
      <c r="C21" s="1">
        <v>10.25</v>
      </c>
      <c r="D21">
        <v>695</v>
      </c>
      <c r="E21" s="2">
        <v>2</v>
      </c>
      <c r="F21" s="2">
        <v>8252</v>
      </c>
      <c r="G21" s="2">
        <f t="shared" si="2"/>
        <v>7574.5</v>
      </c>
      <c r="I21" s="1">
        <f t="shared" si="0"/>
        <v>11.185</v>
      </c>
      <c r="J21" s="2">
        <f t="shared" si="1"/>
        <v>662.75</v>
      </c>
      <c r="L21" s="1">
        <f t="shared" si="3"/>
        <v>13.843</v>
      </c>
      <c r="M21" s="2">
        <f t="shared" si="4"/>
        <v>707.4</v>
      </c>
      <c r="O21" s="1">
        <f t="shared" si="5"/>
        <v>14.356388888888887</v>
      </c>
      <c r="P21" s="2">
        <f t="shared" si="6"/>
        <v>703.33333333333337</v>
      </c>
    </row>
    <row r="22" spans="1:16" x14ac:dyDescent="0.45">
      <c r="A22" s="12"/>
      <c r="B22" s="4">
        <v>44039</v>
      </c>
      <c r="C22" s="1">
        <v>19.25</v>
      </c>
      <c r="D22">
        <v>999</v>
      </c>
      <c r="E22" s="2">
        <v>2</v>
      </c>
      <c r="F22" s="2">
        <v>12009</v>
      </c>
      <c r="G22" s="2">
        <f t="shared" si="2"/>
        <v>8298.5</v>
      </c>
      <c r="I22" s="1">
        <f t="shared" si="0"/>
        <v>12.6225</v>
      </c>
      <c r="J22" s="2">
        <f t="shared" si="1"/>
        <v>754.25</v>
      </c>
      <c r="L22" s="1">
        <f t="shared" si="3"/>
        <v>13.268000000000001</v>
      </c>
      <c r="M22" s="2">
        <f t="shared" si="4"/>
        <v>711.55</v>
      </c>
      <c r="O22" s="1">
        <f t="shared" si="5"/>
        <v>15.105833333333331</v>
      </c>
      <c r="P22" s="2">
        <f t="shared" si="6"/>
        <v>762.47222222222217</v>
      </c>
    </row>
    <row r="23" spans="1:16" x14ac:dyDescent="0.45">
      <c r="A23" s="12"/>
      <c r="B23" s="4">
        <v>44046</v>
      </c>
      <c r="C23" s="1">
        <v>12.33</v>
      </c>
      <c r="D23">
        <v>583</v>
      </c>
      <c r="E23" s="2">
        <v>2</v>
      </c>
      <c r="F23" s="2">
        <v>6126</v>
      </c>
      <c r="G23" s="2">
        <f t="shared" si="2"/>
        <v>8737.25</v>
      </c>
      <c r="I23" s="1">
        <f t="shared" si="0"/>
        <v>12.79</v>
      </c>
      <c r="J23" s="2">
        <f t="shared" si="1"/>
        <v>735.5</v>
      </c>
      <c r="L23" s="1">
        <f t="shared" si="3"/>
        <v>12.6015</v>
      </c>
      <c r="M23" s="2">
        <f t="shared" si="4"/>
        <v>705.05</v>
      </c>
      <c r="O23" s="1">
        <f t="shared" si="5"/>
        <v>14.059722222222222</v>
      </c>
      <c r="P23" s="2">
        <f t="shared" si="6"/>
        <v>736.05555555555554</v>
      </c>
    </row>
    <row r="24" spans="1:16" x14ac:dyDescent="0.45">
      <c r="A24" s="12"/>
      <c r="B24" s="4">
        <v>44053</v>
      </c>
      <c r="C24" s="1">
        <v>7.33</v>
      </c>
      <c r="D24">
        <v>521</v>
      </c>
      <c r="E24" s="2">
        <v>0</v>
      </c>
      <c r="F24" s="2">
        <v>5320</v>
      </c>
      <c r="G24" s="2">
        <f t="shared" si="2"/>
        <v>7926.75</v>
      </c>
      <c r="I24" s="1">
        <f t="shared" si="0"/>
        <v>12.29</v>
      </c>
      <c r="J24" s="2">
        <f t="shared" si="1"/>
        <v>699.5</v>
      </c>
      <c r="L24" s="1">
        <f t="shared" si="3"/>
        <v>12.1685</v>
      </c>
      <c r="M24" s="2">
        <f t="shared" si="4"/>
        <v>700.8</v>
      </c>
      <c r="O24" s="1">
        <f t="shared" si="5"/>
        <v>12.458055555555555</v>
      </c>
      <c r="P24" s="2">
        <f t="shared" si="6"/>
        <v>677.33333333333337</v>
      </c>
    </row>
    <row r="25" spans="1:16" x14ac:dyDescent="0.45">
      <c r="A25" s="12"/>
      <c r="B25" s="4">
        <v>44060</v>
      </c>
      <c r="C25" s="1">
        <v>0</v>
      </c>
      <c r="D25">
        <v>0</v>
      </c>
      <c r="E25" s="2">
        <v>0</v>
      </c>
      <c r="F25" s="2">
        <v>0</v>
      </c>
      <c r="G25" s="2">
        <f t="shared" si="2"/>
        <v>5863.75</v>
      </c>
      <c r="I25" s="1">
        <f t="shared" si="0"/>
        <v>9.7274999999999991</v>
      </c>
      <c r="J25" s="2">
        <f t="shared" si="1"/>
        <v>525.75</v>
      </c>
      <c r="L25" s="1">
        <f t="shared" si="3"/>
        <v>11.723000000000001</v>
      </c>
      <c r="M25" s="2">
        <f t="shared" si="4"/>
        <v>675.55</v>
      </c>
      <c r="O25" s="1">
        <f t="shared" si="5"/>
        <v>11.819444444444445</v>
      </c>
      <c r="P25" s="2">
        <f t="shared" si="6"/>
        <v>664.5</v>
      </c>
    </row>
    <row r="26" spans="1:16" x14ac:dyDescent="0.45">
      <c r="A26" s="12"/>
      <c r="B26" s="4">
        <v>44067</v>
      </c>
      <c r="C26" s="1">
        <v>5</v>
      </c>
      <c r="D26">
        <v>256</v>
      </c>
      <c r="E26" s="2">
        <v>0</v>
      </c>
      <c r="F26" s="2">
        <v>3000</v>
      </c>
      <c r="G26" s="2">
        <f t="shared" si="2"/>
        <v>3611.5</v>
      </c>
      <c r="I26" s="1">
        <f t="shared" si="0"/>
        <v>6.165</v>
      </c>
      <c r="J26" s="2">
        <f t="shared" si="1"/>
        <v>340</v>
      </c>
      <c r="L26" s="1">
        <f t="shared" si="3"/>
        <v>10.718999999999999</v>
      </c>
      <c r="M26" s="2">
        <f t="shared" si="4"/>
        <v>611</v>
      </c>
      <c r="O26" s="1">
        <f t="shared" si="5"/>
        <v>10.906944444444443</v>
      </c>
      <c r="P26" s="2">
        <f t="shared" si="6"/>
        <v>645.41666666666663</v>
      </c>
    </row>
    <row r="27" spans="1:16" x14ac:dyDescent="0.45">
      <c r="A27" s="12"/>
      <c r="B27" s="4">
        <v>44074</v>
      </c>
      <c r="C27" s="1">
        <v>17.25</v>
      </c>
      <c r="D27">
        <v>938</v>
      </c>
      <c r="E27" s="2">
        <v>2</v>
      </c>
      <c r="F27" s="2">
        <v>13250</v>
      </c>
      <c r="G27" s="2">
        <f t="shared" si="2"/>
        <v>5392.5</v>
      </c>
      <c r="I27" s="1">
        <f t="shared" si="0"/>
        <v>7.3949999999999996</v>
      </c>
      <c r="J27" s="2">
        <f t="shared" si="1"/>
        <v>428.75</v>
      </c>
      <c r="L27" s="1">
        <f t="shared" si="3"/>
        <v>9.6735000000000007</v>
      </c>
      <c r="M27" s="2">
        <f t="shared" si="4"/>
        <v>545.9</v>
      </c>
      <c r="O27" s="1">
        <f t="shared" si="5"/>
        <v>10.558611111111112</v>
      </c>
      <c r="P27" s="2">
        <f t="shared" si="6"/>
        <v>628.55555555555554</v>
      </c>
    </row>
    <row r="28" spans="1:16" x14ac:dyDescent="0.45">
      <c r="A28" s="12"/>
      <c r="B28" s="4">
        <v>44081</v>
      </c>
      <c r="C28" s="1">
        <v>18.75</v>
      </c>
      <c r="D28">
        <v>1116</v>
      </c>
      <c r="E28" s="2">
        <v>2</v>
      </c>
      <c r="F28" s="2">
        <v>15201</v>
      </c>
      <c r="G28" s="2">
        <f t="shared" si="2"/>
        <v>7862.75</v>
      </c>
      <c r="I28" s="1">
        <f t="shared" si="0"/>
        <v>10.25</v>
      </c>
      <c r="J28" s="2">
        <f t="shared" si="1"/>
        <v>577.5</v>
      </c>
      <c r="L28" s="1">
        <f t="shared" si="3"/>
        <v>9.1654999999999998</v>
      </c>
      <c r="M28" s="2">
        <f t="shared" si="4"/>
        <v>514.29999999999995</v>
      </c>
      <c r="O28" s="1">
        <f t="shared" si="5"/>
        <v>10.989722222222222</v>
      </c>
      <c r="P28" s="2">
        <f t="shared" si="6"/>
        <v>622.66666666666663</v>
      </c>
    </row>
    <row r="29" spans="1:16" x14ac:dyDescent="0.45">
      <c r="A29" s="12"/>
      <c r="B29" s="4">
        <v>44088</v>
      </c>
      <c r="C29" s="1">
        <v>17.5</v>
      </c>
      <c r="D29">
        <v>1012</v>
      </c>
      <c r="E29" s="2">
        <v>2</v>
      </c>
      <c r="F29" s="2">
        <v>13338</v>
      </c>
      <c r="G29" s="2">
        <f t="shared" si="2"/>
        <v>11197.25</v>
      </c>
      <c r="I29" s="1">
        <f t="shared" si="0"/>
        <v>14.625</v>
      </c>
      <c r="J29" s="2">
        <f t="shared" si="1"/>
        <v>830.5</v>
      </c>
      <c r="L29" s="1">
        <f t="shared" si="3"/>
        <v>9.6325000000000003</v>
      </c>
      <c r="M29" s="2">
        <f t="shared" si="4"/>
        <v>540.5</v>
      </c>
      <c r="O29" s="1">
        <f t="shared" si="5"/>
        <v>11.417777777777779</v>
      </c>
      <c r="P29" s="2">
        <f t="shared" si="6"/>
        <v>618.91666666666663</v>
      </c>
    </row>
    <row r="30" spans="1:16" x14ac:dyDescent="0.45">
      <c r="A30" s="12"/>
      <c r="B30" s="4">
        <v>44095</v>
      </c>
      <c r="C30" s="1">
        <v>22.75</v>
      </c>
      <c r="D30">
        <v>1067</v>
      </c>
      <c r="E30" s="2">
        <v>0</v>
      </c>
      <c r="F30" s="2">
        <v>15584</v>
      </c>
      <c r="G30" s="2">
        <f t="shared" si="2"/>
        <v>14343.25</v>
      </c>
      <c r="I30" s="1">
        <f t="shared" si="0"/>
        <v>19.0625</v>
      </c>
      <c r="J30" s="2">
        <f t="shared" si="1"/>
        <v>1033.25</v>
      </c>
      <c r="L30" s="1">
        <f t="shared" si="3"/>
        <v>11.499500000000001</v>
      </c>
      <c r="M30" s="2">
        <f t="shared" si="4"/>
        <v>642</v>
      </c>
      <c r="O30" s="1">
        <f t="shared" si="5"/>
        <v>9.9430555555555546</v>
      </c>
      <c r="P30" s="2">
        <f t="shared" si="6"/>
        <v>549.5</v>
      </c>
    </row>
    <row r="31" spans="1:16" x14ac:dyDescent="0.45">
      <c r="A31" s="12"/>
      <c r="B31" s="4">
        <v>44102</v>
      </c>
      <c r="C31" s="1">
        <v>14.25</v>
      </c>
      <c r="D31">
        <v>779</v>
      </c>
      <c r="E31" s="2">
        <v>2</v>
      </c>
      <c r="F31" s="2">
        <v>11539</v>
      </c>
      <c r="G31" s="2">
        <f t="shared" si="2"/>
        <v>13915.5</v>
      </c>
      <c r="I31" s="1">
        <f t="shared" si="0"/>
        <v>18.3125</v>
      </c>
      <c r="J31" s="2">
        <f t="shared" si="1"/>
        <v>993.5</v>
      </c>
      <c r="L31" s="1">
        <f t="shared" si="3"/>
        <v>13.928999999999998</v>
      </c>
      <c r="M31" s="2">
        <f t="shared" si="4"/>
        <v>772.7</v>
      </c>
      <c r="O31" s="1">
        <f t="shared" si="5"/>
        <v>10.059444444444445</v>
      </c>
      <c r="P31" s="2">
        <f t="shared" si="6"/>
        <v>577.97222222222217</v>
      </c>
    </row>
    <row r="32" spans="1:16" x14ac:dyDescent="0.45">
      <c r="A32" s="12"/>
      <c r="B32" s="4">
        <v>44109</v>
      </c>
      <c r="C32" s="1">
        <v>17</v>
      </c>
      <c r="D32">
        <v>1065</v>
      </c>
      <c r="E32" s="2">
        <v>2</v>
      </c>
      <c r="F32" s="2">
        <v>14284</v>
      </c>
      <c r="G32" s="2">
        <f t="shared" si="2"/>
        <v>13686.25</v>
      </c>
      <c r="I32" s="1">
        <f t="shared" si="0"/>
        <v>17.875</v>
      </c>
      <c r="J32" s="2">
        <f t="shared" si="1"/>
        <v>980.75</v>
      </c>
      <c r="L32" s="1">
        <f t="shared" si="3"/>
        <v>16.024999999999999</v>
      </c>
      <c r="M32" s="2">
        <f t="shared" si="4"/>
        <v>883.1</v>
      </c>
      <c r="O32" s="1">
        <f t="shared" si="5"/>
        <v>11.555555555555555</v>
      </c>
      <c r="P32" s="2">
        <f t="shared" si="6"/>
        <v>635.33333333333337</v>
      </c>
    </row>
    <row r="33" spans="1:16" x14ac:dyDescent="0.45">
      <c r="A33" s="12"/>
      <c r="B33" s="4">
        <v>44116</v>
      </c>
      <c r="C33" s="1">
        <v>19</v>
      </c>
      <c r="D33">
        <v>1067</v>
      </c>
      <c r="E33" s="2">
        <v>2</v>
      </c>
      <c r="F33" s="2">
        <v>14197</v>
      </c>
      <c r="G33" s="2">
        <f t="shared" si="2"/>
        <v>13901</v>
      </c>
      <c r="I33" s="1">
        <f t="shared" si="0"/>
        <v>18.25</v>
      </c>
      <c r="J33" s="2">
        <f t="shared" si="1"/>
        <v>994.5</v>
      </c>
      <c r="L33" s="1">
        <f t="shared" si="3"/>
        <v>17.625</v>
      </c>
      <c r="M33" s="2">
        <f t="shared" si="4"/>
        <v>966.5</v>
      </c>
      <c r="O33" s="1">
        <f t="shared" si="5"/>
        <v>15.208333333333334</v>
      </c>
      <c r="P33" s="2">
        <f t="shared" si="6"/>
        <v>838.11111111111109</v>
      </c>
    </row>
    <row r="34" spans="1:16" x14ac:dyDescent="0.45">
      <c r="A34" s="12"/>
      <c r="B34" s="4">
        <v>44123</v>
      </c>
      <c r="C34" s="1">
        <v>14.75</v>
      </c>
      <c r="D34">
        <v>1002</v>
      </c>
      <c r="E34" s="2">
        <v>2</v>
      </c>
      <c r="F34" s="2">
        <v>9564</v>
      </c>
      <c r="G34" s="2">
        <f t="shared" si="2"/>
        <v>12396</v>
      </c>
      <c r="I34" s="1">
        <f t="shared" si="0"/>
        <v>16.25</v>
      </c>
      <c r="J34" s="2">
        <f t="shared" si="1"/>
        <v>978.25</v>
      </c>
      <c r="L34" s="1">
        <f t="shared" si="3"/>
        <v>17.95</v>
      </c>
      <c r="M34" s="2">
        <f t="shared" si="4"/>
        <v>996.05</v>
      </c>
      <c r="O34" s="1">
        <f t="shared" si="5"/>
        <v>18.020833333333332</v>
      </c>
      <c r="P34" s="2">
        <f t="shared" si="6"/>
        <v>1004.7222222222222</v>
      </c>
    </row>
    <row r="35" spans="1:16" x14ac:dyDescent="0.45">
      <c r="A35" s="12"/>
      <c r="B35" s="4">
        <v>44130</v>
      </c>
      <c r="C35" s="1">
        <v>8</v>
      </c>
      <c r="D35">
        <v>481</v>
      </c>
      <c r="E35" s="2">
        <v>2</v>
      </c>
      <c r="F35" s="2">
        <v>5794</v>
      </c>
      <c r="G35" s="2">
        <f t="shared" si="2"/>
        <v>10959.75</v>
      </c>
      <c r="I35" s="1">
        <f t="shared" si="0"/>
        <v>14.6875</v>
      </c>
      <c r="J35" s="2">
        <f t="shared" si="1"/>
        <v>903.75</v>
      </c>
      <c r="L35" s="1">
        <f t="shared" si="3"/>
        <v>17.074999999999999</v>
      </c>
      <c r="M35" s="2">
        <f t="shared" si="4"/>
        <v>970.15</v>
      </c>
      <c r="O35" s="1">
        <f t="shared" si="5"/>
        <v>17.854166666666668</v>
      </c>
      <c r="P35" s="2">
        <f t="shared" si="6"/>
        <v>1007.0833333333334</v>
      </c>
    </row>
    <row r="36" spans="1:16" x14ac:dyDescent="0.45">
      <c r="A36" s="12" t="s">
        <v>13</v>
      </c>
      <c r="B36" s="4">
        <v>44137</v>
      </c>
      <c r="C36" s="1">
        <v>23</v>
      </c>
      <c r="D36">
        <v>1553</v>
      </c>
      <c r="E36" s="2">
        <v>0</v>
      </c>
      <c r="F36" s="2">
        <v>16462</v>
      </c>
      <c r="G36" s="2">
        <f t="shared" si="2"/>
        <v>11504.25</v>
      </c>
      <c r="I36" s="1">
        <f t="shared" si="0"/>
        <v>16.1875</v>
      </c>
      <c r="J36" s="2">
        <f t="shared" si="1"/>
        <v>1025.75</v>
      </c>
      <c r="L36" s="1">
        <f t="shared" si="3"/>
        <v>16.649999999999999</v>
      </c>
      <c r="M36" s="2">
        <f t="shared" si="4"/>
        <v>976.6</v>
      </c>
      <c r="O36" s="1">
        <f t="shared" si="5"/>
        <v>17.472222222222221</v>
      </c>
      <c r="P36" s="2">
        <f t="shared" si="6"/>
        <v>982.02777777777783</v>
      </c>
    </row>
    <row r="37" spans="1:16" x14ac:dyDescent="0.45">
      <c r="A37" s="12"/>
      <c r="B37" s="4">
        <v>44144</v>
      </c>
      <c r="C37" s="1">
        <v>10</v>
      </c>
      <c r="D37">
        <v>508</v>
      </c>
      <c r="E37" s="2">
        <v>2</v>
      </c>
      <c r="F37" s="2">
        <v>3000</v>
      </c>
      <c r="G37" s="2">
        <f t="shared" si="2"/>
        <v>8705</v>
      </c>
      <c r="I37" s="1">
        <f t="shared" si="0"/>
        <v>13.9375</v>
      </c>
      <c r="J37" s="2">
        <f t="shared" si="1"/>
        <v>886</v>
      </c>
      <c r="L37" s="1">
        <f t="shared" si="3"/>
        <v>15.862500000000001</v>
      </c>
      <c r="M37" s="2">
        <f t="shared" si="4"/>
        <v>957.65</v>
      </c>
      <c r="O37" s="1">
        <f t="shared" si="5"/>
        <v>17.159722222222221</v>
      </c>
      <c r="P37" s="2">
        <f t="shared" si="6"/>
        <v>966.08333333333337</v>
      </c>
    </row>
    <row r="38" spans="1:16" x14ac:dyDescent="0.45">
      <c r="A38" s="12"/>
      <c r="B38" s="4">
        <v>44151</v>
      </c>
      <c r="C38" s="1">
        <v>11.33</v>
      </c>
      <c r="D38">
        <v>715</v>
      </c>
      <c r="E38" s="2">
        <v>2</v>
      </c>
      <c r="F38" s="2">
        <v>7000</v>
      </c>
      <c r="G38" s="2">
        <f t="shared" si="2"/>
        <v>8064</v>
      </c>
      <c r="I38" s="1">
        <f t="shared" si="0"/>
        <v>13.0825</v>
      </c>
      <c r="J38" s="2">
        <f t="shared" si="1"/>
        <v>814.25</v>
      </c>
      <c r="L38" s="1">
        <f t="shared" si="3"/>
        <v>14.828999999999999</v>
      </c>
      <c r="M38" s="2">
        <f t="shared" si="4"/>
        <v>921.6</v>
      </c>
      <c r="O38" s="1">
        <f t="shared" si="5"/>
        <v>15.363333333333332</v>
      </c>
      <c r="P38" s="2">
        <f t="shared" si="6"/>
        <v>928.13888888888891</v>
      </c>
    </row>
    <row r="39" spans="1:16" x14ac:dyDescent="0.45">
      <c r="A39" s="12" t="s">
        <v>14</v>
      </c>
      <c r="B39" s="4">
        <v>44158</v>
      </c>
      <c r="C39" s="1">
        <v>7.5</v>
      </c>
      <c r="D39">
        <v>643</v>
      </c>
      <c r="E39" s="2">
        <v>1</v>
      </c>
      <c r="F39" s="2">
        <v>4000</v>
      </c>
      <c r="G39" s="2">
        <f t="shared" si="2"/>
        <v>7615.5</v>
      </c>
      <c r="I39" s="1">
        <f t="shared" si="0"/>
        <v>12.9575</v>
      </c>
      <c r="J39" s="2">
        <f t="shared" si="1"/>
        <v>854.75</v>
      </c>
      <c r="L39" s="1">
        <f t="shared" si="3"/>
        <v>14.170500000000001</v>
      </c>
      <c r="M39" s="2">
        <f t="shared" si="4"/>
        <v>896.9</v>
      </c>
      <c r="O39" s="1">
        <f t="shared" si="5"/>
        <v>15.268333333333333</v>
      </c>
      <c r="P39" s="2">
        <f t="shared" si="6"/>
        <v>950.41666666666663</v>
      </c>
    </row>
    <row r="40" spans="1:16" x14ac:dyDescent="0.45">
      <c r="A40" s="12" t="s">
        <v>15</v>
      </c>
      <c r="B40" s="4">
        <v>44165</v>
      </c>
      <c r="C40" s="1">
        <v>24</v>
      </c>
      <c r="D40">
        <v>1111</v>
      </c>
      <c r="E40" s="2">
        <v>0</v>
      </c>
      <c r="F40" s="2">
        <v>13000</v>
      </c>
      <c r="G40" s="2">
        <f t="shared" si="2"/>
        <v>6750</v>
      </c>
      <c r="I40" s="1">
        <f t="shared" si="0"/>
        <v>13.2075</v>
      </c>
      <c r="J40" s="2">
        <f t="shared" si="1"/>
        <v>744.25</v>
      </c>
      <c r="L40" s="1">
        <f t="shared" si="3"/>
        <v>13.874500000000001</v>
      </c>
      <c r="M40" s="2">
        <f t="shared" si="4"/>
        <v>865</v>
      </c>
      <c r="O40" s="1">
        <f t="shared" si="5"/>
        <v>14.756666666666668</v>
      </c>
      <c r="P40" s="2">
        <f t="shared" si="6"/>
        <v>910.41666666666663</v>
      </c>
    </row>
    <row r="41" spans="1:16" x14ac:dyDescent="0.45">
      <c r="A41" s="12"/>
      <c r="B41" s="4">
        <v>44172</v>
      </c>
      <c r="C41" s="1">
        <v>9.5</v>
      </c>
      <c r="D41">
        <v>495</v>
      </c>
      <c r="E41" s="2">
        <v>2</v>
      </c>
      <c r="F41" s="2">
        <v>5683</v>
      </c>
      <c r="G41" s="2">
        <f t="shared" si="2"/>
        <v>7420.75</v>
      </c>
      <c r="I41" s="1">
        <f t="shared" si="0"/>
        <v>13.0825</v>
      </c>
      <c r="J41" s="2">
        <f t="shared" si="1"/>
        <v>741</v>
      </c>
      <c r="L41" s="1">
        <f t="shared" si="3"/>
        <v>13.253499999999999</v>
      </c>
      <c r="M41" s="2">
        <f t="shared" si="4"/>
        <v>808.05</v>
      </c>
      <c r="O41" s="1">
        <f t="shared" si="5"/>
        <v>13.536666666666667</v>
      </c>
      <c r="P41" s="2">
        <f t="shared" si="6"/>
        <v>854.08333333333337</v>
      </c>
    </row>
    <row r="42" spans="1:16" x14ac:dyDescent="0.45">
      <c r="A42" s="12"/>
      <c r="B42" s="4">
        <v>44179</v>
      </c>
      <c r="C42" s="1">
        <v>18</v>
      </c>
      <c r="D42">
        <v>943</v>
      </c>
      <c r="E42" s="2">
        <v>2</v>
      </c>
      <c r="F42" s="2">
        <v>12080</v>
      </c>
      <c r="G42" s="2">
        <f t="shared" si="2"/>
        <v>8690.75</v>
      </c>
      <c r="I42" s="1">
        <f t="shared" si="0"/>
        <v>14.75</v>
      </c>
      <c r="J42" s="2">
        <f t="shared" si="1"/>
        <v>798</v>
      </c>
      <c r="L42" s="1">
        <f t="shared" si="3"/>
        <v>13.416</v>
      </c>
      <c r="M42" s="2">
        <f t="shared" si="4"/>
        <v>790.45</v>
      </c>
      <c r="O42" s="1">
        <f t="shared" si="5"/>
        <v>13.351388888888888</v>
      </c>
      <c r="P42" s="2">
        <f t="shared" si="6"/>
        <v>810.55555555555554</v>
      </c>
    </row>
    <row r="43" spans="1:16" x14ac:dyDescent="0.45">
      <c r="A43" s="12"/>
      <c r="B43" s="4">
        <v>44186</v>
      </c>
      <c r="C43" s="1">
        <v>13</v>
      </c>
      <c r="D43">
        <v>861</v>
      </c>
      <c r="E43" s="2">
        <v>2</v>
      </c>
      <c r="F43" s="2">
        <v>6099</v>
      </c>
      <c r="G43" s="2">
        <f t="shared" si="2"/>
        <v>9215.5</v>
      </c>
      <c r="I43" s="1">
        <f t="shared" si="0"/>
        <v>16.125</v>
      </c>
      <c r="J43" s="2">
        <f t="shared" si="1"/>
        <v>852.5</v>
      </c>
      <c r="L43" s="1">
        <f t="shared" si="3"/>
        <v>14.0245</v>
      </c>
      <c r="M43" s="2">
        <f t="shared" si="4"/>
        <v>798.1</v>
      </c>
      <c r="O43" s="1">
        <f t="shared" si="5"/>
        <v>14.805</v>
      </c>
      <c r="P43" s="2">
        <f t="shared" si="6"/>
        <v>893.36111111111109</v>
      </c>
    </row>
    <row r="44" spans="1:16" x14ac:dyDescent="0.45">
      <c r="A44" s="12"/>
      <c r="B44" s="4">
        <v>44193</v>
      </c>
      <c r="C44" s="1">
        <v>7</v>
      </c>
      <c r="D44">
        <v>406</v>
      </c>
      <c r="E44" s="2">
        <v>1</v>
      </c>
      <c r="F44" s="2">
        <v>1402</v>
      </c>
      <c r="G44" s="2">
        <f t="shared" si="2"/>
        <v>6316</v>
      </c>
      <c r="I44" s="1">
        <f t="shared" si="0"/>
        <v>11.875</v>
      </c>
      <c r="J44" s="2">
        <f t="shared" si="1"/>
        <v>676.25</v>
      </c>
      <c r="L44" s="1">
        <f t="shared" si="3"/>
        <v>13.807999999999998</v>
      </c>
      <c r="M44" s="2">
        <f t="shared" si="4"/>
        <v>762.4</v>
      </c>
      <c r="O44" s="1">
        <f t="shared" si="5"/>
        <v>12.480833333333333</v>
      </c>
      <c r="P44" s="2">
        <f t="shared" si="6"/>
        <v>706.08333333333337</v>
      </c>
    </row>
    <row r="45" spans="1:16" x14ac:dyDescent="0.45">
      <c r="A45" s="12"/>
      <c r="B45" s="4">
        <v>44200</v>
      </c>
      <c r="C45" s="1">
        <v>11</v>
      </c>
      <c r="D45">
        <v>589</v>
      </c>
      <c r="E45" s="21">
        <v>2</v>
      </c>
      <c r="F45" s="2">
        <v>6879</v>
      </c>
      <c r="G45" s="2">
        <f t="shared" si="2"/>
        <v>6615</v>
      </c>
      <c r="I45" s="1">
        <f t="shared" si="0"/>
        <v>12.25</v>
      </c>
      <c r="J45" s="2">
        <f t="shared" si="1"/>
        <v>699.75</v>
      </c>
      <c r="L45" s="1">
        <f t="shared" si="3"/>
        <v>13.616499999999998</v>
      </c>
      <c r="M45" s="2">
        <f t="shared" si="4"/>
        <v>753.5</v>
      </c>
      <c r="O45" s="1">
        <f t="shared" si="5"/>
        <v>13.073333333333332</v>
      </c>
      <c r="P45" s="2">
        <f t="shared" si="6"/>
        <v>753.27777777777783</v>
      </c>
    </row>
    <row r="46" spans="1:16" x14ac:dyDescent="0.45">
      <c r="A46" s="12" t="s">
        <v>16</v>
      </c>
      <c r="B46" s="4">
        <v>44207</v>
      </c>
      <c r="C46" s="1">
        <v>17.5</v>
      </c>
      <c r="D46">
        <v>1133</v>
      </c>
      <c r="E46" s="2">
        <v>0</v>
      </c>
      <c r="F46" s="2">
        <v>13741</v>
      </c>
      <c r="G46" s="2">
        <f t="shared" si="2"/>
        <v>7030.25</v>
      </c>
      <c r="I46" s="1">
        <f t="shared" si="0"/>
        <v>12.125</v>
      </c>
      <c r="J46" s="2">
        <f t="shared" si="1"/>
        <v>747.25</v>
      </c>
      <c r="L46" s="1">
        <f t="shared" si="3"/>
        <v>13.425000000000001</v>
      </c>
      <c r="M46" s="2">
        <f t="shared" si="4"/>
        <v>754.75</v>
      </c>
      <c r="O46" s="1">
        <f t="shared" si="5"/>
        <v>13.541666666666666</v>
      </c>
      <c r="P46" s="2">
        <f t="shared" si="6"/>
        <v>766.08333333333337</v>
      </c>
    </row>
    <row r="47" spans="1:16" x14ac:dyDescent="0.45">
      <c r="A47" s="12"/>
      <c r="B47" s="4">
        <v>44214</v>
      </c>
      <c r="C47" s="1">
        <v>14</v>
      </c>
      <c r="D47">
        <v>833</v>
      </c>
      <c r="E47" s="2">
        <v>2</v>
      </c>
      <c r="F47" s="2">
        <v>11131</v>
      </c>
      <c r="G47" s="2">
        <f t="shared" si="2"/>
        <v>8288.25</v>
      </c>
      <c r="I47" s="1">
        <f t="shared" si="0"/>
        <v>12.375</v>
      </c>
      <c r="J47" s="2">
        <f t="shared" si="1"/>
        <v>740.25</v>
      </c>
      <c r="L47" s="1">
        <f t="shared" si="3"/>
        <v>12.95</v>
      </c>
      <c r="M47" s="2">
        <f t="shared" si="4"/>
        <v>743.2</v>
      </c>
      <c r="O47" s="1">
        <f t="shared" si="5"/>
        <v>15.041666666666666</v>
      </c>
      <c r="P47" s="2">
        <f t="shared" si="6"/>
        <v>800.16666666666663</v>
      </c>
    </row>
    <row r="48" spans="1:16" x14ac:dyDescent="0.45">
      <c r="A48" s="12"/>
      <c r="B48" s="4">
        <v>44221</v>
      </c>
      <c r="C48" s="1">
        <v>16.5</v>
      </c>
      <c r="D48">
        <v>864</v>
      </c>
      <c r="E48" s="2">
        <v>2</v>
      </c>
      <c r="F48" s="2">
        <v>11144</v>
      </c>
      <c r="G48" s="2">
        <f t="shared" si="2"/>
        <v>10723.75</v>
      </c>
      <c r="I48" s="1">
        <f t="shared" si="0"/>
        <v>14.75</v>
      </c>
      <c r="J48" s="2">
        <f t="shared" si="1"/>
        <v>854.75</v>
      </c>
      <c r="L48" s="1">
        <f t="shared" si="3"/>
        <v>12.675000000000001</v>
      </c>
      <c r="M48" s="2">
        <f t="shared" si="4"/>
        <v>743.65</v>
      </c>
      <c r="O48" s="1">
        <f t="shared" si="5"/>
        <v>12.666666666666666</v>
      </c>
      <c r="P48" s="2">
        <f t="shared" si="6"/>
        <v>723.38888888888891</v>
      </c>
    </row>
    <row r="49" spans="1:16" x14ac:dyDescent="0.45">
      <c r="A49" s="12"/>
      <c r="B49" s="4">
        <v>44228</v>
      </c>
      <c r="C49" s="1">
        <v>18.75</v>
      </c>
      <c r="D49">
        <v>1120</v>
      </c>
      <c r="E49" s="2">
        <v>2</v>
      </c>
      <c r="F49" s="2">
        <v>11612</v>
      </c>
      <c r="G49" s="2">
        <f t="shared" si="2"/>
        <v>11907</v>
      </c>
      <c r="I49" s="1">
        <f t="shared" si="0"/>
        <v>16.6875</v>
      </c>
      <c r="J49" s="2">
        <f t="shared" si="1"/>
        <v>987.5</v>
      </c>
      <c r="L49" s="1">
        <f t="shared" si="3"/>
        <v>13.637499999999999</v>
      </c>
      <c r="M49" s="2">
        <f t="shared" si="4"/>
        <v>805.9</v>
      </c>
      <c r="O49" s="1">
        <f t="shared" si="5"/>
        <v>13.770833333333334</v>
      </c>
      <c r="P49" s="2">
        <f t="shared" si="6"/>
        <v>800.86111111111109</v>
      </c>
    </row>
    <row r="50" spans="1:16" x14ac:dyDescent="0.45">
      <c r="A50" s="12" t="s">
        <v>17</v>
      </c>
      <c r="B50" s="4">
        <v>44235</v>
      </c>
      <c r="C50" s="1">
        <v>16</v>
      </c>
      <c r="D50">
        <v>899</v>
      </c>
      <c r="E50" s="2">
        <v>1</v>
      </c>
      <c r="F50" s="2">
        <v>11152</v>
      </c>
      <c r="G50" s="2">
        <f t="shared" si="2"/>
        <v>11259.75</v>
      </c>
      <c r="I50" s="1">
        <f t="shared" si="0"/>
        <v>16.3125</v>
      </c>
      <c r="J50" s="2">
        <f t="shared" si="1"/>
        <v>929</v>
      </c>
      <c r="L50" s="1">
        <f t="shared" si="3"/>
        <v>14.45</v>
      </c>
      <c r="M50" s="2">
        <f t="shared" si="4"/>
        <v>851.75</v>
      </c>
      <c r="O50" s="1">
        <f t="shared" si="5"/>
        <v>12.930555555555555</v>
      </c>
      <c r="P50" s="2">
        <f t="shared" si="6"/>
        <v>777.55555555555554</v>
      </c>
    </row>
    <row r="51" spans="1:16" x14ac:dyDescent="0.45">
      <c r="A51" s="12"/>
      <c r="B51" s="4">
        <v>44242</v>
      </c>
      <c r="C51" s="1">
        <v>10</v>
      </c>
      <c r="D51">
        <v>472</v>
      </c>
      <c r="E51" s="2">
        <v>1</v>
      </c>
      <c r="F51" s="2">
        <v>4130</v>
      </c>
      <c r="G51" s="2">
        <f t="shared" si="2"/>
        <v>9509.5</v>
      </c>
      <c r="I51" s="1">
        <f t="shared" si="0"/>
        <v>15.3125</v>
      </c>
      <c r="J51" s="2">
        <f t="shared" si="1"/>
        <v>838.75</v>
      </c>
      <c r="L51" s="1">
        <f t="shared" si="3"/>
        <v>15.0875</v>
      </c>
      <c r="M51" s="2">
        <f t="shared" si="4"/>
        <v>870.05</v>
      </c>
      <c r="O51" s="1">
        <f t="shared" si="5"/>
        <v>13.118055555555555</v>
      </c>
      <c r="P51" s="2">
        <f t="shared" si="6"/>
        <v>761.66666666666663</v>
      </c>
    </row>
    <row r="52" spans="1:16" x14ac:dyDescent="0.45">
      <c r="A52" s="12" t="s">
        <v>18</v>
      </c>
      <c r="B52" s="4">
        <v>44249</v>
      </c>
      <c r="C52" s="1">
        <v>6.66</v>
      </c>
      <c r="D52">
        <v>458</v>
      </c>
      <c r="E52" s="2">
        <v>0</v>
      </c>
      <c r="F52" s="2">
        <v>3278</v>
      </c>
      <c r="G52" s="2">
        <f t="shared" si="2"/>
        <v>7543</v>
      </c>
      <c r="I52" s="1">
        <f t="shared" si="0"/>
        <v>12.852499999999999</v>
      </c>
      <c r="J52" s="2">
        <f t="shared" si="1"/>
        <v>737.25</v>
      </c>
      <c r="L52" s="1">
        <f t="shared" si="3"/>
        <v>15.183000000000002</v>
      </c>
      <c r="M52" s="2">
        <f t="shared" si="4"/>
        <v>869.45</v>
      </c>
      <c r="O52" s="1">
        <f t="shared" si="5"/>
        <v>14.629444444444443</v>
      </c>
      <c r="P52" s="2">
        <f t="shared" si="6"/>
        <v>848.33333333333337</v>
      </c>
    </row>
    <row r="53" spans="1:16" x14ac:dyDescent="0.45">
      <c r="A53" s="12"/>
      <c r="B53" s="4">
        <v>44256</v>
      </c>
      <c r="C53" s="1">
        <v>0</v>
      </c>
      <c r="D53">
        <v>0</v>
      </c>
      <c r="E53" s="2">
        <v>0</v>
      </c>
      <c r="F53" s="2">
        <v>0</v>
      </c>
      <c r="G53" s="2">
        <f t="shared" si="2"/>
        <v>4640</v>
      </c>
      <c r="I53" s="1">
        <f t="shared" si="0"/>
        <v>8.1649999999999991</v>
      </c>
      <c r="J53" s="2">
        <f t="shared" si="1"/>
        <v>457.25</v>
      </c>
      <c r="L53" s="1">
        <f t="shared" si="3"/>
        <v>13.866</v>
      </c>
      <c r="M53" s="2">
        <f t="shared" si="4"/>
        <v>789.95</v>
      </c>
      <c r="O53" s="1">
        <f t="shared" si="5"/>
        <v>14.946388888888887</v>
      </c>
      <c r="P53" s="2">
        <f t="shared" si="6"/>
        <v>877.97222222222217</v>
      </c>
    </row>
    <row r="54" spans="1:16" x14ac:dyDescent="0.45">
      <c r="A54" s="12"/>
      <c r="B54" s="4">
        <v>44263</v>
      </c>
      <c r="C54" s="1">
        <v>12</v>
      </c>
      <c r="D54">
        <v>649</v>
      </c>
      <c r="E54" s="2">
        <v>1</v>
      </c>
      <c r="F54" s="2">
        <v>3226</v>
      </c>
      <c r="G54" s="2">
        <f t="shared" si="2"/>
        <v>2658.5</v>
      </c>
      <c r="I54" s="1">
        <f t="shared" si="0"/>
        <v>7.165</v>
      </c>
      <c r="J54" s="2">
        <f t="shared" si="1"/>
        <v>394.75</v>
      </c>
      <c r="L54" s="1">
        <f t="shared" si="3"/>
        <v>11.961499999999999</v>
      </c>
      <c r="M54" s="2">
        <f t="shared" si="4"/>
        <v>671.4</v>
      </c>
      <c r="O54" s="1">
        <f t="shared" si="5"/>
        <v>13.666111111111112</v>
      </c>
      <c r="P54" s="2">
        <f t="shared" si="6"/>
        <v>773.27777777777783</v>
      </c>
    </row>
    <row r="55" spans="1:16" x14ac:dyDescent="0.45">
      <c r="A55" s="12"/>
      <c r="B55" s="4">
        <v>44270</v>
      </c>
      <c r="C55" s="1">
        <v>17</v>
      </c>
      <c r="D55">
        <v>927</v>
      </c>
      <c r="E55" s="2">
        <v>2</v>
      </c>
      <c r="F55" s="2">
        <v>10302</v>
      </c>
      <c r="G55" s="2">
        <f t="shared" si="2"/>
        <v>4201.5</v>
      </c>
      <c r="I55" s="1">
        <f t="shared" si="0"/>
        <v>8.9149999999999991</v>
      </c>
      <c r="J55" s="2">
        <f t="shared" si="1"/>
        <v>508.5</v>
      </c>
      <c r="L55" s="1">
        <f t="shared" si="3"/>
        <v>10.481999999999999</v>
      </c>
      <c r="M55" s="2">
        <f t="shared" si="4"/>
        <v>587.29999999999995</v>
      </c>
      <c r="O55" s="1">
        <f t="shared" si="5"/>
        <v>13.246944444444445</v>
      </c>
      <c r="P55" s="2">
        <f t="shared" si="6"/>
        <v>737.86111111111109</v>
      </c>
    </row>
    <row r="56" spans="1:16" x14ac:dyDescent="0.45">
      <c r="A56" s="12"/>
      <c r="B56" s="4">
        <v>44277</v>
      </c>
      <c r="C56" s="1">
        <v>22.5</v>
      </c>
      <c r="D56">
        <v>1193</v>
      </c>
      <c r="E56" s="2">
        <v>2</v>
      </c>
      <c r="F56" s="2">
        <v>15096</v>
      </c>
      <c r="G56" s="2">
        <f t="shared" si="2"/>
        <v>7156</v>
      </c>
      <c r="I56" s="1">
        <f t="shared" si="0"/>
        <v>12.875</v>
      </c>
      <c r="J56" s="2">
        <f t="shared" si="1"/>
        <v>692.25</v>
      </c>
      <c r="L56" s="1">
        <f t="shared" si="3"/>
        <v>9.9944999999999986</v>
      </c>
      <c r="M56" s="2">
        <f t="shared" si="4"/>
        <v>558</v>
      </c>
      <c r="O56" s="1">
        <f t="shared" si="5"/>
        <v>12.43888888888889</v>
      </c>
      <c r="P56" s="2">
        <f t="shared" si="6"/>
        <v>704.69444444444446</v>
      </c>
    </row>
    <row r="57" spans="1:16" x14ac:dyDescent="0.45">
      <c r="A57" s="12" t="s">
        <v>19</v>
      </c>
      <c r="B57" s="4">
        <v>44284</v>
      </c>
      <c r="C57" s="1">
        <v>20</v>
      </c>
      <c r="D57">
        <v>959</v>
      </c>
      <c r="E57" s="2">
        <v>1</v>
      </c>
      <c r="F57" s="2">
        <v>14199</v>
      </c>
      <c r="G57" s="2">
        <f t="shared" si="2"/>
        <v>10705.75</v>
      </c>
      <c r="I57" s="1">
        <f t="shared" si="0"/>
        <v>17.875</v>
      </c>
      <c r="J57" s="2">
        <f t="shared" si="1"/>
        <v>932</v>
      </c>
      <c r="L57" s="1">
        <f t="shared" si="3"/>
        <v>10.999000000000001</v>
      </c>
      <c r="M57" s="2">
        <f t="shared" si="4"/>
        <v>596.95000000000005</v>
      </c>
      <c r="O57" s="1">
        <f t="shared" si="5"/>
        <v>11.165555555555557</v>
      </c>
      <c r="P57" s="2">
        <f t="shared" si="6"/>
        <v>610.16666666666663</v>
      </c>
    </row>
    <row r="58" spans="1:16" x14ac:dyDescent="0.45">
      <c r="A58" s="12"/>
      <c r="B58" s="4">
        <v>44291</v>
      </c>
      <c r="C58" s="1">
        <v>15</v>
      </c>
      <c r="D58">
        <v>874</v>
      </c>
      <c r="E58" s="2">
        <v>2</v>
      </c>
      <c r="F58" s="2">
        <v>11513</v>
      </c>
      <c r="G58" s="2">
        <f t="shared" si="2"/>
        <v>12777.5</v>
      </c>
      <c r="I58" s="1">
        <f t="shared" si="0"/>
        <v>18.625</v>
      </c>
      <c r="J58" s="2">
        <f t="shared" si="1"/>
        <v>988.25</v>
      </c>
      <c r="L58" s="1">
        <f t="shared" si="3"/>
        <v>13.090999999999999</v>
      </c>
      <c r="M58" s="2">
        <f t="shared" si="4"/>
        <v>703.15</v>
      </c>
      <c r="O58" s="1">
        <f t="shared" si="5"/>
        <v>10.475555555555555</v>
      </c>
      <c r="P58" s="2">
        <f t="shared" si="6"/>
        <v>564.05555555555554</v>
      </c>
    </row>
    <row r="59" spans="1:16" x14ac:dyDescent="0.45">
      <c r="A59" s="12"/>
      <c r="B59" s="4">
        <v>44298</v>
      </c>
      <c r="C59" s="1">
        <v>18</v>
      </c>
      <c r="D59">
        <v>1038</v>
      </c>
      <c r="E59" s="2">
        <v>2</v>
      </c>
      <c r="F59" s="2">
        <v>13568</v>
      </c>
      <c r="G59" s="2">
        <f t="shared" si="2"/>
        <v>13594</v>
      </c>
      <c r="I59" s="1">
        <f t="shared" si="0"/>
        <v>18.875</v>
      </c>
      <c r="J59" s="2">
        <f t="shared" si="1"/>
        <v>1016</v>
      </c>
      <c r="L59" s="1">
        <f t="shared" si="3"/>
        <v>15.432999999999998</v>
      </c>
      <c r="M59" s="2">
        <f t="shared" si="4"/>
        <v>827.4</v>
      </c>
      <c r="O59" s="1">
        <f t="shared" si="5"/>
        <v>11.341111111111111</v>
      </c>
      <c r="P59" s="2">
        <f t="shared" si="6"/>
        <v>628.55555555555554</v>
      </c>
    </row>
    <row r="60" spans="1:16" x14ac:dyDescent="0.45">
      <c r="A60" s="12"/>
      <c r="B60" s="4">
        <v>44305</v>
      </c>
      <c r="C60" s="1">
        <v>12.75</v>
      </c>
      <c r="D60">
        <v>556</v>
      </c>
      <c r="E60" s="2">
        <v>2</v>
      </c>
      <c r="F60" s="2">
        <v>6797</v>
      </c>
      <c r="G60" s="2">
        <f t="shared" si="2"/>
        <v>11519.25</v>
      </c>
      <c r="I60" s="1">
        <f t="shared" si="0"/>
        <v>16.4375</v>
      </c>
      <c r="J60" s="2">
        <f t="shared" si="1"/>
        <v>856.75</v>
      </c>
      <c r="L60" s="1">
        <f t="shared" si="3"/>
        <v>16.9375</v>
      </c>
      <c r="M60" s="2">
        <f t="shared" si="4"/>
        <v>897.05</v>
      </c>
      <c r="O60" s="1">
        <f t="shared" si="5"/>
        <v>13.118055555555555</v>
      </c>
      <c r="P60" s="2">
        <f t="shared" si="6"/>
        <v>698.88888888888891</v>
      </c>
    </row>
    <row r="61" spans="1:16" x14ac:dyDescent="0.45">
      <c r="A61" s="12" t="s">
        <v>20</v>
      </c>
      <c r="B61" s="4">
        <v>44312</v>
      </c>
      <c r="C61" s="1">
        <v>24.33</v>
      </c>
      <c r="D61">
        <v>1271</v>
      </c>
      <c r="E61" s="2">
        <v>1</v>
      </c>
      <c r="F61" s="2">
        <v>17826</v>
      </c>
      <c r="G61" s="2">
        <f t="shared" si="2"/>
        <v>12426</v>
      </c>
      <c r="I61" s="1">
        <f t="shared" si="0"/>
        <v>17.52</v>
      </c>
      <c r="J61" s="2">
        <f t="shared" si="1"/>
        <v>934.75</v>
      </c>
      <c r="L61" s="1">
        <f t="shared" si="3"/>
        <v>17.866499999999998</v>
      </c>
      <c r="M61" s="2">
        <f t="shared" si="4"/>
        <v>945.55</v>
      </c>
      <c r="O61" s="1">
        <f t="shared" si="5"/>
        <v>17.05083333333333</v>
      </c>
      <c r="P61" s="2">
        <f t="shared" si="6"/>
        <v>906.30555555555554</v>
      </c>
    </row>
    <row r="62" spans="1:16" x14ac:dyDescent="0.45">
      <c r="A62" s="12"/>
      <c r="B62" s="4">
        <v>44319</v>
      </c>
      <c r="C62" s="1">
        <v>11.33</v>
      </c>
      <c r="D62">
        <v>500</v>
      </c>
      <c r="E62" s="2">
        <v>0</v>
      </c>
      <c r="F62" s="2">
        <v>7899</v>
      </c>
      <c r="G62" s="2">
        <f t="shared" si="2"/>
        <v>11522.5</v>
      </c>
      <c r="I62" s="1">
        <f t="shared" si="0"/>
        <v>16.602499999999999</v>
      </c>
      <c r="J62" s="2">
        <f t="shared" si="1"/>
        <v>841.25</v>
      </c>
      <c r="L62" s="1">
        <f t="shared" si="3"/>
        <v>17.611999999999998</v>
      </c>
      <c r="M62" s="2">
        <f t="shared" si="4"/>
        <v>927.4</v>
      </c>
      <c r="O62" s="1">
        <f t="shared" si="5"/>
        <v>18.298333333333332</v>
      </c>
      <c r="P62" s="2">
        <f t="shared" si="6"/>
        <v>965.36111111111109</v>
      </c>
    </row>
    <row r="63" spans="1:16" x14ac:dyDescent="0.45">
      <c r="A63" s="12" t="s">
        <v>24</v>
      </c>
      <c r="B63" s="4">
        <v>44326</v>
      </c>
      <c r="C63" s="1">
        <v>18.75</v>
      </c>
      <c r="D63">
        <v>1051</v>
      </c>
      <c r="E63" s="2">
        <v>0</v>
      </c>
      <c r="F63" s="2">
        <v>15184</v>
      </c>
      <c r="G63" s="2">
        <f t="shared" si="2"/>
        <v>11926.5</v>
      </c>
      <c r="I63" s="1">
        <f t="shared" si="0"/>
        <v>16.79</v>
      </c>
      <c r="J63" s="2">
        <f t="shared" si="1"/>
        <v>844.5</v>
      </c>
      <c r="L63" s="1">
        <f t="shared" si="3"/>
        <v>17.245000000000001</v>
      </c>
      <c r="M63" s="2">
        <f t="shared" si="4"/>
        <v>898.65</v>
      </c>
      <c r="O63" s="1">
        <f t="shared" si="5"/>
        <v>18.483333333333334</v>
      </c>
      <c r="P63" s="2">
        <f t="shared" si="6"/>
        <v>966.08333333333337</v>
      </c>
    </row>
    <row r="64" spans="1:16" x14ac:dyDescent="0.45">
      <c r="A64" s="12"/>
      <c r="B64" s="4">
        <v>44333</v>
      </c>
      <c r="C64" s="1">
        <v>11</v>
      </c>
      <c r="D64">
        <v>521</v>
      </c>
      <c r="E64" s="2">
        <v>0</v>
      </c>
      <c r="F64" s="2">
        <v>8229</v>
      </c>
      <c r="G64" s="2">
        <f t="shared" si="2"/>
        <v>12284.5</v>
      </c>
      <c r="I64" s="1">
        <f t="shared" si="0"/>
        <v>16.352499999999999</v>
      </c>
      <c r="J64" s="2">
        <f t="shared" si="1"/>
        <v>835.75</v>
      </c>
      <c r="L64" s="1">
        <f t="shared" si="3"/>
        <v>16.740500000000001</v>
      </c>
      <c r="M64" s="2">
        <f t="shared" si="4"/>
        <v>862.6</v>
      </c>
      <c r="O64" s="1">
        <f t="shared" si="5"/>
        <v>17.126666666666665</v>
      </c>
      <c r="P64" s="2">
        <f t="shared" si="6"/>
        <v>889.02777777777783</v>
      </c>
    </row>
    <row r="65" spans="1:16" x14ac:dyDescent="0.45">
      <c r="A65" s="12"/>
      <c r="B65" s="4">
        <v>44340</v>
      </c>
      <c r="C65" s="1">
        <v>23.5</v>
      </c>
      <c r="D65">
        <v>1329</v>
      </c>
      <c r="E65" s="2">
        <v>0</v>
      </c>
      <c r="F65" s="2">
        <v>16313</v>
      </c>
      <c r="G65" s="2">
        <f t="shared" si="2"/>
        <v>11906.25</v>
      </c>
      <c r="I65" s="1">
        <f t="shared" si="0"/>
        <v>16.145</v>
      </c>
      <c r="J65" s="2">
        <f t="shared" si="1"/>
        <v>850.25</v>
      </c>
      <c r="L65" s="1">
        <f t="shared" si="3"/>
        <v>16.681999999999999</v>
      </c>
      <c r="M65" s="2">
        <f t="shared" si="4"/>
        <v>861.3</v>
      </c>
      <c r="O65" s="1">
        <f t="shared" si="5"/>
        <v>16.422777777777778</v>
      </c>
      <c r="P65" s="2">
        <f t="shared" si="6"/>
        <v>874.25</v>
      </c>
    </row>
    <row r="66" spans="1:16" x14ac:dyDescent="0.45">
      <c r="A66" s="12"/>
      <c r="B66" s="4">
        <v>44347</v>
      </c>
      <c r="C66" s="1">
        <v>11.33</v>
      </c>
      <c r="D66">
        <v>516</v>
      </c>
      <c r="E66" s="2">
        <v>0</v>
      </c>
      <c r="F66" s="2">
        <v>8421</v>
      </c>
      <c r="G66" s="2">
        <f t="shared" si="2"/>
        <v>12036.75</v>
      </c>
      <c r="I66" s="1">
        <f t="shared" si="0"/>
        <v>16.145</v>
      </c>
      <c r="J66" s="2">
        <f t="shared" si="1"/>
        <v>854.25</v>
      </c>
      <c r="L66" s="1">
        <f t="shared" si="3"/>
        <v>16.407</v>
      </c>
      <c r="M66" s="2">
        <f t="shared" si="4"/>
        <v>845.2</v>
      </c>
      <c r="O66" s="1">
        <f t="shared" si="5"/>
        <v>16.728055555555557</v>
      </c>
      <c r="P66" s="2">
        <f t="shared" si="6"/>
        <v>868.41666666666663</v>
      </c>
    </row>
    <row r="67" spans="1:16" x14ac:dyDescent="0.45">
      <c r="A67" s="12"/>
      <c r="B67" s="4">
        <v>44354</v>
      </c>
      <c r="C67" s="1">
        <v>13.66</v>
      </c>
      <c r="D67">
        <v>559</v>
      </c>
      <c r="E67" s="2">
        <v>0</v>
      </c>
      <c r="F67" s="2">
        <v>9583</v>
      </c>
      <c r="G67" s="2">
        <f t="shared" si="2"/>
        <v>10636.5</v>
      </c>
      <c r="I67" s="1">
        <f t="shared" si="0"/>
        <v>14.872499999999999</v>
      </c>
      <c r="J67" s="2">
        <f t="shared" si="1"/>
        <v>731.25</v>
      </c>
      <c r="L67" s="1">
        <f t="shared" si="3"/>
        <v>16.061</v>
      </c>
      <c r="M67" s="2">
        <f t="shared" si="4"/>
        <v>823.2</v>
      </c>
      <c r="O67" s="1">
        <f t="shared" si="5"/>
        <v>16.246111111111112</v>
      </c>
      <c r="P67" s="2">
        <f t="shared" si="6"/>
        <v>812.83333333333337</v>
      </c>
    </row>
    <row r="68" spans="1:16" x14ac:dyDescent="0.45">
      <c r="A68" s="12"/>
      <c r="B68" s="4">
        <v>44361</v>
      </c>
      <c r="C68" s="1">
        <v>11.75</v>
      </c>
      <c r="D68">
        <v>586</v>
      </c>
      <c r="E68" s="2">
        <v>0</v>
      </c>
      <c r="F68" s="2">
        <v>7722</v>
      </c>
      <c r="G68" s="2">
        <f t="shared" si="2"/>
        <v>10509.75</v>
      </c>
      <c r="I68" s="1">
        <f t="shared" si="0"/>
        <v>15.059999999999999</v>
      </c>
      <c r="J68" s="2">
        <f t="shared" si="1"/>
        <v>747.5</v>
      </c>
      <c r="L68" s="1">
        <f t="shared" si="3"/>
        <v>15.715</v>
      </c>
      <c r="M68" s="2">
        <f t="shared" si="4"/>
        <v>803.8</v>
      </c>
      <c r="O68" s="1">
        <f t="shared" si="5"/>
        <v>16.903055555555554</v>
      </c>
      <c r="P68" s="2">
        <f t="shared" si="6"/>
        <v>865.19444444444446</v>
      </c>
    </row>
    <row r="69" spans="1:16" x14ac:dyDescent="0.45">
      <c r="A69" s="12"/>
      <c r="B69" s="4">
        <v>44368</v>
      </c>
      <c r="C69" s="1">
        <v>12.5</v>
      </c>
      <c r="D69">
        <v>616</v>
      </c>
      <c r="E69" s="2">
        <v>0</v>
      </c>
      <c r="F69" s="2">
        <v>10393</v>
      </c>
      <c r="G69" s="2">
        <f t="shared" si="2"/>
        <v>9029.75</v>
      </c>
      <c r="I69" s="1">
        <f t="shared" ref="I69:I132" si="7">AVERAGE(C66:C69)</f>
        <v>12.31</v>
      </c>
      <c r="J69" s="2">
        <f t="shared" ref="J69:J132" si="8">AVERAGE(D66:D69)</f>
        <v>569.25</v>
      </c>
      <c r="L69" s="1">
        <f t="shared" si="3"/>
        <v>14.906499999999999</v>
      </c>
      <c r="M69" s="2">
        <f t="shared" si="4"/>
        <v>750.5</v>
      </c>
      <c r="O69" s="1">
        <f t="shared" si="5"/>
        <v>14.658055555555556</v>
      </c>
      <c r="P69" s="2">
        <f t="shared" si="6"/>
        <v>740.47222222222217</v>
      </c>
    </row>
    <row r="70" spans="1:16" x14ac:dyDescent="0.45">
      <c r="A70" s="12"/>
      <c r="B70" s="4">
        <v>44375</v>
      </c>
      <c r="C70" s="1">
        <v>10.33</v>
      </c>
      <c r="D70">
        <v>519</v>
      </c>
      <c r="E70" s="2">
        <v>0</v>
      </c>
      <c r="F70" s="2">
        <v>8297</v>
      </c>
      <c r="G70" s="2">
        <f t="shared" ref="G70:G133" si="9">AVERAGE(F67:F70)</f>
        <v>8998.75</v>
      </c>
      <c r="I70" s="1">
        <f t="shared" si="7"/>
        <v>12.059999999999999</v>
      </c>
      <c r="J70" s="2">
        <f t="shared" si="8"/>
        <v>570</v>
      </c>
      <c r="L70" s="1">
        <f t="shared" si="3"/>
        <v>14.089499999999997</v>
      </c>
      <c r="M70" s="2">
        <f t="shared" si="4"/>
        <v>694.45</v>
      </c>
      <c r="O70" s="1">
        <f t="shared" si="5"/>
        <v>15.274166666666666</v>
      </c>
      <c r="P70" s="2">
        <f t="shared" si="6"/>
        <v>787.61111111111109</v>
      </c>
    </row>
    <row r="71" spans="1:16" x14ac:dyDescent="0.45">
      <c r="A71" s="12"/>
      <c r="B71" s="4">
        <v>44382</v>
      </c>
      <c r="C71" s="1">
        <v>12.75</v>
      </c>
      <c r="D71">
        <v>697</v>
      </c>
      <c r="E71" s="2">
        <v>0</v>
      </c>
      <c r="F71" s="2">
        <v>10461</v>
      </c>
      <c r="G71" s="2">
        <f t="shared" si="9"/>
        <v>9218.25</v>
      </c>
      <c r="I71" s="1">
        <f t="shared" si="7"/>
        <v>11.8325</v>
      </c>
      <c r="J71" s="2">
        <f t="shared" si="8"/>
        <v>604.5</v>
      </c>
      <c r="L71" s="1">
        <f t="shared" si="3"/>
        <v>13.226999999999999</v>
      </c>
      <c r="M71" s="2">
        <f t="shared" si="4"/>
        <v>644.5</v>
      </c>
      <c r="O71" s="1">
        <f t="shared" si="5"/>
        <v>14.074722222222222</v>
      </c>
      <c r="P71" s="2">
        <f t="shared" si="6"/>
        <v>702.47222222222217</v>
      </c>
    </row>
    <row r="72" spans="1:16" x14ac:dyDescent="0.45">
      <c r="A72" s="12"/>
      <c r="B72" s="4">
        <v>44389</v>
      </c>
      <c r="C72" s="1">
        <v>16</v>
      </c>
      <c r="D72">
        <v>741</v>
      </c>
      <c r="E72" s="2">
        <v>0</v>
      </c>
      <c r="F72" s="2">
        <v>11865</v>
      </c>
      <c r="G72" s="2">
        <f t="shared" si="9"/>
        <v>10254</v>
      </c>
      <c r="I72" s="1">
        <f t="shared" si="7"/>
        <v>12.895</v>
      </c>
      <c r="J72" s="2">
        <f t="shared" si="8"/>
        <v>643.25</v>
      </c>
      <c r="L72" s="1">
        <f t="shared" si="3"/>
        <v>12.8315</v>
      </c>
      <c r="M72" s="2">
        <f t="shared" si="4"/>
        <v>626.9</v>
      </c>
      <c r="O72" s="1">
        <f t="shared" si="5"/>
        <v>14.736388888888889</v>
      </c>
      <c r="P72" s="2">
        <f t="shared" si="6"/>
        <v>741.22222222222217</v>
      </c>
    </row>
    <row r="73" spans="1:16" x14ac:dyDescent="0.45">
      <c r="A73" s="12"/>
      <c r="B73" s="4">
        <v>44396</v>
      </c>
      <c r="C73" s="1">
        <v>17</v>
      </c>
      <c r="D73">
        <v>942</v>
      </c>
      <c r="E73" s="2">
        <v>0</v>
      </c>
      <c r="F73" s="2">
        <v>11651</v>
      </c>
      <c r="G73" s="2">
        <f t="shared" si="9"/>
        <v>10568.5</v>
      </c>
      <c r="I73" s="1">
        <f t="shared" si="7"/>
        <v>14.02</v>
      </c>
      <c r="J73" s="2">
        <f t="shared" si="8"/>
        <v>724.75</v>
      </c>
      <c r="L73" s="1">
        <f t="shared" ref="L73:L136" si="10">((C66)+(2*C67)+(3*C68)+(4*C69)+(4*C70)+(3*C71)+(2*C72)+(C73))/20</f>
        <v>12.6235</v>
      </c>
      <c r="M73" s="2">
        <f t="shared" ref="M73:M136" si="11">((D66)+(2*D67)+(3*D68)+(4*D69)+(4*D70)+(3*D71)+(2*D72)+(D73))/20</f>
        <v>622.35</v>
      </c>
      <c r="O73" s="1">
        <f t="shared" si="5"/>
        <v>12.439722222222223</v>
      </c>
      <c r="P73" s="2">
        <f t="shared" si="6"/>
        <v>589.66666666666663</v>
      </c>
    </row>
    <row r="74" spans="1:16" x14ac:dyDescent="0.45">
      <c r="A74" s="12"/>
      <c r="B74" s="4">
        <v>44403</v>
      </c>
      <c r="C74" s="1">
        <v>12.33</v>
      </c>
      <c r="D74">
        <v>740</v>
      </c>
      <c r="E74" s="2">
        <v>0</v>
      </c>
      <c r="F74" s="2">
        <v>10664</v>
      </c>
      <c r="G74" s="2">
        <f t="shared" si="9"/>
        <v>11160.25</v>
      </c>
      <c r="I74" s="1">
        <f t="shared" si="7"/>
        <v>14.52</v>
      </c>
      <c r="J74" s="2">
        <f t="shared" si="8"/>
        <v>780</v>
      </c>
      <c r="L74" s="1">
        <f t="shared" si="10"/>
        <v>13.0655</v>
      </c>
      <c r="M74" s="2">
        <f t="shared" si="11"/>
        <v>664.5</v>
      </c>
      <c r="O74" s="1">
        <f t="shared" si="5"/>
        <v>12.875277777777777</v>
      </c>
      <c r="P74" s="2">
        <f t="shared" si="6"/>
        <v>625</v>
      </c>
    </row>
    <row r="75" spans="1:16" x14ac:dyDescent="0.45">
      <c r="A75" s="12"/>
      <c r="B75" s="4">
        <v>44410</v>
      </c>
      <c r="C75" s="1">
        <v>17</v>
      </c>
      <c r="D75">
        <v>826</v>
      </c>
      <c r="E75" s="2">
        <v>0</v>
      </c>
      <c r="F75" s="2">
        <v>11012</v>
      </c>
      <c r="G75" s="2">
        <f t="shared" si="9"/>
        <v>11298</v>
      </c>
      <c r="I75" s="1">
        <f t="shared" si="7"/>
        <v>15.5825</v>
      </c>
      <c r="J75" s="2">
        <f t="shared" si="8"/>
        <v>812.25</v>
      </c>
      <c r="L75" s="1">
        <f t="shared" si="10"/>
        <v>13.770000000000001</v>
      </c>
      <c r="M75" s="2">
        <f t="shared" si="11"/>
        <v>712.95</v>
      </c>
      <c r="O75" s="1">
        <f t="shared" si="5"/>
        <v>12.885833333333332</v>
      </c>
      <c r="P75" s="2">
        <f t="shared" si="6"/>
        <v>658.19444444444446</v>
      </c>
    </row>
    <row r="76" spans="1:16" x14ac:dyDescent="0.45">
      <c r="A76" s="12"/>
      <c r="B76" s="4">
        <v>44417</v>
      </c>
      <c r="C76" s="1">
        <v>13</v>
      </c>
      <c r="D76">
        <v>677</v>
      </c>
      <c r="E76" s="2">
        <v>0</v>
      </c>
      <c r="F76" s="2">
        <v>10395</v>
      </c>
      <c r="G76" s="2">
        <f t="shared" si="9"/>
        <v>10930.5</v>
      </c>
      <c r="I76" s="1">
        <f t="shared" si="7"/>
        <v>14.8325</v>
      </c>
      <c r="J76" s="2">
        <f t="shared" si="8"/>
        <v>796.25</v>
      </c>
      <c r="L76" s="1">
        <f t="shared" si="10"/>
        <v>14.37</v>
      </c>
      <c r="M76" s="2">
        <f t="shared" si="11"/>
        <v>751.3</v>
      </c>
      <c r="O76" s="1">
        <f t="shared" si="5"/>
        <v>13.355555555555556</v>
      </c>
      <c r="P76" s="2">
        <f t="shared" si="6"/>
        <v>687.91666666666663</v>
      </c>
    </row>
    <row r="77" spans="1:16" x14ac:dyDescent="0.45">
      <c r="A77" s="12"/>
      <c r="B77" s="4">
        <v>44424</v>
      </c>
      <c r="C77" s="1">
        <v>16</v>
      </c>
      <c r="D77">
        <v>702</v>
      </c>
      <c r="E77" s="2">
        <v>0</v>
      </c>
      <c r="F77" s="2">
        <v>12273</v>
      </c>
      <c r="G77" s="2">
        <f t="shared" si="9"/>
        <v>11086</v>
      </c>
      <c r="I77" s="1">
        <f t="shared" si="7"/>
        <v>14.5825</v>
      </c>
      <c r="J77" s="2">
        <f t="shared" si="8"/>
        <v>736.25</v>
      </c>
      <c r="L77" s="1">
        <f t="shared" si="10"/>
        <v>14.7075</v>
      </c>
      <c r="M77" s="2">
        <f t="shared" si="11"/>
        <v>769.9</v>
      </c>
      <c r="O77" s="1">
        <f t="shared" ref="O77:O140" si="12">((C77)+(C76*2)+(C75*3)+(C74*4)+(C73*5)+(C72*6)+(C71*7)+(C70*8))/36</f>
        <v>13.755833333333333</v>
      </c>
      <c r="P77" s="2">
        <f t="shared" ref="P77:P140" si="13">((D77)+(D76*2)+(D75*3)+(D74*4)+(D73*5)+(D72*6)+(D71*7)+(D70*8))/36</f>
        <v>713.36111111111109</v>
      </c>
    </row>
    <row r="78" spans="1:16" x14ac:dyDescent="0.45">
      <c r="A78" s="12"/>
      <c r="B78" s="4">
        <v>44431</v>
      </c>
      <c r="C78" s="1">
        <v>14.5</v>
      </c>
      <c r="D78">
        <v>748</v>
      </c>
      <c r="E78" s="2">
        <v>0</v>
      </c>
      <c r="F78" s="2">
        <v>11848</v>
      </c>
      <c r="G78" s="2">
        <f t="shared" si="9"/>
        <v>11382</v>
      </c>
      <c r="I78" s="1">
        <f t="shared" si="7"/>
        <v>15.125</v>
      </c>
      <c r="J78" s="2">
        <f t="shared" si="8"/>
        <v>738.25</v>
      </c>
      <c r="L78" s="1">
        <f t="shared" si="10"/>
        <v>14.9285</v>
      </c>
      <c r="M78" s="2">
        <f t="shared" si="11"/>
        <v>772.6</v>
      </c>
      <c r="O78" s="1">
        <f t="shared" si="12"/>
        <v>14.754166666666666</v>
      </c>
      <c r="P78" s="2">
        <f t="shared" si="13"/>
        <v>766.72222222222217</v>
      </c>
    </row>
    <row r="79" spans="1:16" x14ac:dyDescent="0.45">
      <c r="A79" s="12"/>
      <c r="B79" s="4">
        <v>44438</v>
      </c>
      <c r="C79" s="1">
        <v>18.5</v>
      </c>
      <c r="D79">
        <v>781</v>
      </c>
      <c r="E79" s="2">
        <v>0</v>
      </c>
      <c r="F79" s="2">
        <v>13861</v>
      </c>
      <c r="G79" s="2">
        <f t="shared" si="9"/>
        <v>12094.25</v>
      </c>
      <c r="I79" s="1">
        <f t="shared" si="7"/>
        <v>15.5</v>
      </c>
      <c r="J79" s="2">
        <f t="shared" si="8"/>
        <v>727</v>
      </c>
      <c r="L79" s="1">
        <f t="shared" si="10"/>
        <v>15.124500000000001</v>
      </c>
      <c r="M79" s="2">
        <f t="shared" si="11"/>
        <v>762</v>
      </c>
      <c r="O79" s="1">
        <f t="shared" si="12"/>
        <v>15.374444444444444</v>
      </c>
      <c r="P79" s="2">
        <f t="shared" si="13"/>
        <v>782.86111111111109</v>
      </c>
    </row>
    <row r="80" spans="1:16" x14ac:dyDescent="0.45">
      <c r="A80" s="12"/>
      <c r="B80" s="4">
        <v>44445</v>
      </c>
      <c r="C80" s="1">
        <v>9.25</v>
      </c>
      <c r="D80">
        <v>356</v>
      </c>
      <c r="E80" s="2">
        <v>0</v>
      </c>
      <c r="F80" s="2">
        <v>6874</v>
      </c>
      <c r="G80" s="2">
        <f t="shared" si="9"/>
        <v>11214</v>
      </c>
      <c r="I80" s="1">
        <f t="shared" si="7"/>
        <v>14.5625</v>
      </c>
      <c r="J80" s="2">
        <f t="shared" si="8"/>
        <v>646.75</v>
      </c>
      <c r="L80" s="1">
        <f t="shared" si="10"/>
        <v>14.920499999999999</v>
      </c>
      <c r="M80" s="2">
        <f t="shared" si="11"/>
        <v>728.9</v>
      </c>
      <c r="O80" s="1">
        <f t="shared" si="12"/>
        <v>15.084999999999999</v>
      </c>
      <c r="P80" s="2">
        <f t="shared" si="13"/>
        <v>778.52777777777783</v>
      </c>
    </row>
    <row r="81" spans="1:16" x14ac:dyDescent="0.45">
      <c r="A81" s="12"/>
      <c r="B81" s="4">
        <v>44452</v>
      </c>
      <c r="C81" s="1">
        <v>16.75</v>
      </c>
      <c r="D81">
        <v>844</v>
      </c>
      <c r="E81" s="2">
        <v>0</v>
      </c>
      <c r="F81" s="2">
        <v>12953</v>
      </c>
      <c r="G81" s="2">
        <f t="shared" si="9"/>
        <v>11384</v>
      </c>
      <c r="I81" s="1">
        <f t="shared" si="7"/>
        <v>14.75</v>
      </c>
      <c r="J81" s="2">
        <f t="shared" si="8"/>
        <v>682.25</v>
      </c>
      <c r="L81" s="1">
        <f t="shared" si="10"/>
        <v>14.904</v>
      </c>
      <c r="M81" s="2">
        <f t="shared" si="11"/>
        <v>706.1</v>
      </c>
      <c r="O81" s="1">
        <f t="shared" si="12"/>
        <v>14.566388888888888</v>
      </c>
      <c r="P81" s="2">
        <f t="shared" si="13"/>
        <v>726.80555555555554</v>
      </c>
    </row>
    <row r="82" spans="1:16" x14ac:dyDescent="0.45">
      <c r="A82" s="12"/>
      <c r="B82" s="4">
        <v>44459</v>
      </c>
      <c r="C82" s="1">
        <v>12.25</v>
      </c>
      <c r="D82">
        <v>515</v>
      </c>
      <c r="E82" s="2">
        <v>0</v>
      </c>
      <c r="F82" s="2">
        <v>9870</v>
      </c>
      <c r="G82" s="2">
        <f t="shared" si="9"/>
        <v>10889.5</v>
      </c>
      <c r="I82" s="1">
        <f t="shared" si="7"/>
        <v>14.1875</v>
      </c>
      <c r="J82" s="2">
        <f t="shared" si="8"/>
        <v>624</v>
      </c>
      <c r="L82" s="1">
        <f t="shared" si="10"/>
        <v>14.824999999999999</v>
      </c>
      <c r="M82" s="2">
        <f t="shared" si="11"/>
        <v>683.65</v>
      </c>
      <c r="O82" s="1">
        <f t="shared" si="12"/>
        <v>15.083333333333334</v>
      </c>
      <c r="P82" s="2">
        <f t="shared" si="13"/>
        <v>713.72222222222217</v>
      </c>
    </row>
    <row r="83" spans="1:16" x14ac:dyDescent="0.45">
      <c r="A83" s="12"/>
      <c r="B83" s="4">
        <v>44466</v>
      </c>
      <c r="C83" s="1">
        <v>13.33</v>
      </c>
      <c r="D83">
        <v>712</v>
      </c>
      <c r="E83" s="2">
        <v>0</v>
      </c>
      <c r="F83" s="2">
        <v>11337</v>
      </c>
      <c r="G83" s="2">
        <f t="shared" si="9"/>
        <v>10258.5</v>
      </c>
      <c r="I83" s="1">
        <f t="shared" si="7"/>
        <v>12.895</v>
      </c>
      <c r="J83" s="2">
        <f t="shared" si="8"/>
        <v>606.75</v>
      </c>
      <c r="L83" s="1">
        <f t="shared" si="10"/>
        <v>14.379</v>
      </c>
      <c r="M83" s="2">
        <f t="shared" si="11"/>
        <v>657.35</v>
      </c>
      <c r="O83" s="1">
        <f t="shared" si="12"/>
        <v>14.460555555555553</v>
      </c>
      <c r="P83" s="2">
        <f t="shared" si="13"/>
        <v>678.36111111111109</v>
      </c>
    </row>
    <row r="84" spans="1:16" x14ac:dyDescent="0.45">
      <c r="A84" s="12" t="s">
        <v>27</v>
      </c>
      <c r="B84" s="4">
        <v>44473</v>
      </c>
      <c r="C84" s="1">
        <v>3.5</v>
      </c>
      <c r="D84">
        <v>230</v>
      </c>
      <c r="E84" s="2">
        <v>0</v>
      </c>
      <c r="F84" s="2">
        <v>3279</v>
      </c>
      <c r="G84" s="2">
        <f t="shared" si="9"/>
        <v>9359.75</v>
      </c>
      <c r="I84" s="1">
        <f t="shared" si="7"/>
        <v>11.4575</v>
      </c>
      <c r="J84" s="2">
        <f t="shared" si="8"/>
        <v>575.25</v>
      </c>
      <c r="L84" s="1">
        <f t="shared" si="10"/>
        <v>13.570500000000001</v>
      </c>
      <c r="M84" s="2">
        <f t="shared" si="11"/>
        <v>627</v>
      </c>
      <c r="O84" s="1">
        <f t="shared" si="12"/>
        <v>14.462777777777777</v>
      </c>
      <c r="P84" s="2">
        <f t="shared" si="13"/>
        <v>663.69444444444446</v>
      </c>
    </row>
    <row r="85" spans="1:16" x14ac:dyDescent="0.45">
      <c r="A85" s="12"/>
      <c r="B85" s="4">
        <v>44480</v>
      </c>
      <c r="C85" s="1">
        <v>12.66</v>
      </c>
      <c r="D85">
        <v>496</v>
      </c>
      <c r="E85" s="2">
        <v>0</v>
      </c>
      <c r="F85" s="2">
        <v>9787</v>
      </c>
      <c r="G85" s="2">
        <f t="shared" si="9"/>
        <v>8568.25</v>
      </c>
      <c r="I85" s="1">
        <f t="shared" si="7"/>
        <v>10.434999999999999</v>
      </c>
      <c r="J85" s="2">
        <f t="shared" si="8"/>
        <v>488.25</v>
      </c>
      <c r="L85" s="1">
        <f t="shared" si="10"/>
        <v>12.745000000000001</v>
      </c>
      <c r="M85" s="2">
        <f t="shared" si="11"/>
        <v>595.29999999999995</v>
      </c>
      <c r="O85" s="1">
        <f t="shared" si="12"/>
        <v>13.705555555555556</v>
      </c>
      <c r="P85" s="2">
        <f t="shared" si="13"/>
        <v>637.75</v>
      </c>
    </row>
    <row r="86" spans="1:16" x14ac:dyDescent="0.45">
      <c r="A86" s="12"/>
      <c r="B86" s="4">
        <v>44487</v>
      </c>
      <c r="C86" s="1">
        <v>10.33</v>
      </c>
      <c r="D86">
        <v>486</v>
      </c>
      <c r="E86" s="2">
        <v>0</v>
      </c>
      <c r="F86" s="2">
        <v>8302</v>
      </c>
      <c r="G86" s="2">
        <f t="shared" si="9"/>
        <v>8176.25</v>
      </c>
      <c r="I86" s="1">
        <f t="shared" si="7"/>
        <v>9.9550000000000001</v>
      </c>
      <c r="J86" s="2">
        <f t="shared" si="8"/>
        <v>481</v>
      </c>
      <c r="L86" s="1">
        <f t="shared" si="10"/>
        <v>11.786</v>
      </c>
      <c r="M86" s="2">
        <f t="shared" si="11"/>
        <v>555.04999999999995</v>
      </c>
      <c r="O86" s="1">
        <f t="shared" si="12"/>
        <v>13.165833333333333</v>
      </c>
      <c r="P86" s="2">
        <f t="shared" si="13"/>
        <v>594.30555555555554</v>
      </c>
    </row>
    <row r="87" spans="1:16" x14ac:dyDescent="0.45">
      <c r="A87" s="12"/>
      <c r="B87" s="4">
        <v>44494</v>
      </c>
      <c r="C87" s="1">
        <v>13.33</v>
      </c>
      <c r="D87">
        <v>566</v>
      </c>
      <c r="E87" s="2">
        <v>0</v>
      </c>
      <c r="F87" s="2">
        <v>5945</v>
      </c>
      <c r="G87" s="2">
        <f t="shared" si="9"/>
        <v>6828.25</v>
      </c>
      <c r="I87" s="1">
        <f t="shared" si="7"/>
        <v>9.9550000000000001</v>
      </c>
      <c r="J87" s="2">
        <f t="shared" si="8"/>
        <v>444.5</v>
      </c>
      <c r="L87" s="1">
        <f t="shared" si="10"/>
        <v>10.939500000000001</v>
      </c>
      <c r="M87" s="2">
        <f t="shared" si="11"/>
        <v>519.15</v>
      </c>
      <c r="O87" s="1">
        <f t="shared" si="12"/>
        <v>11.593611111111111</v>
      </c>
      <c r="P87" s="2">
        <f t="shared" si="13"/>
        <v>537.55555555555554</v>
      </c>
    </row>
    <row r="88" spans="1:16" x14ac:dyDescent="0.45">
      <c r="A88" s="12" t="s">
        <v>88</v>
      </c>
      <c r="B88" s="4">
        <v>44501</v>
      </c>
      <c r="C88" s="1">
        <v>22.75</v>
      </c>
      <c r="D88">
        <v>1201</v>
      </c>
      <c r="E88" s="2">
        <v>0</v>
      </c>
      <c r="F88" s="2">
        <v>17977</v>
      </c>
      <c r="G88" s="2">
        <f t="shared" si="9"/>
        <v>10502.75</v>
      </c>
      <c r="I88" s="1">
        <f t="shared" si="7"/>
        <v>14.7675</v>
      </c>
      <c r="J88" s="2">
        <f t="shared" si="8"/>
        <v>687.25</v>
      </c>
      <c r="L88" s="1">
        <f t="shared" si="10"/>
        <v>11.314</v>
      </c>
      <c r="M88" s="2">
        <f t="shared" si="11"/>
        <v>535.25</v>
      </c>
      <c r="O88" s="1">
        <f t="shared" si="12"/>
        <v>12.451944444444445</v>
      </c>
      <c r="P88" s="2">
        <f t="shared" si="13"/>
        <v>598.72222222222217</v>
      </c>
    </row>
    <row r="89" spans="1:16" x14ac:dyDescent="0.45">
      <c r="A89" s="12"/>
      <c r="B89" s="4">
        <v>44508</v>
      </c>
      <c r="C89" s="1">
        <v>0</v>
      </c>
      <c r="D89">
        <v>0</v>
      </c>
      <c r="E89" s="2">
        <v>0</v>
      </c>
      <c r="F89" s="2">
        <v>0</v>
      </c>
      <c r="G89" s="2">
        <f t="shared" si="9"/>
        <v>8056</v>
      </c>
      <c r="I89" s="1">
        <f t="shared" si="7"/>
        <v>11.602499999999999</v>
      </c>
      <c r="J89" s="2">
        <f t="shared" si="8"/>
        <v>563.25</v>
      </c>
      <c r="L89" s="1">
        <f t="shared" si="10"/>
        <v>11.343</v>
      </c>
      <c r="M89" s="2">
        <f t="shared" si="11"/>
        <v>532.85</v>
      </c>
      <c r="O89" s="1">
        <f t="shared" si="12"/>
        <v>11.178333333333335</v>
      </c>
      <c r="P89" s="2">
        <f t="shared" si="13"/>
        <v>528</v>
      </c>
    </row>
    <row r="90" spans="1:16" x14ac:dyDescent="0.45">
      <c r="A90" s="12"/>
      <c r="B90" s="4">
        <v>44515</v>
      </c>
      <c r="C90" s="1">
        <v>3.33</v>
      </c>
      <c r="D90">
        <v>145</v>
      </c>
      <c r="E90" s="2">
        <v>1</v>
      </c>
      <c r="F90" s="2">
        <v>2500</v>
      </c>
      <c r="G90" s="2">
        <f t="shared" si="9"/>
        <v>6605.5</v>
      </c>
      <c r="I90" s="1">
        <f t="shared" si="7"/>
        <v>9.8524999999999991</v>
      </c>
      <c r="J90" s="2">
        <f t="shared" si="8"/>
        <v>478</v>
      </c>
      <c r="L90" s="1">
        <f t="shared" si="10"/>
        <v>11.2265</v>
      </c>
      <c r="M90" s="2">
        <f t="shared" si="11"/>
        <v>530.79999999999995</v>
      </c>
      <c r="O90" s="1">
        <f t="shared" si="12"/>
        <v>10.656944444444443</v>
      </c>
      <c r="P90" s="2">
        <f t="shared" si="13"/>
        <v>520.11111111111109</v>
      </c>
    </row>
    <row r="91" spans="1:16" x14ac:dyDescent="0.45">
      <c r="A91" s="12"/>
      <c r="B91" s="4">
        <v>44522</v>
      </c>
      <c r="C91" s="1">
        <v>2.25</v>
      </c>
      <c r="D91">
        <v>638</v>
      </c>
      <c r="E91" s="2">
        <v>2</v>
      </c>
      <c r="F91" s="2">
        <v>6209</v>
      </c>
      <c r="G91" s="2">
        <f t="shared" si="9"/>
        <v>6671.5</v>
      </c>
      <c r="I91" s="1">
        <f t="shared" si="7"/>
        <v>7.0824999999999996</v>
      </c>
      <c r="J91" s="2">
        <f t="shared" si="8"/>
        <v>496</v>
      </c>
      <c r="L91" s="1">
        <f t="shared" si="10"/>
        <v>10.651999999999999</v>
      </c>
      <c r="M91" s="2">
        <f t="shared" si="11"/>
        <v>533.79999999999995</v>
      </c>
      <c r="O91" s="1">
        <f t="shared" si="12"/>
        <v>9.5877777777777791</v>
      </c>
      <c r="P91" s="2">
        <f t="shared" si="13"/>
        <v>466.38888888888891</v>
      </c>
    </row>
    <row r="92" spans="1:16" x14ac:dyDescent="0.45">
      <c r="A92" s="12"/>
      <c r="B92" s="4">
        <v>44529</v>
      </c>
      <c r="C92" s="1">
        <v>16</v>
      </c>
      <c r="D92">
        <v>638</v>
      </c>
      <c r="E92" s="2">
        <v>2</v>
      </c>
      <c r="F92" s="2">
        <v>6209</v>
      </c>
      <c r="G92" s="2">
        <f t="shared" si="9"/>
        <v>3729.5</v>
      </c>
      <c r="I92" s="1">
        <f t="shared" si="7"/>
        <v>5.3949999999999996</v>
      </c>
      <c r="J92" s="2">
        <f t="shared" si="8"/>
        <v>355.25</v>
      </c>
      <c r="L92" s="1">
        <f t="shared" si="10"/>
        <v>9.74</v>
      </c>
      <c r="M92" s="2">
        <f t="shared" si="11"/>
        <v>515.95000000000005</v>
      </c>
      <c r="O92" s="1">
        <f t="shared" si="12"/>
        <v>11.050277777777779</v>
      </c>
      <c r="P92" s="2">
        <f t="shared" si="13"/>
        <v>531.11111111111109</v>
      </c>
    </row>
    <row r="93" spans="1:16" x14ac:dyDescent="0.45">
      <c r="A93" s="12"/>
      <c r="B93" s="4">
        <v>44536</v>
      </c>
      <c r="C93" s="1">
        <v>15.75</v>
      </c>
      <c r="D93">
        <v>720</v>
      </c>
      <c r="E93" s="2">
        <v>0</v>
      </c>
      <c r="F93" s="2">
        <v>10384</v>
      </c>
      <c r="G93" s="2">
        <f t="shared" si="9"/>
        <v>6325.5</v>
      </c>
      <c r="I93" s="1">
        <f t="shared" si="7"/>
        <v>9.3324999999999996</v>
      </c>
      <c r="J93" s="2">
        <f t="shared" si="8"/>
        <v>535.25</v>
      </c>
      <c r="L93" s="1">
        <f t="shared" si="10"/>
        <v>8.6530000000000005</v>
      </c>
      <c r="M93" s="2">
        <f t="shared" si="11"/>
        <v>485.55</v>
      </c>
      <c r="O93" s="1">
        <f t="shared" si="12"/>
        <v>10.563055555555556</v>
      </c>
      <c r="P93" s="2">
        <f t="shared" si="13"/>
        <v>542.94444444444446</v>
      </c>
    </row>
    <row r="94" spans="1:16" x14ac:dyDescent="0.45">
      <c r="A94" s="12"/>
      <c r="B94" s="4">
        <v>44543</v>
      </c>
      <c r="C94" s="1">
        <v>12.5</v>
      </c>
      <c r="D94">
        <v>593</v>
      </c>
      <c r="E94" s="2">
        <v>1</v>
      </c>
      <c r="F94" s="2">
        <v>8101</v>
      </c>
      <c r="G94" s="2">
        <f t="shared" si="9"/>
        <v>7725.75</v>
      </c>
      <c r="I94" s="1">
        <f t="shared" si="7"/>
        <v>11.625</v>
      </c>
      <c r="J94" s="2">
        <f t="shared" si="8"/>
        <v>647.25</v>
      </c>
      <c r="L94" s="1">
        <f t="shared" si="10"/>
        <v>8.6575000000000006</v>
      </c>
      <c r="M94" s="2">
        <f t="shared" si="11"/>
        <v>502.35</v>
      </c>
      <c r="O94" s="1">
        <f t="shared" si="12"/>
        <v>10.653888888888888</v>
      </c>
      <c r="P94" s="2">
        <f t="shared" si="13"/>
        <v>559.97222222222217</v>
      </c>
    </row>
    <row r="95" spans="1:16" x14ac:dyDescent="0.45">
      <c r="A95" s="12"/>
      <c r="B95" s="4">
        <v>44550</v>
      </c>
      <c r="C95" s="1">
        <v>13.25</v>
      </c>
      <c r="D95">
        <v>650</v>
      </c>
      <c r="E95" s="2">
        <v>1</v>
      </c>
      <c r="F95" s="2">
        <v>10753</v>
      </c>
      <c r="G95" s="2">
        <f t="shared" si="9"/>
        <v>8861.75</v>
      </c>
      <c r="I95" s="1">
        <f t="shared" si="7"/>
        <v>14.375</v>
      </c>
      <c r="J95" s="2">
        <f t="shared" si="8"/>
        <v>650.25</v>
      </c>
      <c r="L95" s="1">
        <f t="shared" si="10"/>
        <v>9.5620000000000012</v>
      </c>
      <c r="M95" s="2">
        <f t="shared" si="11"/>
        <v>536.79999999999995</v>
      </c>
      <c r="O95" s="1">
        <f t="shared" si="12"/>
        <v>10.075833333333334</v>
      </c>
      <c r="P95" s="2">
        <f t="shared" si="13"/>
        <v>561.55555555555554</v>
      </c>
    </row>
    <row r="96" spans="1:16" x14ac:dyDescent="0.45">
      <c r="A96" s="12"/>
      <c r="B96" s="4">
        <v>44557</v>
      </c>
      <c r="C96" s="1">
        <v>17</v>
      </c>
      <c r="D96">
        <v>875</v>
      </c>
      <c r="E96" s="2">
        <v>0</v>
      </c>
      <c r="F96" s="2">
        <v>14016</v>
      </c>
      <c r="G96" s="2">
        <f t="shared" si="9"/>
        <v>10813.5</v>
      </c>
      <c r="I96" s="1">
        <f t="shared" si="7"/>
        <v>14.625</v>
      </c>
      <c r="J96" s="2">
        <f t="shared" si="8"/>
        <v>709.5</v>
      </c>
      <c r="L96" s="1">
        <f t="shared" si="10"/>
        <v>11.070499999999999</v>
      </c>
      <c r="M96" s="2">
        <f t="shared" si="11"/>
        <v>579.5</v>
      </c>
      <c r="O96" s="1">
        <f t="shared" si="12"/>
        <v>7.2447222222222223</v>
      </c>
      <c r="P96" s="2">
        <f t="shared" si="13"/>
        <v>412.97222222222223</v>
      </c>
    </row>
    <row r="97" spans="1:16" x14ac:dyDescent="0.45">
      <c r="A97" s="12" t="s">
        <v>29</v>
      </c>
      <c r="B97" s="4">
        <v>44564</v>
      </c>
      <c r="C97" s="1">
        <v>20</v>
      </c>
      <c r="D97">
        <v>1023</v>
      </c>
      <c r="E97" s="21">
        <v>0</v>
      </c>
      <c r="F97" s="2">
        <v>16462</v>
      </c>
      <c r="G97" s="2">
        <f t="shared" si="9"/>
        <v>12333</v>
      </c>
      <c r="I97" s="1">
        <f t="shared" si="7"/>
        <v>15.6875</v>
      </c>
      <c r="J97" s="2">
        <f t="shared" si="8"/>
        <v>785.25</v>
      </c>
      <c r="L97" s="1">
        <f t="shared" si="10"/>
        <v>13.129</v>
      </c>
      <c r="M97" s="2">
        <f t="shared" si="11"/>
        <v>665.5</v>
      </c>
      <c r="O97" s="1">
        <f t="shared" si="12"/>
        <v>10.024722222222222</v>
      </c>
      <c r="P97" s="2">
        <f t="shared" si="13"/>
        <v>559.69444444444446</v>
      </c>
    </row>
    <row r="98" spans="1:16" x14ac:dyDescent="0.45">
      <c r="A98" s="12"/>
      <c r="B98" s="4">
        <v>44571</v>
      </c>
      <c r="C98" s="1">
        <v>11.25</v>
      </c>
      <c r="D98">
        <v>598</v>
      </c>
      <c r="E98" s="2">
        <v>1</v>
      </c>
      <c r="F98" s="2">
        <v>8242</v>
      </c>
      <c r="G98" s="2">
        <f t="shared" si="9"/>
        <v>12368.25</v>
      </c>
      <c r="I98" s="1">
        <f t="shared" si="7"/>
        <v>15.375</v>
      </c>
      <c r="J98" s="2">
        <f t="shared" si="8"/>
        <v>786.5</v>
      </c>
      <c r="L98" s="1">
        <f t="shared" si="10"/>
        <v>14.3375</v>
      </c>
      <c r="M98" s="2">
        <f t="shared" si="11"/>
        <v>715.75</v>
      </c>
      <c r="O98" s="1">
        <f t="shared" si="12"/>
        <v>12.284722222222221</v>
      </c>
      <c r="P98" s="2">
        <f t="shared" si="13"/>
        <v>686.77777777777783</v>
      </c>
    </row>
    <row r="99" spans="1:16" x14ac:dyDescent="0.45">
      <c r="A99" s="12"/>
      <c r="B99" s="4">
        <v>44578</v>
      </c>
      <c r="C99" s="1">
        <v>17</v>
      </c>
      <c r="D99">
        <v>878</v>
      </c>
      <c r="E99" s="2">
        <v>2</v>
      </c>
      <c r="F99" s="2">
        <v>12392</v>
      </c>
      <c r="G99" s="2">
        <f t="shared" si="9"/>
        <v>12778</v>
      </c>
      <c r="I99" s="1">
        <f t="shared" si="7"/>
        <v>16.3125</v>
      </c>
      <c r="J99" s="2">
        <f t="shared" si="8"/>
        <v>843.5</v>
      </c>
      <c r="L99" s="1">
        <f t="shared" si="10"/>
        <v>15.275</v>
      </c>
      <c r="M99" s="2">
        <f t="shared" si="11"/>
        <v>755</v>
      </c>
      <c r="O99" s="1">
        <f t="shared" si="12"/>
        <v>15.194444444444445</v>
      </c>
      <c r="P99" s="2">
        <f t="shared" si="13"/>
        <v>710.97222222222217</v>
      </c>
    </row>
    <row r="100" spans="1:16" x14ac:dyDescent="0.45">
      <c r="A100" s="12"/>
      <c r="B100" s="4">
        <v>44585</v>
      </c>
      <c r="C100" s="1">
        <v>13.25</v>
      </c>
      <c r="D100">
        <v>794</v>
      </c>
      <c r="E100" s="2">
        <v>2</v>
      </c>
      <c r="F100" s="2">
        <v>10755</v>
      </c>
      <c r="G100" s="2">
        <f t="shared" si="9"/>
        <v>11962.75</v>
      </c>
      <c r="I100" s="1">
        <f t="shared" si="7"/>
        <v>15.375</v>
      </c>
      <c r="J100" s="2">
        <f t="shared" si="8"/>
        <v>823.25</v>
      </c>
      <c r="L100" s="1">
        <f t="shared" si="10"/>
        <v>15.475</v>
      </c>
      <c r="M100" s="2">
        <f t="shared" si="11"/>
        <v>789.6</v>
      </c>
      <c r="O100" s="1">
        <f t="shared" si="12"/>
        <v>14.972222222222221</v>
      </c>
      <c r="P100" s="2">
        <f t="shared" si="13"/>
        <v>739.5</v>
      </c>
    </row>
    <row r="101" spans="1:16" x14ac:dyDescent="0.45">
      <c r="A101" s="12"/>
      <c r="B101" s="4">
        <v>44592</v>
      </c>
      <c r="C101" s="1">
        <v>9.5</v>
      </c>
      <c r="D101">
        <v>494</v>
      </c>
      <c r="E101" s="2">
        <v>1</v>
      </c>
      <c r="F101" s="2">
        <v>7024</v>
      </c>
      <c r="G101" s="2">
        <f t="shared" si="9"/>
        <v>9603.25</v>
      </c>
      <c r="I101" s="1">
        <f t="shared" si="7"/>
        <v>12.75</v>
      </c>
      <c r="J101" s="2">
        <f t="shared" si="8"/>
        <v>691</v>
      </c>
      <c r="L101" s="1">
        <f t="shared" si="10"/>
        <v>15.1</v>
      </c>
      <c r="M101" s="2">
        <f t="shared" si="11"/>
        <v>785.9</v>
      </c>
      <c r="O101" s="1">
        <f t="shared" si="12"/>
        <v>14.631944444444445</v>
      </c>
      <c r="P101" s="2">
        <f t="shared" si="13"/>
        <v>743.52777777777783</v>
      </c>
    </row>
    <row r="102" spans="1:16" x14ac:dyDescent="0.45">
      <c r="A102" s="12"/>
      <c r="B102" s="4">
        <v>44599</v>
      </c>
      <c r="C102" s="1">
        <v>11.33</v>
      </c>
      <c r="D102">
        <v>634</v>
      </c>
      <c r="E102" s="2">
        <v>1</v>
      </c>
      <c r="F102" s="2">
        <v>9536</v>
      </c>
      <c r="G102" s="2">
        <f t="shared" si="9"/>
        <v>9926.75</v>
      </c>
      <c r="I102" s="1">
        <f t="shared" si="7"/>
        <v>12.77</v>
      </c>
      <c r="J102" s="2">
        <f t="shared" si="8"/>
        <v>700</v>
      </c>
      <c r="L102" s="1">
        <f t="shared" si="10"/>
        <v>14.516499999999999</v>
      </c>
      <c r="M102" s="2">
        <f t="shared" si="11"/>
        <v>768.85</v>
      </c>
      <c r="O102" s="1">
        <f t="shared" si="12"/>
        <v>14.981388888888887</v>
      </c>
      <c r="P102" s="2">
        <f t="shared" si="13"/>
        <v>776.91666666666663</v>
      </c>
    </row>
    <row r="103" spans="1:16" x14ac:dyDescent="0.45">
      <c r="A103" s="12"/>
      <c r="B103" s="4">
        <v>44606</v>
      </c>
      <c r="C103" s="1">
        <v>11.5</v>
      </c>
      <c r="D103">
        <v>529</v>
      </c>
      <c r="E103" s="2">
        <v>2</v>
      </c>
      <c r="F103" s="2">
        <v>7557</v>
      </c>
      <c r="G103" s="2">
        <f t="shared" si="9"/>
        <v>8718</v>
      </c>
      <c r="I103" s="1">
        <f t="shared" si="7"/>
        <v>11.395</v>
      </c>
      <c r="J103" s="2">
        <f t="shared" si="8"/>
        <v>612.75</v>
      </c>
      <c r="L103" s="1">
        <f t="shared" si="10"/>
        <v>13.720500000000001</v>
      </c>
      <c r="M103" s="2">
        <f t="shared" si="11"/>
        <v>734.1</v>
      </c>
      <c r="O103" s="1">
        <f t="shared" si="12"/>
        <v>15.115555555555554</v>
      </c>
      <c r="P103" s="2">
        <f t="shared" si="13"/>
        <v>794.27777777777783</v>
      </c>
    </row>
    <row r="104" spans="1:16" x14ac:dyDescent="0.45">
      <c r="A104" s="12"/>
      <c r="B104" s="4">
        <v>44613</v>
      </c>
      <c r="C104" s="1">
        <v>17.25</v>
      </c>
      <c r="D104">
        <v>840</v>
      </c>
      <c r="E104" s="2">
        <v>2</v>
      </c>
      <c r="F104" s="2">
        <v>12402</v>
      </c>
      <c r="G104" s="2">
        <f t="shared" si="9"/>
        <v>9129.75</v>
      </c>
      <c r="I104" s="1">
        <f t="shared" si="7"/>
        <v>12.395</v>
      </c>
      <c r="J104" s="2">
        <f t="shared" si="8"/>
        <v>624.25</v>
      </c>
      <c r="L104" s="1">
        <f t="shared" si="10"/>
        <v>12.937000000000001</v>
      </c>
      <c r="M104" s="2">
        <f t="shared" si="11"/>
        <v>690.25</v>
      </c>
      <c r="O104" s="1">
        <f t="shared" si="12"/>
        <v>14.423333333333334</v>
      </c>
      <c r="P104" s="2">
        <f t="shared" si="13"/>
        <v>760.66666666666663</v>
      </c>
    </row>
    <row r="105" spans="1:16" x14ac:dyDescent="0.45">
      <c r="A105" s="12"/>
      <c r="B105" s="4">
        <v>44620</v>
      </c>
      <c r="C105" s="1">
        <v>17</v>
      </c>
      <c r="D105">
        <v>919</v>
      </c>
      <c r="E105" s="2">
        <v>1</v>
      </c>
      <c r="F105" s="2">
        <v>12099</v>
      </c>
      <c r="G105" s="2">
        <f t="shared" si="9"/>
        <v>10398.5</v>
      </c>
      <c r="I105" s="1">
        <f t="shared" si="7"/>
        <v>14.27</v>
      </c>
      <c r="J105" s="2">
        <f t="shared" si="8"/>
        <v>730.5</v>
      </c>
      <c r="L105" s="1">
        <f t="shared" si="10"/>
        <v>12.715999999999999</v>
      </c>
      <c r="M105" s="2">
        <f t="shared" si="11"/>
        <v>671.7</v>
      </c>
      <c r="O105" s="1">
        <f t="shared" si="12"/>
        <v>12.981111111111112</v>
      </c>
      <c r="P105" s="2">
        <f t="shared" si="13"/>
        <v>691.27777777777783</v>
      </c>
    </row>
    <row r="106" spans="1:16" x14ac:dyDescent="0.45">
      <c r="A106" s="12"/>
      <c r="B106" s="4">
        <v>44627</v>
      </c>
      <c r="C106" s="1">
        <v>10.75</v>
      </c>
      <c r="D106">
        <v>495</v>
      </c>
      <c r="E106" s="2">
        <v>1</v>
      </c>
      <c r="F106" s="2">
        <v>6843</v>
      </c>
      <c r="G106" s="2">
        <f t="shared" si="9"/>
        <v>9725.25</v>
      </c>
      <c r="I106" s="1">
        <f t="shared" si="7"/>
        <v>14.125</v>
      </c>
      <c r="J106" s="2">
        <f t="shared" si="8"/>
        <v>695.75</v>
      </c>
      <c r="L106" s="1">
        <f t="shared" si="10"/>
        <v>12.991</v>
      </c>
      <c r="M106" s="2">
        <f t="shared" si="11"/>
        <v>672.65</v>
      </c>
      <c r="O106" s="1">
        <f t="shared" si="12"/>
        <v>13.469444444444443</v>
      </c>
      <c r="P106" s="2">
        <f t="shared" si="13"/>
        <v>713.47222222222217</v>
      </c>
    </row>
    <row r="107" spans="1:16" x14ac:dyDescent="0.45">
      <c r="A107" s="12" t="s">
        <v>89</v>
      </c>
      <c r="B107" s="4">
        <v>44634</v>
      </c>
      <c r="C107" s="1">
        <v>10.75</v>
      </c>
      <c r="D107">
        <v>513</v>
      </c>
      <c r="E107" s="2">
        <v>0</v>
      </c>
      <c r="F107" s="2">
        <v>5795</v>
      </c>
      <c r="G107" s="2">
        <f t="shared" si="9"/>
        <v>9284.75</v>
      </c>
      <c r="I107" s="1">
        <f t="shared" si="7"/>
        <v>13.9375</v>
      </c>
      <c r="J107" s="2">
        <f t="shared" si="8"/>
        <v>691.75</v>
      </c>
      <c r="L107" s="1">
        <f t="shared" si="10"/>
        <v>13.224500000000001</v>
      </c>
      <c r="M107" s="2">
        <f t="shared" si="11"/>
        <v>671</v>
      </c>
      <c r="O107" s="1">
        <f t="shared" si="12"/>
        <v>12.506388888888889</v>
      </c>
      <c r="P107" s="2">
        <f t="shared" si="13"/>
        <v>663.30555555555554</v>
      </c>
    </row>
    <row r="108" spans="1:16" x14ac:dyDescent="0.45">
      <c r="A108" s="12"/>
      <c r="B108" s="4">
        <v>44641</v>
      </c>
      <c r="C108" s="1">
        <v>14</v>
      </c>
      <c r="D108">
        <v>634</v>
      </c>
      <c r="E108" s="2">
        <v>2</v>
      </c>
      <c r="F108" s="2">
        <v>9669</v>
      </c>
      <c r="G108" s="2">
        <f t="shared" si="9"/>
        <v>8601.5</v>
      </c>
      <c r="I108" s="1">
        <f t="shared" si="7"/>
        <v>13.125</v>
      </c>
      <c r="J108" s="2">
        <f t="shared" si="8"/>
        <v>640.25</v>
      </c>
      <c r="L108" s="1">
        <f t="shared" si="10"/>
        <v>13.570499999999999</v>
      </c>
      <c r="M108" s="2">
        <f t="shared" si="11"/>
        <v>676.5</v>
      </c>
      <c r="O108" s="1">
        <f t="shared" si="12"/>
        <v>12.397500000000001</v>
      </c>
      <c r="P108" s="2">
        <f t="shared" si="13"/>
        <v>627.36111111111109</v>
      </c>
    </row>
    <row r="109" spans="1:16" x14ac:dyDescent="0.45">
      <c r="A109" s="12"/>
      <c r="B109" s="4">
        <v>44648</v>
      </c>
      <c r="C109" s="1">
        <v>11.33</v>
      </c>
      <c r="D109">
        <v>480</v>
      </c>
      <c r="E109" s="2">
        <v>0</v>
      </c>
      <c r="F109" s="2">
        <v>6112</v>
      </c>
      <c r="G109" s="2">
        <f t="shared" si="9"/>
        <v>7104.75</v>
      </c>
      <c r="I109" s="1">
        <f t="shared" si="7"/>
        <v>11.7075</v>
      </c>
      <c r="J109" s="2">
        <f t="shared" si="8"/>
        <v>530.5</v>
      </c>
      <c r="L109" s="1">
        <f t="shared" si="10"/>
        <v>13.432999999999998</v>
      </c>
      <c r="M109" s="2">
        <f t="shared" si="11"/>
        <v>657.75</v>
      </c>
      <c r="O109" s="1">
        <f t="shared" si="12"/>
        <v>13.172777777777776</v>
      </c>
      <c r="P109" s="2">
        <f t="shared" si="13"/>
        <v>657.69444444444446</v>
      </c>
    </row>
    <row r="110" spans="1:16" x14ac:dyDescent="0.45">
      <c r="A110" s="12" t="s">
        <v>140</v>
      </c>
      <c r="B110" s="4">
        <v>44655</v>
      </c>
      <c r="C110" s="1">
        <v>13.33</v>
      </c>
      <c r="D110">
        <v>750</v>
      </c>
      <c r="E110" s="2">
        <v>0</v>
      </c>
      <c r="F110" s="2">
        <v>10534</v>
      </c>
      <c r="G110" s="2">
        <f t="shared" si="9"/>
        <v>8027.5</v>
      </c>
      <c r="I110" s="1">
        <f t="shared" si="7"/>
        <v>12.352499999999999</v>
      </c>
      <c r="J110" s="2">
        <f t="shared" si="8"/>
        <v>594.25</v>
      </c>
      <c r="L110" s="1">
        <f t="shared" si="10"/>
        <v>13.0495</v>
      </c>
      <c r="M110" s="2">
        <f t="shared" si="11"/>
        <v>630.5</v>
      </c>
      <c r="O110" s="1">
        <f t="shared" si="12"/>
        <v>13.596944444444444</v>
      </c>
      <c r="P110" s="2">
        <f t="shared" si="13"/>
        <v>660.13888888888891</v>
      </c>
    </row>
    <row r="111" spans="1:16" x14ac:dyDescent="0.45">
      <c r="A111" s="12"/>
      <c r="B111" s="4">
        <v>44662</v>
      </c>
      <c r="C111" s="1">
        <v>7.66</v>
      </c>
      <c r="D111">
        <v>488</v>
      </c>
      <c r="E111" s="2">
        <v>0</v>
      </c>
      <c r="F111" s="2">
        <v>6381</v>
      </c>
      <c r="G111" s="2">
        <f t="shared" si="9"/>
        <v>8174</v>
      </c>
      <c r="I111" s="1">
        <f t="shared" si="7"/>
        <v>11.579999999999998</v>
      </c>
      <c r="J111" s="2">
        <f t="shared" si="8"/>
        <v>588</v>
      </c>
      <c r="L111" s="1">
        <f t="shared" si="10"/>
        <v>12.5405</v>
      </c>
      <c r="M111" s="2">
        <f t="shared" si="11"/>
        <v>608.95000000000005</v>
      </c>
      <c r="O111" s="1">
        <f t="shared" si="12"/>
        <v>13.876666666666667</v>
      </c>
      <c r="P111" s="2">
        <f t="shared" si="13"/>
        <v>684.77777777777783</v>
      </c>
    </row>
    <row r="112" spans="1:16" x14ac:dyDescent="0.45">
      <c r="A112" s="12"/>
      <c r="B112" s="4">
        <v>44669</v>
      </c>
      <c r="C112" s="1">
        <v>12</v>
      </c>
      <c r="D112">
        <v>512</v>
      </c>
      <c r="E112" s="2">
        <v>0</v>
      </c>
      <c r="F112" s="2">
        <v>6792</v>
      </c>
      <c r="G112" s="2">
        <f t="shared" si="9"/>
        <v>7454.75</v>
      </c>
      <c r="I112" s="1">
        <f t="shared" si="7"/>
        <v>11.08</v>
      </c>
      <c r="J112" s="2">
        <f t="shared" si="8"/>
        <v>557.5</v>
      </c>
      <c r="L112" s="1">
        <f t="shared" si="10"/>
        <v>11.968999999999999</v>
      </c>
      <c r="M112" s="2">
        <f t="shared" si="11"/>
        <v>582.1</v>
      </c>
      <c r="O112" s="1">
        <f t="shared" si="12"/>
        <v>12.732777777777777</v>
      </c>
      <c r="P112" s="2">
        <f t="shared" si="13"/>
        <v>631.19444444444446</v>
      </c>
    </row>
    <row r="113" spans="1:16" x14ac:dyDescent="0.45">
      <c r="A113" s="12"/>
      <c r="B113" s="4">
        <v>44676</v>
      </c>
      <c r="C113" s="1">
        <v>17.66</v>
      </c>
      <c r="D113">
        <v>866</v>
      </c>
      <c r="E113" s="2">
        <v>0</v>
      </c>
      <c r="F113" s="2">
        <v>14069</v>
      </c>
      <c r="G113" s="2">
        <f t="shared" si="9"/>
        <v>9444</v>
      </c>
      <c r="I113" s="1">
        <f t="shared" si="7"/>
        <v>12.662500000000001</v>
      </c>
      <c r="J113" s="2">
        <f t="shared" si="8"/>
        <v>654</v>
      </c>
      <c r="L113" s="1">
        <f t="shared" si="10"/>
        <v>11.876499999999998</v>
      </c>
      <c r="M113" s="2">
        <f t="shared" si="11"/>
        <v>584.85</v>
      </c>
      <c r="O113" s="1">
        <f t="shared" si="12"/>
        <v>11.662777777777778</v>
      </c>
      <c r="P113" s="2">
        <f t="shared" si="13"/>
        <v>558.58333333333337</v>
      </c>
    </row>
    <row r="114" spans="1:16" x14ac:dyDescent="0.45">
      <c r="A114" s="12"/>
      <c r="B114" s="4">
        <v>44683</v>
      </c>
      <c r="C114" s="1">
        <v>18.5</v>
      </c>
      <c r="D114">
        <v>956</v>
      </c>
      <c r="E114" s="2">
        <v>0</v>
      </c>
      <c r="F114" s="2">
        <v>12290</v>
      </c>
      <c r="G114" s="2">
        <f t="shared" si="9"/>
        <v>9883</v>
      </c>
      <c r="I114" s="1">
        <f t="shared" si="7"/>
        <v>13.955</v>
      </c>
      <c r="J114" s="2">
        <f t="shared" si="8"/>
        <v>705.5</v>
      </c>
      <c r="L114" s="1">
        <f t="shared" si="10"/>
        <v>12.325999999999999</v>
      </c>
      <c r="M114" s="2">
        <f t="shared" si="11"/>
        <v>619.85</v>
      </c>
      <c r="O114" s="1">
        <f t="shared" si="12"/>
        <v>12.196944444444446</v>
      </c>
      <c r="P114" s="2">
        <f t="shared" si="13"/>
        <v>593</v>
      </c>
    </row>
    <row r="115" spans="1:16" x14ac:dyDescent="0.45">
      <c r="A115" s="12"/>
      <c r="B115" s="4">
        <v>44690</v>
      </c>
      <c r="C115" s="1">
        <v>31</v>
      </c>
      <c r="D115">
        <v>1584</v>
      </c>
      <c r="E115" s="2">
        <v>0</v>
      </c>
      <c r="F115" s="2">
        <v>22471</v>
      </c>
      <c r="G115" s="2">
        <f t="shared" si="9"/>
        <v>13905.5</v>
      </c>
      <c r="I115" s="1">
        <f t="shared" si="7"/>
        <v>19.79</v>
      </c>
      <c r="J115" s="2">
        <f t="shared" si="8"/>
        <v>979.5</v>
      </c>
      <c r="L115" s="1">
        <f t="shared" si="10"/>
        <v>13.813500000000001</v>
      </c>
      <c r="M115" s="2">
        <f t="shared" si="11"/>
        <v>696.9</v>
      </c>
      <c r="O115" s="1">
        <f t="shared" si="12"/>
        <v>13.293611111111112</v>
      </c>
      <c r="P115" s="2">
        <f t="shared" si="13"/>
        <v>653.16666666666663</v>
      </c>
    </row>
    <row r="116" spans="1:16" x14ac:dyDescent="0.45">
      <c r="A116" s="12"/>
      <c r="B116" s="4">
        <v>44697</v>
      </c>
      <c r="C116" s="1">
        <v>15</v>
      </c>
      <c r="D116">
        <v>864</v>
      </c>
      <c r="E116" s="2">
        <v>0</v>
      </c>
      <c r="F116" s="2">
        <v>12891</v>
      </c>
      <c r="G116" s="2">
        <f t="shared" si="9"/>
        <v>15430.25</v>
      </c>
      <c r="I116" s="1">
        <f t="shared" si="7"/>
        <v>20.54</v>
      </c>
      <c r="J116" s="2">
        <f t="shared" si="8"/>
        <v>1067.5</v>
      </c>
      <c r="L116" s="1">
        <f t="shared" si="10"/>
        <v>15.605500000000001</v>
      </c>
      <c r="M116" s="2">
        <f t="shared" si="11"/>
        <v>792.8</v>
      </c>
      <c r="O116" s="1">
        <f t="shared" si="12"/>
        <v>13.695833333333333</v>
      </c>
      <c r="P116" s="2">
        <f t="shared" si="13"/>
        <v>692.83333333333337</v>
      </c>
    </row>
    <row r="117" spans="1:16" x14ac:dyDescent="0.45">
      <c r="A117" s="12"/>
      <c r="B117" s="4">
        <v>44704</v>
      </c>
      <c r="C117" s="1">
        <v>14.5</v>
      </c>
      <c r="D117">
        <v>738</v>
      </c>
      <c r="E117" s="2">
        <v>0</v>
      </c>
      <c r="F117" s="2">
        <v>8509</v>
      </c>
      <c r="G117" s="2">
        <f t="shared" si="9"/>
        <v>14040.25</v>
      </c>
      <c r="I117" s="1">
        <f t="shared" si="7"/>
        <v>19.75</v>
      </c>
      <c r="J117" s="2">
        <f t="shared" si="8"/>
        <v>1035.5</v>
      </c>
      <c r="L117" s="1">
        <f t="shared" si="10"/>
        <v>17.339500000000001</v>
      </c>
      <c r="M117" s="2">
        <f t="shared" si="11"/>
        <v>888.4</v>
      </c>
      <c r="O117" s="1">
        <f t="shared" si="12"/>
        <v>14.779444444444445</v>
      </c>
      <c r="P117" s="2">
        <f t="shared" si="13"/>
        <v>773.88888888888891</v>
      </c>
    </row>
    <row r="118" spans="1:16" x14ac:dyDescent="0.45">
      <c r="A118" s="12"/>
      <c r="B118" s="4">
        <v>44711</v>
      </c>
      <c r="C118" s="1">
        <v>20</v>
      </c>
      <c r="D118">
        <v>1340</v>
      </c>
      <c r="E118" s="2">
        <v>0</v>
      </c>
      <c r="F118" s="2">
        <v>18284</v>
      </c>
      <c r="G118" s="2">
        <f t="shared" si="9"/>
        <v>15538.75</v>
      </c>
      <c r="I118" s="1">
        <f t="shared" si="7"/>
        <v>20.125</v>
      </c>
      <c r="J118" s="2">
        <f t="shared" si="8"/>
        <v>1131.5</v>
      </c>
      <c r="L118" s="1">
        <f t="shared" si="10"/>
        <v>18.832000000000001</v>
      </c>
      <c r="M118" s="2">
        <f t="shared" si="11"/>
        <v>983.9</v>
      </c>
      <c r="O118" s="1">
        <f t="shared" si="12"/>
        <v>15.603888888888889</v>
      </c>
      <c r="P118" s="2">
        <f t="shared" si="13"/>
        <v>811.33333333333337</v>
      </c>
    </row>
    <row r="119" spans="1:16" x14ac:dyDescent="0.45">
      <c r="A119" s="12"/>
      <c r="B119" s="4">
        <v>44718</v>
      </c>
      <c r="C119" s="1">
        <v>10.33</v>
      </c>
      <c r="D119">
        <v>513</v>
      </c>
      <c r="E119" s="2">
        <v>0</v>
      </c>
      <c r="F119" s="2">
        <v>8210</v>
      </c>
      <c r="G119" s="2">
        <f t="shared" si="9"/>
        <v>11973.5</v>
      </c>
      <c r="I119" s="1">
        <f t="shared" si="7"/>
        <v>14.9575</v>
      </c>
      <c r="J119" s="2">
        <f t="shared" si="8"/>
        <v>863.75</v>
      </c>
      <c r="L119" s="1">
        <f t="shared" si="10"/>
        <v>19.032499999999999</v>
      </c>
      <c r="M119" s="2">
        <f t="shared" si="11"/>
        <v>1015.55</v>
      </c>
      <c r="O119" s="1">
        <f t="shared" si="12"/>
        <v>17.762500000000003</v>
      </c>
      <c r="P119" s="2">
        <f t="shared" si="13"/>
        <v>907.69444444444446</v>
      </c>
    </row>
    <row r="120" spans="1:16" x14ac:dyDescent="0.45">
      <c r="A120" s="12"/>
      <c r="B120" s="4">
        <v>44725</v>
      </c>
      <c r="C120" s="1">
        <v>20.66</v>
      </c>
      <c r="D120">
        <v>1226</v>
      </c>
      <c r="E120" s="2">
        <v>0</v>
      </c>
      <c r="F120" s="2">
        <v>17056</v>
      </c>
      <c r="G120" s="2">
        <f t="shared" si="9"/>
        <v>13014.75</v>
      </c>
      <c r="I120" s="1">
        <f t="shared" si="7"/>
        <v>16.372499999999999</v>
      </c>
      <c r="J120" s="2">
        <f t="shared" si="8"/>
        <v>954.25</v>
      </c>
      <c r="L120" s="1">
        <f t="shared" si="10"/>
        <v>18.349</v>
      </c>
      <c r="M120" s="2">
        <f t="shared" si="11"/>
        <v>1010.5</v>
      </c>
      <c r="O120" s="1">
        <f t="shared" si="12"/>
        <v>19.197222222222219</v>
      </c>
      <c r="P120" s="2">
        <f t="shared" si="13"/>
        <v>1018.5555555555555</v>
      </c>
    </row>
    <row r="121" spans="1:16" x14ac:dyDescent="0.45">
      <c r="A121" s="12"/>
      <c r="B121" s="4">
        <v>44732</v>
      </c>
      <c r="C121" s="1">
        <v>4</v>
      </c>
      <c r="D121">
        <v>165</v>
      </c>
      <c r="E121" s="2">
        <v>1</v>
      </c>
      <c r="F121" s="2">
        <v>3030</v>
      </c>
      <c r="G121" s="2">
        <f t="shared" si="9"/>
        <v>11645</v>
      </c>
      <c r="I121" s="1">
        <f t="shared" si="7"/>
        <v>13.747499999999999</v>
      </c>
      <c r="J121" s="2">
        <f t="shared" si="8"/>
        <v>811</v>
      </c>
      <c r="L121" s="1">
        <f t="shared" si="10"/>
        <v>16.990500000000001</v>
      </c>
      <c r="M121" s="2">
        <f t="shared" si="11"/>
        <v>959.2</v>
      </c>
      <c r="O121" s="1">
        <f t="shared" si="12"/>
        <v>18.994722222222222</v>
      </c>
      <c r="P121" s="2">
        <f t="shared" si="13"/>
        <v>1031.2777777777778</v>
      </c>
    </row>
    <row r="122" spans="1:16" x14ac:dyDescent="0.45">
      <c r="A122" s="12"/>
      <c r="B122" s="4">
        <v>44739</v>
      </c>
      <c r="C122" s="1">
        <v>10.66</v>
      </c>
      <c r="D122">
        <v>530</v>
      </c>
      <c r="E122" s="2">
        <v>2</v>
      </c>
      <c r="F122" s="2">
        <v>7486</v>
      </c>
      <c r="G122" s="2">
        <f t="shared" si="9"/>
        <v>8945.5</v>
      </c>
      <c r="I122" s="1">
        <f t="shared" si="7"/>
        <v>11.412500000000001</v>
      </c>
      <c r="J122" s="2">
        <f t="shared" si="8"/>
        <v>608.5</v>
      </c>
      <c r="L122" s="1">
        <f t="shared" si="10"/>
        <v>15.323000000000002</v>
      </c>
      <c r="M122" s="2">
        <f t="shared" si="11"/>
        <v>873.8</v>
      </c>
      <c r="O122" s="1">
        <f t="shared" si="12"/>
        <v>18.387777777777778</v>
      </c>
      <c r="P122" s="2">
        <f t="shared" si="13"/>
        <v>1012.1666666666666</v>
      </c>
    </row>
    <row r="123" spans="1:16" x14ac:dyDescent="0.45">
      <c r="A123" s="12" t="s">
        <v>36</v>
      </c>
      <c r="B123" s="4">
        <v>44746</v>
      </c>
      <c r="C123" s="1">
        <v>16.75</v>
      </c>
      <c r="D123">
        <v>700</v>
      </c>
      <c r="E123" s="2">
        <v>0</v>
      </c>
      <c r="F123" s="2">
        <v>9718</v>
      </c>
      <c r="G123" s="2">
        <f t="shared" si="9"/>
        <v>9322.5</v>
      </c>
      <c r="I123" s="1">
        <f t="shared" si="7"/>
        <v>13.0175</v>
      </c>
      <c r="J123" s="2">
        <f t="shared" si="8"/>
        <v>655.25</v>
      </c>
      <c r="L123" s="1">
        <f t="shared" si="10"/>
        <v>13.901499999999999</v>
      </c>
      <c r="M123" s="2">
        <f t="shared" si="11"/>
        <v>778.55</v>
      </c>
      <c r="O123" s="1">
        <f t="shared" si="12"/>
        <v>14.607222222222223</v>
      </c>
      <c r="P123" s="2">
        <f t="shared" si="13"/>
        <v>828.94444444444446</v>
      </c>
    </row>
    <row r="124" spans="1:16" x14ac:dyDescent="0.45">
      <c r="A124" s="12"/>
      <c r="B124" s="4">
        <v>44753</v>
      </c>
      <c r="C124" s="1">
        <v>18</v>
      </c>
      <c r="D124">
        <v>812</v>
      </c>
      <c r="E124" s="2">
        <v>0</v>
      </c>
      <c r="F124" s="2">
        <v>12335</v>
      </c>
      <c r="G124" s="2">
        <f t="shared" si="9"/>
        <v>8142.25</v>
      </c>
      <c r="I124" s="1">
        <f t="shared" si="7"/>
        <v>12.352499999999999</v>
      </c>
      <c r="J124" s="2">
        <f t="shared" si="8"/>
        <v>551.75</v>
      </c>
      <c r="L124" s="1">
        <f t="shared" si="10"/>
        <v>13.380500000000001</v>
      </c>
      <c r="M124" s="2">
        <f t="shared" si="11"/>
        <v>716.15</v>
      </c>
      <c r="O124" s="1">
        <f t="shared" si="12"/>
        <v>14.465555555555556</v>
      </c>
      <c r="P124" s="2">
        <f t="shared" si="13"/>
        <v>804.27777777777783</v>
      </c>
    </row>
    <row r="125" spans="1:16" x14ac:dyDescent="0.45">
      <c r="A125" s="12"/>
      <c r="B125" s="4">
        <v>44760</v>
      </c>
      <c r="C125" s="1">
        <v>11.5</v>
      </c>
      <c r="D125">
        <v>477</v>
      </c>
      <c r="E125" s="2">
        <v>0</v>
      </c>
      <c r="F125" s="2">
        <v>5293</v>
      </c>
      <c r="G125" s="2">
        <f t="shared" si="9"/>
        <v>8708</v>
      </c>
      <c r="I125" s="1">
        <f t="shared" si="7"/>
        <v>14.227499999999999</v>
      </c>
      <c r="J125" s="2">
        <f t="shared" si="8"/>
        <v>629.75</v>
      </c>
      <c r="L125" s="1">
        <f t="shared" si="10"/>
        <v>12.951499999999999</v>
      </c>
      <c r="M125" s="2">
        <f t="shared" si="11"/>
        <v>651.25</v>
      </c>
      <c r="O125" s="1">
        <f t="shared" si="12"/>
        <v>14.351666666666668</v>
      </c>
      <c r="P125" s="2">
        <f t="shared" si="13"/>
        <v>800.36111111111109</v>
      </c>
    </row>
    <row r="126" spans="1:16" x14ac:dyDescent="0.45">
      <c r="A126" s="12" t="s">
        <v>37</v>
      </c>
      <c r="B126" s="4">
        <v>44767</v>
      </c>
      <c r="C126" s="1">
        <v>7.75</v>
      </c>
      <c r="D126">
        <v>291</v>
      </c>
      <c r="E126" s="2">
        <v>0</v>
      </c>
      <c r="F126" s="2">
        <v>3565</v>
      </c>
      <c r="G126" s="2">
        <f t="shared" si="9"/>
        <v>7727.75</v>
      </c>
      <c r="I126" s="1">
        <f t="shared" si="7"/>
        <v>13.5</v>
      </c>
      <c r="J126" s="2">
        <f t="shared" si="8"/>
        <v>570</v>
      </c>
      <c r="L126" s="1">
        <f t="shared" si="10"/>
        <v>12.901999999999997</v>
      </c>
      <c r="M126" s="2">
        <f t="shared" si="11"/>
        <v>603.04999999999995</v>
      </c>
      <c r="O126" s="1">
        <f t="shared" si="12"/>
        <v>12.675277777777778</v>
      </c>
      <c r="P126" s="2">
        <f t="shared" si="13"/>
        <v>633.52777777777783</v>
      </c>
    </row>
    <row r="127" spans="1:16" x14ac:dyDescent="0.45">
      <c r="A127" s="12"/>
      <c r="B127" s="4">
        <v>44774</v>
      </c>
      <c r="C127" s="1">
        <v>10.33</v>
      </c>
      <c r="D127">
        <v>564</v>
      </c>
      <c r="E127" s="2">
        <v>0</v>
      </c>
      <c r="F127" s="2">
        <v>7872</v>
      </c>
      <c r="G127" s="2">
        <f t="shared" si="9"/>
        <v>7266.25</v>
      </c>
      <c r="I127" s="1">
        <f t="shared" si="7"/>
        <v>11.895</v>
      </c>
      <c r="J127" s="2">
        <f t="shared" si="8"/>
        <v>536</v>
      </c>
      <c r="L127" s="1">
        <f t="shared" si="10"/>
        <v>12.998499999999998</v>
      </c>
      <c r="M127" s="2">
        <f t="shared" si="11"/>
        <v>588.54999999999995</v>
      </c>
      <c r="O127" s="1">
        <f t="shared" si="12"/>
        <v>13.147777777777776</v>
      </c>
      <c r="P127" s="2">
        <f t="shared" si="13"/>
        <v>651.88888888888891</v>
      </c>
    </row>
    <row r="128" spans="1:16" x14ac:dyDescent="0.45">
      <c r="A128" s="12"/>
      <c r="B128" s="4">
        <v>44781</v>
      </c>
      <c r="C128" s="1">
        <v>11.33</v>
      </c>
      <c r="D128">
        <v>563</v>
      </c>
      <c r="E128" s="2">
        <v>0</v>
      </c>
      <c r="F128" s="2">
        <v>9250</v>
      </c>
      <c r="G128" s="2">
        <f t="shared" si="9"/>
        <v>6495</v>
      </c>
      <c r="I128" s="1">
        <f t="shared" si="7"/>
        <v>10.227499999999999</v>
      </c>
      <c r="J128" s="2">
        <f t="shared" si="8"/>
        <v>473.75</v>
      </c>
      <c r="L128" s="1">
        <f t="shared" si="10"/>
        <v>12.4405</v>
      </c>
      <c r="M128" s="2">
        <f t="shared" si="11"/>
        <v>552.25</v>
      </c>
      <c r="O128" s="1">
        <f t="shared" si="12"/>
        <v>11.065555555555555</v>
      </c>
      <c r="P128" s="2">
        <f t="shared" si="13"/>
        <v>493.38888888888891</v>
      </c>
    </row>
    <row r="129" spans="1:16" x14ac:dyDescent="0.45">
      <c r="A129" s="12"/>
      <c r="B129" s="4">
        <v>44788</v>
      </c>
      <c r="C129" s="1">
        <v>15</v>
      </c>
      <c r="D129">
        <v>712</v>
      </c>
      <c r="E129" s="2">
        <v>0</v>
      </c>
      <c r="F129" s="2">
        <v>11486</v>
      </c>
      <c r="G129" s="2">
        <f t="shared" si="9"/>
        <v>8043.25</v>
      </c>
      <c r="I129" s="1">
        <f t="shared" si="7"/>
        <v>11.102499999999999</v>
      </c>
      <c r="J129" s="2">
        <f t="shared" si="8"/>
        <v>532.5</v>
      </c>
      <c r="L129" s="1">
        <f t="shared" si="10"/>
        <v>12.1905</v>
      </c>
      <c r="M129" s="2">
        <f t="shared" si="11"/>
        <v>548.4</v>
      </c>
      <c r="O129" s="1">
        <f t="shared" si="12"/>
        <v>12.99111111111111</v>
      </c>
      <c r="P129" s="2">
        <f t="shared" si="13"/>
        <v>585.86111111111109</v>
      </c>
    </row>
    <row r="130" spans="1:16" x14ac:dyDescent="0.45">
      <c r="A130" s="12"/>
      <c r="B130" s="4">
        <v>44795</v>
      </c>
      <c r="C130" s="1">
        <v>16</v>
      </c>
      <c r="D130">
        <v>807</v>
      </c>
      <c r="E130" s="2">
        <v>0</v>
      </c>
      <c r="F130" s="2">
        <v>12649</v>
      </c>
      <c r="G130" s="2">
        <f t="shared" si="9"/>
        <v>10314.25</v>
      </c>
      <c r="I130" s="1">
        <f t="shared" si="7"/>
        <v>13.164999999999999</v>
      </c>
      <c r="J130" s="2">
        <f t="shared" si="8"/>
        <v>661.5</v>
      </c>
      <c r="L130" s="1">
        <f t="shared" si="10"/>
        <v>11.978</v>
      </c>
      <c r="M130" s="2">
        <f t="shared" si="11"/>
        <v>554.75</v>
      </c>
      <c r="O130" s="1">
        <f t="shared" si="12"/>
        <v>13.585000000000001</v>
      </c>
      <c r="P130" s="2">
        <f t="shared" si="13"/>
        <v>604.91666666666663</v>
      </c>
    </row>
    <row r="131" spans="1:16" x14ac:dyDescent="0.45">
      <c r="A131" s="12"/>
      <c r="B131" s="4">
        <v>44802</v>
      </c>
      <c r="C131" s="1">
        <v>8.5</v>
      </c>
      <c r="D131">
        <v>499</v>
      </c>
      <c r="E131" s="2">
        <v>0</v>
      </c>
      <c r="F131" s="2">
        <v>7178</v>
      </c>
      <c r="G131" s="2">
        <f t="shared" si="9"/>
        <v>10140.75</v>
      </c>
      <c r="I131" s="1">
        <f t="shared" si="7"/>
        <v>12.7075</v>
      </c>
      <c r="J131" s="2">
        <f t="shared" si="8"/>
        <v>645.25</v>
      </c>
      <c r="L131" s="1">
        <f t="shared" si="10"/>
        <v>11.8195</v>
      </c>
      <c r="M131" s="2">
        <f t="shared" si="11"/>
        <v>569.79999999999995</v>
      </c>
      <c r="O131" s="1">
        <f t="shared" si="12"/>
        <v>12.596388888888889</v>
      </c>
      <c r="P131" s="2">
        <f t="shared" si="13"/>
        <v>580.61111111111109</v>
      </c>
    </row>
    <row r="132" spans="1:16" x14ac:dyDescent="0.45">
      <c r="A132" s="12"/>
      <c r="B132" s="4">
        <v>44809</v>
      </c>
      <c r="C132" s="1">
        <v>22.33</v>
      </c>
      <c r="D132">
        <v>1280</v>
      </c>
      <c r="E132" s="2">
        <v>0</v>
      </c>
      <c r="F132" s="2">
        <v>17421</v>
      </c>
      <c r="G132" s="2">
        <f t="shared" si="9"/>
        <v>12183.5</v>
      </c>
      <c r="I132" s="1">
        <f t="shared" si="7"/>
        <v>15.4575</v>
      </c>
      <c r="J132" s="2">
        <f t="shared" si="8"/>
        <v>824.5</v>
      </c>
      <c r="L132" s="1">
        <f t="shared" si="10"/>
        <v>12.532</v>
      </c>
      <c r="M132" s="2">
        <f t="shared" si="11"/>
        <v>627.5</v>
      </c>
      <c r="O132" s="1">
        <f t="shared" si="12"/>
        <v>11.450277777777778</v>
      </c>
      <c r="P132" s="2">
        <f t="shared" si="13"/>
        <v>544.41666666666663</v>
      </c>
    </row>
    <row r="133" spans="1:16" x14ac:dyDescent="0.45">
      <c r="A133" s="12"/>
      <c r="B133" s="4">
        <v>44816</v>
      </c>
      <c r="C133" s="1">
        <v>19.329999999999998</v>
      </c>
      <c r="D133">
        <v>1260</v>
      </c>
      <c r="E133" s="2">
        <v>0</v>
      </c>
      <c r="F133" s="2">
        <v>16763</v>
      </c>
      <c r="G133" s="2">
        <f t="shared" si="9"/>
        <v>13502.75</v>
      </c>
      <c r="I133" s="1">
        <f t="shared" ref="I133:I196" si="14">AVERAGE(C130:C133)</f>
        <v>16.54</v>
      </c>
      <c r="J133" s="2">
        <f t="shared" ref="J133:J196" si="15">AVERAGE(D130:D133)</f>
        <v>961.5</v>
      </c>
      <c r="L133" s="1">
        <f t="shared" si="10"/>
        <v>13.794499999999999</v>
      </c>
      <c r="M133" s="2">
        <f t="shared" si="11"/>
        <v>725.05</v>
      </c>
      <c r="O133" s="1">
        <f t="shared" si="12"/>
        <v>11.966111111111111</v>
      </c>
      <c r="P133" s="2">
        <f t="shared" si="13"/>
        <v>604.41666666666663</v>
      </c>
    </row>
    <row r="134" spans="1:16" x14ac:dyDescent="0.45">
      <c r="A134" s="12"/>
      <c r="B134" s="4">
        <v>44823</v>
      </c>
      <c r="C134" s="1">
        <v>5.66</v>
      </c>
      <c r="D134">
        <v>354</v>
      </c>
      <c r="E134" s="2">
        <v>0</v>
      </c>
      <c r="F134" s="2">
        <v>4818</v>
      </c>
      <c r="G134" s="2">
        <f t="shared" ref="G134:G197" si="16">AVERAGE(F131:F134)</f>
        <v>11545</v>
      </c>
      <c r="I134" s="1">
        <f t="shared" si="14"/>
        <v>13.954999999999998</v>
      </c>
      <c r="J134" s="2">
        <f t="shared" si="15"/>
        <v>848.25</v>
      </c>
      <c r="L134" s="1">
        <f t="shared" si="10"/>
        <v>14.365</v>
      </c>
      <c r="M134" s="2">
        <f t="shared" si="11"/>
        <v>788.2</v>
      </c>
      <c r="O134" s="1">
        <f t="shared" si="12"/>
        <v>13.257222222222222</v>
      </c>
      <c r="P134" s="2">
        <f t="shared" si="13"/>
        <v>707.5</v>
      </c>
    </row>
    <row r="135" spans="1:16" x14ac:dyDescent="0.45">
      <c r="A135" s="12"/>
      <c r="B135" s="4">
        <v>44830</v>
      </c>
      <c r="C135" s="1">
        <f>16+5/60</f>
        <v>16.083333333333332</v>
      </c>
      <c r="D135">
        <v>818</v>
      </c>
      <c r="E135" s="2">
        <v>0</v>
      </c>
      <c r="F135" s="2">
        <v>12625</v>
      </c>
      <c r="G135" s="2">
        <f t="shared" si="16"/>
        <v>12906.75</v>
      </c>
      <c r="I135" s="1">
        <f t="shared" si="14"/>
        <v>15.85083333333333</v>
      </c>
      <c r="J135" s="2">
        <f t="shared" si="15"/>
        <v>928</v>
      </c>
      <c r="L135" s="1">
        <f t="shared" si="10"/>
        <v>14.902166666666664</v>
      </c>
      <c r="M135" s="2">
        <f t="shared" si="11"/>
        <v>841.5</v>
      </c>
      <c r="O135" s="1">
        <f t="shared" si="12"/>
        <v>14.134814814814813</v>
      </c>
      <c r="P135" s="2">
        <f t="shared" si="13"/>
        <v>756.97222222222217</v>
      </c>
    </row>
    <row r="136" spans="1:16" x14ac:dyDescent="0.45">
      <c r="A136" s="12"/>
      <c r="B136" s="4">
        <v>44837</v>
      </c>
      <c r="C136" s="1">
        <f>10+52/60</f>
        <v>10.866666666666667</v>
      </c>
      <c r="D136">
        <v>501</v>
      </c>
      <c r="E136" s="2">
        <v>0</v>
      </c>
      <c r="F136" s="2">
        <v>4450</v>
      </c>
      <c r="G136" s="2">
        <f t="shared" si="16"/>
        <v>9664</v>
      </c>
      <c r="I136" s="1">
        <f t="shared" si="14"/>
        <v>12.984999999999999</v>
      </c>
      <c r="J136" s="2">
        <f t="shared" si="15"/>
        <v>733.25</v>
      </c>
      <c r="L136" s="1">
        <f t="shared" si="10"/>
        <v>14.957666666666668</v>
      </c>
      <c r="M136" s="2">
        <f t="shared" si="11"/>
        <v>859.1</v>
      </c>
      <c r="O136" s="1">
        <f t="shared" si="12"/>
        <v>14.777314814814815</v>
      </c>
      <c r="P136" s="2">
        <f t="shared" si="13"/>
        <v>804.94444444444446</v>
      </c>
    </row>
    <row r="137" spans="1:16" x14ac:dyDescent="0.45">
      <c r="A137" s="12" t="s">
        <v>38</v>
      </c>
      <c r="B137" s="4">
        <v>44844</v>
      </c>
      <c r="C137" s="1">
        <f>4+13/60</f>
        <v>4.2166666666666668</v>
      </c>
      <c r="D137">
        <v>202</v>
      </c>
      <c r="E137" s="2">
        <v>0</v>
      </c>
      <c r="F137" s="2">
        <v>1928</v>
      </c>
      <c r="G137" s="2">
        <f t="shared" si="16"/>
        <v>5955.25</v>
      </c>
      <c r="I137" s="1">
        <f t="shared" si="14"/>
        <v>9.206666666666667</v>
      </c>
      <c r="J137" s="2">
        <f t="shared" si="15"/>
        <v>468.75</v>
      </c>
      <c r="L137" s="1">
        <f t="shared" ref="L137:L200" si="17">((C130)+(2*C131)+(3*C132)+(4*C133)+(4*C134)+(3*C135)+(2*C136)+(C137))/20</f>
        <v>13.7075</v>
      </c>
      <c r="M137" s="2">
        <f t="shared" ref="M137:M200" si="18">((D130)+(2*D131)+(3*D132)+(4*D133)+(4*D134)+(3*D135)+(2*D136)+(D137))/20</f>
        <v>787.95</v>
      </c>
      <c r="O137" s="1">
        <f t="shared" si="12"/>
        <v>14.304722222222223</v>
      </c>
      <c r="P137" s="2">
        <f t="shared" si="13"/>
        <v>805.63888888888891</v>
      </c>
    </row>
    <row r="138" spans="1:16" x14ac:dyDescent="0.45">
      <c r="A138" s="12"/>
      <c r="B138" s="4">
        <v>44851</v>
      </c>
      <c r="C138" s="1">
        <v>0</v>
      </c>
      <c r="D138">
        <v>0</v>
      </c>
      <c r="E138" s="2">
        <v>0</v>
      </c>
      <c r="F138" s="2">
        <v>0</v>
      </c>
      <c r="G138" s="2">
        <f t="shared" si="16"/>
        <v>4750.75</v>
      </c>
      <c r="I138" s="1">
        <f t="shared" si="14"/>
        <v>7.7916666666666661</v>
      </c>
      <c r="J138" s="2">
        <f t="shared" si="15"/>
        <v>380.25</v>
      </c>
      <c r="L138" s="1">
        <f t="shared" si="17"/>
        <v>11.957833333333333</v>
      </c>
      <c r="M138" s="2">
        <f t="shared" si="18"/>
        <v>671.7</v>
      </c>
      <c r="O138" s="1">
        <f t="shared" si="12"/>
        <v>13.165462962962962</v>
      </c>
      <c r="P138" s="2">
        <f t="shared" si="13"/>
        <v>762.80555555555554</v>
      </c>
    </row>
    <row r="139" spans="1:16" x14ac:dyDescent="0.45">
      <c r="A139" s="12"/>
      <c r="B139" s="4">
        <v>44858</v>
      </c>
      <c r="C139" s="1">
        <v>0</v>
      </c>
      <c r="D139">
        <v>0</v>
      </c>
      <c r="E139" s="2">
        <v>0</v>
      </c>
      <c r="F139" s="2">
        <v>0</v>
      </c>
      <c r="G139" s="2">
        <f t="shared" si="16"/>
        <v>1594.5</v>
      </c>
      <c r="I139" s="1">
        <f t="shared" si="14"/>
        <v>3.7708333333333335</v>
      </c>
      <c r="J139" s="2">
        <f t="shared" si="15"/>
        <v>175.75</v>
      </c>
      <c r="L139" s="1">
        <f t="shared" si="17"/>
        <v>9.9210000000000012</v>
      </c>
      <c r="M139" s="2">
        <f t="shared" si="18"/>
        <v>537.20000000000005</v>
      </c>
      <c r="O139" s="1">
        <f t="shared" si="12"/>
        <v>13.456759259259259</v>
      </c>
      <c r="P139" s="2">
        <f t="shared" si="13"/>
        <v>774.55555555555554</v>
      </c>
    </row>
    <row r="140" spans="1:16" x14ac:dyDescent="0.45">
      <c r="A140" s="12"/>
      <c r="B140" s="4">
        <v>44865</v>
      </c>
      <c r="C140" s="1">
        <v>0</v>
      </c>
      <c r="D140">
        <v>0</v>
      </c>
      <c r="E140" s="2">
        <v>0</v>
      </c>
      <c r="F140" s="2">
        <v>0</v>
      </c>
      <c r="G140" s="2">
        <f t="shared" si="16"/>
        <v>482</v>
      </c>
      <c r="I140" s="1">
        <f t="shared" si="14"/>
        <v>1.0541666666666667</v>
      </c>
      <c r="J140" s="2">
        <f t="shared" si="15"/>
        <v>50.5</v>
      </c>
      <c r="L140" s="1">
        <f t="shared" si="17"/>
        <v>6.9616666666666678</v>
      </c>
      <c r="M140" s="2">
        <f t="shared" si="18"/>
        <v>361.7</v>
      </c>
      <c r="O140" s="1">
        <f t="shared" si="12"/>
        <v>10.054444444444444</v>
      </c>
      <c r="P140" s="2">
        <f t="shared" si="13"/>
        <v>577.19444444444446</v>
      </c>
    </row>
    <row r="141" spans="1:16" x14ac:dyDescent="0.45">
      <c r="A141" s="12"/>
      <c r="B141" s="4">
        <v>44872</v>
      </c>
      <c r="C141" s="1">
        <f>3+2/60</f>
        <v>3.0333333333333332</v>
      </c>
      <c r="D141">
        <v>131</v>
      </c>
      <c r="E141" s="2">
        <v>0</v>
      </c>
      <c r="F141" s="2">
        <v>2224</v>
      </c>
      <c r="G141" s="2">
        <f t="shared" si="16"/>
        <v>556</v>
      </c>
      <c r="I141" s="1">
        <f t="shared" si="14"/>
        <v>0.7583333333333333</v>
      </c>
      <c r="J141" s="2">
        <f t="shared" si="15"/>
        <v>32.75</v>
      </c>
      <c r="L141" s="1">
        <f t="shared" si="17"/>
        <v>4.5163333333333338</v>
      </c>
      <c r="M141" s="2">
        <f t="shared" si="18"/>
        <v>221.6</v>
      </c>
      <c r="O141" s="1">
        <f t="shared" ref="O141:O204" si="19">((C141)+(C140*2)+(C139*3)+(C138*4)+(C137*5)+(C136*6)+(C135*7)+(C134*8))/36</f>
        <v>6.8661111111111106</v>
      </c>
      <c r="P141" s="2">
        <f t="shared" ref="P141:P204" si="20">((D141)+(D140*2)+(D139*3)+(D138*4)+(D137*5)+(D136*6)+(D135*7)+(D134*8))/36</f>
        <v>352.91666666666669</v>
      </c>
    </row>
    <row r="142" spans="1:16" x14ac:dyDescent="0.45">
      <c r="A142" s="12"/>
      <c r="B142" s="4">
        <v>44879</v>
      </c>
      <c r="C142" s="1">
        <f>8+53/60</f>
        <v>8.8833333333333329</v>
      </c>
      <c r="D142">
        <v>443</v>
      </c>
      <c r="E142" s="2">
        <v>1</v>
      </c>
      <c r="F142" s="2">
        <v>2656</v>
      </c>
      <c r="G142" s="2">
        <f t="shared" si="16"/>
        <v>1220</v>
      </c>
      <c r="I142" s="1">
        <f t="shared" si="14"/>
        <v>2.9791666666666665</v>
      </c>
      <c r="J142" s="2">
        <f t="shared" si="15"/>
        <v>143.5</v>
      </c>
      <c r="L142" s="1">
        <f t="shared" si="17"/>
        <v>3.270833333333333</v>
      </c>
      <c r="M142" s="2">
        <f t="shared" si="18"/>
        <v>156.55000000000001</v>
      </c>
      <c r="O142" s="1">
        <f t="shared" si="19"/>
        <v>6.805092592592592</v>
      </c>
      <c r="P142" s="2">
        <f t="shared" si="20"/>
        <v>332.44444444444446</v>
      </c>
    </row>
    <row r="143" spans="1:16" x14ac:dyDescent="0.45">
      <c r="A143" s="12"/>
      <c r="B143" s="4">
        <v>44886</v>
      </c>
      <c r="C143" s="1">
        <f>11+43/60</f>
        <v>11.716666666666667</v>
      </c>
      <c r="D143">
        <v>536</v>
      </c>
      <c r="E143" s="2">
        <v>2</v>
      </c>
      <c r="F143" s="2">
        <v>9135</v>
      </c>
      <c r="G143" s="2">
        <f t="shared" si="16"/>
        <v>3503.75</v>
      </c>
      <c r="I143" s="1">
        <f t="shared" si="14"/>
        <v>5.9083333333333332</v>
      </c>
      <c r="J143" s="2">
        <f t="shared" si="15"/>
        <v>277.5</v>
      </c>
      <c r="L143" s="1">
        <f t="shared" si="17"/>
        <v>2.8941666666666666</v>
      </c>
      <c r="M143" s="2">
        <f t="shared" si="18"/>
        <v>136</v>
      </c>
      <c r="O143" s="1">
        <f t="shared" si="19"/>
        <v>4.3064814814814811</v>
      </c>
      <c r="P143" s="2">
        <f t="shared" si="20"/>
        <v>201.02777777777777</v>
      </c>
    </row>
    <row r="144" spans="1:16" x14ac:dyDescent="0.45">
      <c r="A144" s="12"/>
      <c r="B144" s="4">
        <v>44893</v>
      </c>
      <c r="C144" s="1">
        <f>11+49/60</f>
        <v>11.816666666666666</v>
      </c>
      <c r="D144">
        <v>507</v>
      </c>
      <c r="E144" s="2">
        <v>2</v>
      </c>
      <c r="F144" s="2">
        <v>7694</v>
      </c>
      <c r="G144" s="2">
        <f t="shared" si="16"/>
        <v>5427.25</v>
      </c>
      <c r="I144" s="1">
        <f t="shared" si="14"/>
        <v>8.8625000000000007</v>
      </c>
      <c r="J144" s="2">
        <f t="shared" si="15"/>
        <v>404.25</v>
      </c>
      <c r="L144" s="1">
        <f t="shared" si="17"/>
        <v>3.9125000000000001</v>
      </c>
      <c r="M144" s="2">
        <f t="shared" si="18"/>
        <v>181.7</v>
      </c>
      <c r="O144" s="1">
        <f t="shared" si="19"/>
        <v>2.9935185185185187</v>
      </c>
      <c r="P144" s="2">
        <f t="shared" si="20"/>
        <v>140.22222222222223</v>
      </c>
    </row>
    <row r="145" spans="1:16" x14ac:dyDescent="0.45">
      <c r="A145" s="12"/>
      <c r="B145" s="4">
        <v>44900</v>
      </c>
      <c r="C145" s="1">
        <f>12+42/60</f>
        <v>12.7</v>
      </c>
      <c r="D145">
        <v>601</v>
      </c>
      <c r="E145" s="2">
        <v>2</v>
      </c>
      <c r="F145" s="2">
        <v>6897</v>
      </c>
      <c r="G145" s="2">
        <f t="shared" si="16"/>
        <v>6595.5</v>
      </c>
      <c r="I145" s="1">
        <f t="shared" si="14"/>
        <v>11.279166666666669</v>
      </c>
      <c r="J145" s="2">
        <f t="shared" si="15"/>
        <v>521.75</v>
      </c>
      <c r="L145" s="1">
        <f t="shared" si="17"/>
        <v>5.9574999999999996</v>
      </c>
      <c r="M145" s="2">
        <f t="shared" si="18"/>
        <v>275.95</v>
      </c>
      <c r="O145" s="1">
        <f t="shared" si="19"/>
        <v>3.393981481481481</v>
      </c>
      <c r="P145" s="2">
        <f t="shared" si="20"/>
        <v>156.94444444444446</v>
      </c>
    </row>
    <row r="146" spans="1:16" x14ac:dyDescent="0.45">
      <c r="A146" s="12"/>
      <c r="B146" s="4">
        <v>44907</v>
      </c>
      <c r="C146" s="1">
        <f>9+7/60</f>
        <v>9.1166666666666671</v>
      </c>
      <c r="D146">
        <v>456</v>
      </c>
      <c r="E146" s="2">
        <v>0</v>
      </c>
      <c r="F146" s="2">
        <v>4308</v>
      </c>
      <c r="G146" s="2">
        <f t="shared" si="16"/>
        <v>7008.5</v>
      </c>
      <c r="I146" s="1">
        <f t="shared" si="14"/>
        <v>11.3375</v>
      </c>
      <c r="J146" s="2">
        <f t="shared" si="15"/>
        <v>525</v>
      </c>
      <c r="L146" s="1">
        <f t="shared" si="17"/>
        <v>8.0733333333333341</v>
      </c>
      <c r="M146" s="2">
        <f t="shared" si="18"/>
        <v>374.4</v>
      </c>
      <c r="O146" s="1">
        <f t="shared" si="19"/>
        <v>4.9847222222222216</v>
      </c>
      <c r="P146" s="2">
        <f t="shared" si="20"/>
        <v>231.22222222222223</v>
      </c>
    </row>
    <row r="147" spans="1:16" x14ac:dyDescent="0.45">
      <c r="A147" s="12"/>
      <c r="B147" s="4">
        <v>44914</v>
      </c>
      <c r="C147" s="1">
        <f>12+44/60</f>
        <v>12.733333333333333</v>
      </c>
      <c r="D147">
        <v>571</v>
      </c>
      <c r="E147" s="2">
        <v>1</v>
      </c>
      <c r="F147" s="2">
        <v>10243</v>
      </c>
      <c r="G147" s="2">
        <f t="shared" si="16"/>
        <v>7285.5</v>
      </c>
      <c r="I147" s="1">
        <f t="shared" si="14"/>
        <v>11.591666666666667</v>
      </c>
      <c r="J147" s="2">
        <f t="shared" si="15"/>
        <v>533.75</v>
      </c>
      <c r="L147" s="1">
        <f t="shared" si="17"/>
        <v>9.7958333333333325</v>
      </c>
      <c r="M147" s="2">
        <f t="shared" si="18"/>
        <v>452.45</v>
      </c>
      <c r="O147" s="1">
        <f t="shared" si="19"/>
        <v>6.9291666666666663</v>
      </c>
      <c r="P147" s="2">
        <f t="shared" si="20"/>
        <v>321.36111111111109</v>
      </c>
    </row>
    <row r="148" spans="1:16" x14ac:dyDescent="0.45">
      <c r="A148" s="12"/>
      <c r="B148" s="4">
        <v>44921</v>
      </c>
      <c r="C148" s="1">
        <f>14+42/60</f>
        <v>14.7</v>
      </c>
      <c r="D148">
        <v>661</v>
      </c>
      <c r="E148" s="2">
        <v>1</v>
      </c>
      <c r="F148" s="2">
        <v>11710</v>
      </c>
      <c r="G148" s="2">
        <f t="shared" si="16"/>
        <v>8289.5</v>
      </c>
      <c r="I148" s="1">
        <f t="shared" si="14"/>
        <v>12.3125</v>
      </c>
      <c r="J148" s="2">
        <f t="shared" si="15"/>
        <v>572.25</v>
      </c>
      <c r="L148" s="1">
        <f t="shared" si="17"/>
        <v>11.076666666666664</v>
      </c>
      <c r="M148" s="2">
        <f t="shared" si="18"/>
        <v>511.4</v>
      </c>
      <c r="O148" s="1">
        <f t="shared" si="19"/>
        <v>9.2819444444444432</v>
      </c>
      <c r="P148" s="2">
        <f t="shared" si="20"/>
        <v>429.86111111111109</v>
      </c>
    </row>
    <row r="149" spans="1:16" x14ac:dyDescent="0.45">
      <c r="A149" s="12" t="s">
        <v>178</v>
      </c>
      <c r="B149" s="4">
        <v>44928</v>
      </c>
      <c r="C149" s="1">
        <f>13+37/60</f>
        <v>13.616666666666667</v>
      </c>
      <c r="D149">
        <v>849</v>
      </c>
      <c r="E149" s="21">
        <v>1</v>
      </c>
      <c r="F149" s="2">
        <v>10000</v>
      </c>
      <c r="G149" s="2">
        <f t="shared" si="16"/>
        <v>9065.25</v>
      </c>
      <c r="I149" s="1">
        <f t="shared" si="14"/>
        <v>12.541666666666666</v>
      </c>
      <c r="J149" s="2">
        <f t="shared" si="15"/>
        <v>634.25</v>
      </c>
      <c r="L149" s="1">
        <f t="shared" si="17"/>
        <v>11.8125</v>
      </c>
      <c r="M149" s="2">
        <f t="shared" si="18"/>
        <v>557.4</v>
      </c>
      <c r="O149" s="1">
        <f t="shared" si="19"/>
        <v>11.25462962962963</v>
      </c>
      <c r="P149" s="2">
        <f t="shared" si="20"/>
        <v>529.19444444444446</v>
      </c>
    </row>
    <row r="150" spans="1:16" x14ac:dyDescent="0.45">
      <c r="A150" s="12"/>
      <c r="B150" s="4">
        <v>44935</v>
      </c>
      <c r="C150" s="1">
        <f>13+21/60</f>
        <v>13.35</v>
      </c>
      <c r="D150">
        <v>687</v>
      </c>
      <c r="E150" s="2">
        <v>2</v>
      </c>
      <c r="F150" s="2">
        <v>9457</v>
      </c>
      <c r="G150" s="2">
        <f t="shared" si="16"/>
        <v>10352.5</v>
      </c>
      <c r="I150" s="1">
        <f t="shared" si="14"/>
        <v>13.6</v>
      </c>
      <c r="J150" s="2">
        <f t="shared" si="15"/>
        <v>692</v>
      </c>
      <c r="L150" s="1">
        <f t="shared" si="17"/>
        <v>12.276666666666667</v>
      </c>
      <c r="M150" s="2">
        <f t="shared" si="18"/>
        <v>591.45000000000005</v>
      </c>
      <c r="O150" s="1">
        <f t="shared" si="19"/>
        <v>12.051388888888889</v>
      </c>
      <c r="P150" s="2">
        <f t="shared" si="20"/>
        <v>565.97222222222217</v>
      </c>
    </row>
    <row r="151" spans="1:16" x14ac:dyDescent="0.45">
      <c r="A151" s="12"/>
      <c r="B151" s="4">
        <v>44942</v>
      </c>
      <c r="C151" s="1">
        <f>14+29/60</f>
        <v>14.483333333333333</v>
      </c>
      <c r="D151">
        <v>737</v>
      </c>
      <c r="E151" s="2">
        <v>1</v>
      </c>
      <c r="F151" s="2">
        <v>11461</v>
      </c>
      <c r="G151" s="2">
        <f t="shared" si="16"/>
        <v>10657</v>
      </c>
      <c r="I151" s="1">
        <f t="shared" si="14"/>
        <v>14.0375</v>
      </c>
      <c r="J151" s="2">
        <f t="shared" si="15"/>
        <v>733.5</v>
      </c>
      <c r="L151" s="1">
        <f t="shared" si="17"/>
        <v>12.816666666666666</v>
      </c>
      <c r="M151" s="2">
        <f t="shared" si="18"/>
        <v>633.15</v>
      </c>
      <c r="O151" s="1">
        <f t="shared" si="19"/>
        <v>12.295370370370371</v>
      </c>
      <c r="P151" s="2">
        <f t="shared" si="20"/>
        <v>587.66666666666663</v>
      </c>
    </row>
    <row r="152" spans="1:16" x14ac:dyDescent="0.45">
      <c r="A152" s="12" t="s">
        <v>179</v>
      </c>
      <c r="B152" s="4">
        <v>44949</v>
      </c>
      <c r="C152" s="1">
        <f>15+8/60</f>
        <v>15.133333333333333</v>
      </c>
      <c r="D152">
        <v>782</v>
      </c>
      <c r="E152" s="2">
        <v>1</v>
      </c>
      <c r="F152" s="2">
        <v>11155</v>
      </c>
      <c r="G152" s="2">
        <f t="shared" si="16"/>
        <v>10518.25</v>
      </c>
      <c r="I152" s="1">
        <f t="shared" si="14"/>
        <v>14.145833333333334</v>
      </c>
      <c r="J152" s="2">
        <f t="shared" si="15"/>
        <v>763.75</v>
      </c>
      <c r="L152" s="1">
        <f t="shared" si="17"/>
        <v>13.327500000000001</v>
      </c>
      <c r="M152" s="2">
        <f t="shared" si="18"/>
        <v>679.15</v>
      </c>
      <c r="O152" s="1">
        <f t="shared" si="19"/>
        <v>12.609259259259257</v>
      </c>
      <c r="P152" s="2">
        <f t="shared" si="20"/>
        <v>623.44444444444446</v>
      </c>
    </row>
    <row r="153" spans="1:16" x14ac:dyDescent="0.45">
      <c r="A153" s="12"/>
      <c r="B153" s="4">
        <v>44956</v>
      </c>
      <c r="C153" s="1">
        <f>11+33/60</f>
        <v>11.55</v>
      </c>
      <c r="D153">
        <v>553</v>
      </c>
      <c r="E153" s="2">
        <v>1</v>
      </c>
      <c r="F153" s="2">
        <v>8752</v>
      </c>
      <c r="G153" s="2">
        <f t="shared" si="16"/>
        <v>10206.25</v>
      </c>
      <c r="I153" s="1">
        <f t="shared" si="14"/>
        <v>13.629166666666666</v>
      </c>
      <c r="J153" s="2">
        <f t="shared" si="15"/>
        <v>689.75</v>
      </c>
      <c r="L153" s="1">
        <f t="shared" si="17"/>
        <v>13.590833333333332</v>
      </c>
      <c r="M153" s="2">
        <f t="shared" si="18"/>
        <v>702.65</v>
      </c>
      <c r="O153" s="1">
        <f t="shared" si="19"/>
        <v>12.694907407407406</v>
      </c>
      <c r="P153" s="2">
        <f t="shared" si="20"/>
        <v>637</v>
      </c>
    </row>
    <row r="154" spans="1:16" x14ac:dyDescent="0.45">
      <c r="A154" s="12" t="s">
        <v>180</v>
      </c>
      <c r="B154" s="4">
        <v>44963</v>
      </c>
      <c r="C154" s="1">
        <f>13+15/60</f>
        <v>13.25</v>
      </c>
      <c r="D154">
        <v>771</v>
      </c>
      <c r="E154" s="2">
        <v>1</v>
      </c>
      <c r="F154" s="2">
        <v>11742</v>
      </c>
      <c r="G154" s="2">
        <f t="shared" si="16"/>
        <v>10777.5</v>
      </c>
      <c r="I154" s="1">
        <f t="shared" si="14"/>
        <v>13.604166666666668</v>
      </c>
      <c r="J154" s="2">
        <f t="shared" si="15"/>
        <v>710.75</v>
      </c>
      <c r="L154" s="1">
        <f t="shared" si="17"/>
        <v>13.803333333333333</v>
      </c>
      <c r="M154" s="2">
        <f t="shared" si="18"/>
        <v>717.95</v>
      </c>
      <c r="O154" s="1">
        <f t="shared" si="19"/>
        <v>13.691666666666666</v>
      </c>
      <c r="P154" s="2">
        <f t="shared" si="20"/>
        <v>691.52777777777783</v>
      </c>
    </row>
    <row r="155" spans="1:16" x14ac:dyDescent="0.45">
      <c r="A155" s="12"/>
      <c r="B155" s="4">
        <v>44970</v>
      </c>
      <c r="C155" s="1">
        <f>18+52/60</f>
        <v>18.866666666666667</v>
      </c>
      <c r="D155">
        <v>836</v>
      </c>
      <c r="E155" s="2">
        <v>2</v>
      </c>
      <c r="F155" s="2">
        <v>14426</v>
      </c>
      <c r="G155" s="2">
        <f t="shared" si="16"/>
        <v>11518.75</v>
      </c>
      <c r="I155" s="1">
        <f t="shared" si="14"/>
        <v>14.700000000000001</v>
      </c>
      <c r="J155" s="2">
        <f t="shared" si="15"/>
        <v>735.5</v>
      </c>
      <c r="L155" s="1">
        <f t="shared" si="17"/>
        <v>14.023333333333335</v>
      </c>
      <c r="M155" s="2">
        <f t="shared" si="18"/>
        <v>726.65</v>
      </c>
      <c r="O155" s="1">
        <f t="shared" si="19"/>
        <v>14.055092592592594</v>
      </c>
      <c r="P155" s="2">
        <f t="shared" si="20"/>
        <v>727.86111111111109</v>
      </c>
    </row>
    <row r="156" spans="1:16" x14ac:dyDescent="0.45">
      <c r="A156" s="12"/>
      <c r="B156" s="4">
        <v>44977</v>
      </c>
      <c r="C156" s="1">
        <f>19+40/60</f>
        <v>19.666666666666668</v>
      </c>
      <c r="D156">
        <v>941</v>
      </c>
      <c r="E156" s="2">
        <v>2</v>
      </c>
      <c r="F156" s="2">
        <v>15468</v>
      </c>
      <c r="G156" s="2">
        <f t="shared" si="16"/>
        <v>12597</v>
      </c>
      <c r="I156" s="1">
        <f t="shared" si="14"/>
        <v>15.833333333333336</v>
      </c>
      <c r="J156" s="2">
        <f t="shared" si="15"/>
        <v>775.25</v>
      </c>
      <c r="L156" s="1">
        <f t="shared" si="17"/>
        <v>14.382500000000002</v>
      </c>
      <c r="M156" s="2">
        <f t="shared" si="18"/>
        <v>735</v>
      </c>
      <c r="O156" s="1">
        <f t="shared" si="19"/>
        <v>14.119444444444445</v>
      </c>
      <c r="P156" s="2">
        <f t="shared" si="20"/>
        <v>751.97222222222217</v>
      </c>
    </row>
    <row r="157" spans="1:16" x14ac:dyDescent="0.45">
      <c r="A157" s="12"/>
      <c r="B157" s="4">
        <v>44984</v>
      </c>
      <c r="C157" s="1">
        <f>18+38/60</f>
        <v>18.633333333333333</v>
      </c>
      <c r="D157">
        <v>905</v>
      </c>
      <c r="E157" s="2">
        <v>2</v>
      </c>
      <c r="F157" s="2">
        <v>14774</v>
      </c>
      <c r="G157" s="2">
        <f t="shared" si="16"/>
        <v>14102.5</v>
      </c>
      <c r="I157" s="1">
        <f t="shared" si="14"/>
        <v>17.604166666666664</v>
      </c>
      <c r="J157" s="2">
        <f t="shared" si="15"/>
        <v>863.25</v>
      </c>
      <c r="L157" s="1">
        <f t="shared" si="17"/>
        <v>15.074166666666667</v>
      </c>
      <c r="M157" s="2">
        <f t="shared" si="18"/>
        <v>754.9</v>
      </c>
      <c r="O157" s="1">
        <f t="shared" si="19"/>
        <v>14.563888888888888</v>
      </c>
      <c r="P157" s="2">
        <f t="shared" si="20"/>
        <v>735.86111111111109</v>
      </c>
    </row>
    <row r="158" spans="1:16" x14ac:dyDescent="0.45">
      <c r="A158" s="12"/>
      <c r="B158" s="4">
        <v>44991</v>
      </c>
      <c r="C158" s="1">
        <f>11</f>
        <v>11</v>
      </c>
      <c r="D158">
        <v>545</v>
      </c>
      <c r="E158" s="2">
        <v>1</v>
      </c>
      <c r="F158" s="2">
        <v>7607</v>
      </c>
      <c r="G158" s="2">
        <f t="shared" si="16"/>
        <v>13068.75</v>
      </c>
      <c r="I158" s="1">
        <f t="shared" si="14"/>
        <v>17.041666666666664</v>
      </c>
      <c r="J158" s="2">
        <f t="shared" si="15"/>
        <v>806.75</v>
      </c>
      <c r="L158" s="1">
        <f t="shared" si="17"/>
        <v>15.756666666666666</v>
      </c>
      <c r="M158" s="2">
        <f t="shared" si="18"/>
        <v>778.3</v>
      </c>
      <c r="O158" s="1">
        <f t="shared" si="19"/>
        <v>15.002314814814817</v>
      </c>
      <c r="P158" s="2">
        <f t="shared" si="20"/>
        <v>751.80555555555554</v>
      </c>
    </row>
    <row r="159" spans="1:16" x14ac:dyDescent="0.45">
      <c r="A159" s="12" t="s">
        <v>181</v>
      </c>
      <c r="B159" s="4">
        <v>44998</v>
      </c>
      <c r="C159" s="1">
        <f>10+1/60</f>
        <v>10.016666666666667</v>
      </c>
      <c r="D159">
        <v>621</v>
      </c>
      <c r="E159" s="2">
        <v>0</v>
      </c>
      <c r="F159" s="2">
        <v>2364</v>
      </c>
      <c r="G159" s="2">
        <f t="shared" si="16"/>
        <v>10053.25</v>
      </c>
      <c r="I159" s="1">
        <f t="shared" si="14"/>
        <v>14.829166666666666</v>
      </c>
      <c r="J159" s="2">
        <f t="shared" si="15"/>
        <v>753</v>
      </c>
      <c r="L159" s="1">
        <f t="shared" si="17"/>
        <v>16.001666666666665</v>
      </c>
      <c r="M159" s="2">
        <f t="shared" si="18"/>
        <v>786.75</v>
      </c>
      <c r="O159" s="1">
        <f t="shared" si="19"/>
        <v>15.064814814814813</v>
      </c>
      <c r="P159" s="2">
        <f t="shared" si="20"/>
        <v>753.41666666666663</v>
      </c>
    </row>
    <row r="160" spans="1:16" x14ac:dyDescent="0.45">
      <c r="A160" s="12" t="s">
        <v>102</v>
      </c>
      <c r="B160" s="4">
        <v>45005</v>
      </c>
      <c r="C160" s="1">
        <f>17+26/60</f>
        <v>17.433333333333334</v>
      </c>
      <c r="D160">
        <v>846</v>
      </c>
      <c r="E160" s="2">
        <v>2</v>
      </c>
      <c r="F160" s="2">
        <v>8799</v>
      </c>
      <c r="G160" s="2">
        <f t="shared" si="16"/>
        <v>8386</v>
      </c>
      <c r="I160" s="1">
        <f t="shared" si="14"/>
        <v>14.270833333333332</v>
      </c>
      <c r="J160" s="2">
        <f t="shared" si="15"/>
        <v>729.25</v>
      </c>
      <c r="L160" s="1">
        <f t="shared" si="17"/>
        <v>15.915833333333335</v>
      </c>
      <c r="M160" s="2">
        <f t="shared" si="18"/>
        <v>785.5</v>
      </c>
      <c r="O160" s="1">
        <f t="shared" si="19"/>
        <v>15.046759259259261</v>
      </c>
      <c r="P160" s="2">
        <f t="shared" si="20"/>
        <v>746.80555555555554</v>
      </c>
    </row>
    <row r="161" spans="1:16" x14ac:dyDescent="0.45">
      <c r="A161" s="12" t="s">
        <v>103</v>
      </c>
      <c r="B161" s="4">
        <v>45012</v>
      </c>
      <c r="C161" s="1">
        <v>10.5</v>
      </c>
      <c r="D161">
        <v>721</v>
      </c>
      <c r="E161" s="2">
        <v>0</v>
      </c>
      <c r="F161" s="2">
        <v>7166</v>
      </c>
      <c r="G161" s="2">
        <f t="shared" si="16"/>
        <v>6484</v>
      </c>
      <c r="I161" s="1">
        <f t="shared" si="14"/>
        <v>12.237500000000001</v>
      </c>
      <c r="J161" s="2">
        <f t="shared" si="15"/>
        <v>683.25</v>
      </c>
      <c r="L161" s="1">
        <f t="shared" si="17"/>
        <v>15.196666666666667</v>
      </c>
      <c r="M161" s="2">
        <f t="shared" si="18"/>
        <v>767.1</v>
      </c>
      <c r="O161" s="1">
        <f t="shared" si="19"/>
        <v>15.795833333333333</v>
      </c>
      <c r="P161" s="2">
        <f t="shared" si="20"/>
        <v>795.75</v>
      </c>
    </row>
    <row r="162" spans="1:16" x14ac:dyDescent="0.45">
      <c r="A162" s="12"/>
      <c r="B162" s="4">
        <v>45019</v>
      </c>
      <c r="C162" s="1">
        <v>14.25</v>
      </c>
      <c r="D162">
        <v>652</v>
      </c>
      <c r="E162" s="2">
        <v>0</v>
      </c>
      <c r="F162" s="2">
        <v>10891</v>
      </c>
      <c r="G162" s="2">
        <f t="shared" si="16"/>
        <v>7305</v>
      </c>
      <c r="I162" s="1">
        <f t="shared" si="14"/>
        <v>13.05</v>
      </c>
      <c r="J162" s="2">
        <f t="shared" si="15"/>
        <v>710</v>
      </c>
      <c r="L162" s="1">
        <f t="shared" si="17"/>
        <v>14.285833333333333</v>
      </c>
      <c r="M162" s="2">
        <f t="shared" si="18"/>
        <v>736.45</v>
      </c>
      <c r="O162" s="1">
        <f t="shared" si="19"/>
        <v>16.194907407407406</v>
      </c>
      <c r="P162" s="2">
        <f t="shared" si="20"/>
        <v>792.94444444444446</v>
      </c>
    </row>
    <row r="163" spans="1:16" x14ac:dyDescent="0.45">
      <c r="A163" s="12" t="s">
        <v>105</v>
      </c>
      <c r="B163" s="4">
        <v>45026</v>
      </c>
      <c r="C163" s="1">
        <f>26+41/60</f>
        <v>26.683333333333334</v>
      </c>
      <c r="D163">
        <v>1905</v>
      </c>
      <c r="E163" s="2">
        <v>0</v>
      </c>
      <c r="F163" s="2">
        <v>24183</v>
      </c>
      <c r="G163" s="2">
        <f t="shared" si="16"/>
        <v>12759.75</v>
      </c>
      <c r="I163" s="1">
        <f t="shared" si="14"/>
        <v>17.216666666666669</v>
      </c>
      <c r="J163" s="2">
        <f t="shared" si="15"/>
        <v>1031</v>
      </c>
      <c r="L163" s="1">
        <f t="shared" si="17"/>
        <v>14.320833333333335</v>
      </c>
      <c r="M163" s="2">
        <f t="shared" si="18"/>
        <v>781.3</v>
      </c>
      <c r="O163" s="1">
        <f t="shared" si="19"/>
        <v>15.562962962962963</v>
      </c>
      <c r="P163" s="2">
        <f t="shared" si="20"/>
        <v>805.38888888888891</v>
      </c>
    </row>
    <row r="164" spans="1:16" x14ac:dyDescent="0.45">
      <c r="A164" s="12" t="s">
        <v>182</v>
      </c>
      <c r="B164" s="4">
        <v>45033</v>
      </c>
      <c r="C164" s="1">
        <f>13+48/60</f>
        <v>13.8</v>
      </c>
      <c r="D164">
        <v>606</v>
      </c>
      <c r="E164" s="2">
        <v>1</v>
      </c>
      <c r="F164" s="2">
        <v>10493</v>
      </c>
      <c r="G164" s="2">
        <f t="shared" si="16"/>
        <v>13183.25</v>
      </c>
      <c r="I164" s="1">
        <f t="shared" si="14"/>
        <v>16.308333333333334</v>
      </c>
      <c r="J164" s="2">
        <f t="shared" si="15"/>
        <v>971</v>
      </c>
      <c r="L164" s="1">
        <f t="shared" si="17"/>
        <v>14.616666666666669</v>
      </c>
      <c r="M164" s="2">
        <f t="shared" si="18"/>
        <v>824.9</v>
      </c>
      <c r="O164" s="1">
        <f t="shared" si="19"/>
        <v>14.590277777777779</v>
      </c>
      <c r="P164" s="2">
        <f t="shared" si="20"/>
        <v>785.19444444444446</v>
      </c>
    </row>
    <row r="165" spans="1:16" x14ac:dyDescent="0.45">
      <c r="A165" s="12"/>
      <c r="B165" s="4">
        <v>45040</v>
      </c>
      <c r="C165" s="1">
        <f>16+52/60</f>
        <v>16.866666666666667</v>
      </c>
      <c r="D165">
        <v>772</v>
      </c>
      <c r="E165" s="2">
        <v>2</v>
      </c>
      <c r="F165" s="2">
        <v>12207</v>
      </c>
      <c r="G165" s="2">
        <f t="shared" si="16"/>
        <v>14443.5</v>
      </c>
      <c r="I165" s="1">
        <f t="shared" si="14"/>
        <v>17.899999999999999</v>
      </c>
      <c r="J165" s="2">
        <f t="shared" si="15"/>
        <v>983.75</v>
      </c>
      <c r="L165" s="1">
        <f t="shared" si="17"/>
        <v>15.342500000000001</v>
      </c>
      <c r="M165" s="2">
        <f t="shared" si="18"/>
        <v>875.8</v>
      </c>
      <c r="O165" s="1">
        <f t="shared" si="19"/>
        <v>13.798148148148149</v>
      </c>
      <c r="P165" s="2">
        <f t="shared" si="20"/>
        <v>769.30555555555554</v>
      </c>
    </row>
    <row r="166" spans="1:16" x14ac:dyDescent="0.45">
      <c r="A166" s="12"/>
      <c r="B166" s="4">
        <v>45047</v>
      </c>
      <c r="C166" s="1">
        <f>20+4/60</f>
        <v>20.066666666666666</v>
      </c>
      <c r="D166">
        <v>1311</v>
      </c>
      <c r="E166" s="2">
        <v>0</v>
      </c>
      <c r="F166" s="2">
        <v>18268</v>
      </c>
      <c r="G166" s="2">
        <f t="shared" si="16"/>
        <v>16287.75</v>
      </c>
      <c r="I166" s="1">
        <f t="shared" si="14"/>
        <v>19.354166666666668</v>
      </c>
      <c r="J166" s="2">
        <f t="shared" si="15"/>
        <v>1148.5</v>
      </c>
      <c r="L166" s="1">
        <f t="shared" si="17"/>
        <v>16.765833333333333</v>
      </c>
      <c r="M166" s="2">
        <f t="shared" si="18"/>
        <v>968.85</v>
      </c>
      <c r="O166" s="1">
        <f t="shared" si="19"/>
        <v>14.954166666666667</v>
      </c>
      <c r="P166" s="2">
        <f t="shared" si="20"/>
        <v>854.69444444444446</v>
      </c>
    </row>
    <row r="167" spans="1:16" x14ac:dyDescent="0.45">
      <c r="A167" s="12"/>
      <c r="B167" s="4">
        <v>45054</v>
      </c>
      <c r="C167" s="1">
        <f>12+14/60</f>
        <v>12.233333333333333</v>
      </c>
      <c r="D167">
        <v>588</v>
      </c>
      <c r="E167" s="2">
        <v>0</v>
      </c>
      <c r="F167" s="2">
        <v>8105</v>
      </c>
      <c r="G167" s="2">
        <f t="shared" si="16"/>
        <v>12268.25</v>
      </c>
      <c r="I167" s="1">
        <f t="shared" si="14"/>
        <v>15.741666666666667</v>
      </c>
      <c r="J167" s="2">
        <f t="shared" si="15"/>
        <v>819.25</v>
      </c>
      <c r="L167" s="1">
        <f t="shared" si="17"/>
        <v>17.304166666666667</v>
      </c>
      <c r="M167" s="2">
        <f t="shared" si="18"/>
        <v>990.7</v>
      </c>
      <c r="O167" s="1">
        <f t="shared" si="19"/>
        <v>16.390277777777779</v>
      </c>
      <c r="P167" s="2">
        <f t="shared" si="20"/>
        <v>922.27777777777783</v>
      </c>
    </row>
    <row r="168" spans="1:16" x14ac:dyDescent="0.45">
      <c r="A168" s="12"/>
      <c r="B168" s="4">
        <v>45061</v>
      </c>
      <c r="C168" s="1">
        <f>25+16/60</f>
        <v>25.266666666666666</v>
      </c>
      <c r="D168">
        <v>1563</v>
      </c>
      <c r="E168" s="2">
        <v>0</v>
      </c>
      <c r="F168" s="2">
        <v>22744</v>
      </c>
      <c r="G168" s="2">
        <f t="shared" si="16"/>
        <v>15331</v>
      </c>
      <c r="I168" s="1">
        <f t="shared" si="14"/>
        <v>18.608333333333334</v>
      </c>
      <c r="J168" s="2">
        <f t="shared" si="15"/>
        <v>1058.5</v>
      </c>
      <c r="L168" s="1">
        <f t="shared" si="17"/>
        <v>17.5825</v>
      </c>
      <c r="M168" s="2">
        <f t="shared" si="18"/>
        <v>996.2</v>
      </c>
      <c r="O168" s="1">
        <f t="shared" si="19"/>
        <v>16.395833333333332</v>
      </c>
      <c r="P168" s="2">
        <f t="shared" si="20"/>
        <v>959.77777777777783</v>
      </c>
    </row>
    <row r="169" spans="1:16" x14ac:dyDescent="0.45">
      <c r="A169" s="12" t="s">
        <v>183</v>
      </c>
      <c r="B169" s="4">
        <v>45068</v>
      </c>
      <c r="C169" s="1">
        <f>11+17/60</f>
        <v>11.283333333333333</v>
      </c>
      <c r="D169">
        <v>578</v>
      </c>
      <c r="E169" s="2">
        <v>1</v>
      </c>
      <c r="F169" s="2">
        <v>2592</v>
      </c>
      <c r="G169" s="2">
        <f t="shared" si="16"/>
        <v>12927.25</v>
      </c>
      <c r="I169" s="1">
        <f t="shared" si="14"/>
        <v>17.212499999999999</v>
      </c>
      <c r="J169" s="2">
        <f t="shared" si="15"/>
        <v>1010</v>
      </c>
      <c r="L169" s="1">
        <f t="shared" si="17"/>
        <v>17.763333333333335</v>
      </c>
      <c r="M169" s="2">
        <f t="shared" si="18"/>
        <v>1004</v>
      </c>
      <c r="O169" s="1">
        <f t="shared" si="19"/>
        <v>17.963888888888889</v>
      </c>
      <c r="P169" s="2">
        <f t="shared" si="20"/>
        <v>1021.0833333333334</v>
      </c>
    </row>
    <row r="170" spans="1:16" x14ac:dyDescent="0.45">
      <c r="A170" s="12" t="s">
        <v>184</v>
      </c>
      <c r="B170" s="4">
        <v>45075</v>
      </c>
      <c r="C170" s="1">
        <v>15.66</v>
      </c>
      <c r="D170">
        <v>759</v>
      </c>
      <c r="E170" s="2">
        <v>2</v>
      </c>
      <c r="F170" s="2">
        <v>10089</v>
      </c>
      <c r="G170" s="2">
        <f t="shared" si="16"/>
        <v>10882.5</v>
      </c>
      <c r="I170" s="1">
        <f t="shared" si="14"/>
        <v>16.110833333333332</v>
      </c>
      <c r="J170" s="2">
        <f t="shared" si="15"/>
        <v>872</v>
      </c>
      <c r="L170" s="1">
        <f t="shared" si="17"/>
        <v>17.4055</v>
      </c>
      <c r="M170" s="2">
        <f t="shared" si="18"/>
        <v>981.65</v>
      </c>
      <c r="O170" s="1">
        <f t="shared" si="19"/>
        <v>18.737777777777779</v>
      </c>
      <c r="P170" s="2">
        <f t="shared" si="20"/>
        <v>1100.6944444444443</v>
      </c>
    </row>
    <row r="171" spans="1:16" x14ac:dyDescent="0.45">
      <c r="A171" s="12"/>
      <c r="B171" s="4">
        <v>45082</v>
      </c>
      <c r="C171" s="1">
        <f>16+52/60</f>
        <v>16.866666666666667</v>
      </c>
      <c r="D171">
        <v>855</v>
      </c>
      <c r="E171" s="2">
        <v>0</v>
      </c>
      <c r="F171" s="2">
        <v>11992</v>
      </c>
      <c r="G171" s="2">
        <f t="shared" si="16"/>
        <v>11854.25</v>
      </c>
      <c r="I171" s="1">
        <f t="shared" si="14"/>
        <v>17.269166666666663</v>
      </c>
      <c r="J171" s="2">
        <f t="shared" si="15"/>
        <v>938.75</v>
      </c>
      <c r="L171" s="1">
        <f t="shared" si="17"/>
        <v>16.988500000000002</v>
      </c>
      <c r="M171" s="2">
        <f t="shared" si="18"/>
        <v>939.7</v>
      </c>
      <c r="O171" s="1">
        <f t="shared" si="19"/>
        <v>16.476018518518519</v>
      </c>
      <c r="P171" s="2">
        <f t="shared" si="20"/>
        <v>872.69444444444446</v>
      </c>
    </row>
    <row r="172" spans="1:16" x14ac:dyDescent="0.45">
      <c r="A172" s="12"/>
      <c r="B172" s="4">
        <v>45089</v>
      </c>
      <c r="C172" s="1">
        <f>17+33/60</f>
        <v>17.55</v>
      </c>
      <c r="D172">
        <v>734</v>
      </c>
      <c r="E172" s="2">
        <v>2</v>
      </c>
      <c r="F172" s="2">
        <v>12955</v>
      </c>
      <c r="G172" s="2">
        <f t="shared" si="16"/>
        <v>9407</v>
      </c>
      <c r="I172" s="1">
        <f t="shared" si="14"/>
        <v>15.34</v>
      </c>
      <c r="J172" s="2">
        <f t="shared" si="15"/>
        <v>731.5</v>
      </c>
      <c r="L172" s="1">
        <f t="shared" si="17"/>
        <v>16.908166666666666</v>
      </c>
      <c r="M172" s="2">
        <f t="shared" si="18"/>
        <v>922.15</v>
      </c>
      <c r="O172" s="1">
        <f t="shared" si="19"/>
        <v>17.18138888888889</v>
      </c>
      <c r="P172" s="2">
        <f t="shared" si="20"/>
        <v>936.91666666666663</v>
      </c>
    </row>
    <row r="173" spans="1:16" x14ac:dyDescent="0.45">
      <c r="A173" s="12"/>
      <c r="B173" s="4">
        <v>45096</v>
      </c>
      <c r="C173" s="1">
        <v>18.25</v>
      </c>
      <c r="D173">
        <v>887</v>
      </c>
      <c r="E173" s="2">
        <v>2</v>
      </c>
      <c r="F173" s="2">
        <v>13373</v>
      </c>
      <c r="G173" s="2">
        <f t="shared" si="16"/>
        <v>12102.25</v>
      </c>
      <c r="I173" s="1">
        <f t="shared" si="14"/>
        <v>17.081666666666667</v>
      </c>
      <c r="J173" s="2">
        <f t="shared" si="15"/>
        <v>808.75</v>
      </c>
      <c r="L173" s="1">
        <f t="shared" si="17"/>
        <v>16.602833333333336</v>
      </c>
      <c r="M173" s="2">
        <f t="shared" si="18"/>
        <v>872.2</v>
      </c>
      <c r="O173" s="1">
        <f t="shared" si="19"/>
        <v>17.243703703703702</v>
      </c>
      <c r="P173" s="2">
        <f t="shared" si="20"/>
        <v>967.44444444444446</v>
      </c>
    </row>
    <row r="174" spans="1:16" x14ac:dyDescent="0.45">
      <c r="A174" s="12"/>
      <c r="B174" s="4">
        <v>45103</v>
      </c>
      <c r="C174" s="1">
        <f>17+43/60</f>
        <v>17.716666666666665</v>
      </c>
      <c r="D174">
        <v>850</v>
      </c>
      <c r="E174" s="2">
        <v>1</v>
      </c>
      <c r="F174" s="2">
        <v>13197</v>
      </c>
      <c r="G174" s="2">
        <f t="shared" si="16"/>
        <v>12879.25</v>
      </c>
      <c r="I174" s="1">
        <f t="shared" si="14"/>
        <v>17.595833333333335</v>
      </c>
      <c r="J174" s="2">
        <f t="shared" si="15"/>
        <v>831.5</v>
      </c>
      <c r="L174" s="1">
        <f t="shared" si="17"/>
        <v>16.679499999999997</v>
      </c>
      <c r="M174" s="2">
        <f t="shared" si="18"/>
        <v>836.5</v>
      </c>
      <c r="O174" s="1">
        <f t="shared" si="19"/>
        <v>16.529629629629628</v>
      </c>
      <c r="P174" s="2">
        <f t="shared" si="20"/>
        <v>865.38888888888891</v>
      </c>
    </row>
    <row r="175" spans="1:16" x14ac:dyDescent="0.45">
      <c r="A175" s="12"/>
      <c r="B175" s="4">
        <v>45110</v>
      </c>
      <c r="C175" s="1">
        <f>20+35/60</f>
        <v>20.583333333333332</v>
      </c>
      <c r="D175">
        <v>999</v>
      </c>
      <c r="E175" s="2">
        <v>2</v>
      </c>
      <c r="F175" s="2">
        <v>15187</v>
      </c>
      <c r="G175" s="2">
        <f t="shared" si="16"/>
        <v>13678</v>
      </c>
      <c r="I175" s="1">
        <f t="shared" si="14"/>
        <v>18.524999999999999</v>
      </c>
      <c r="J175" s="2">
        <f t="shared" si="15"/>
        <v>867.5</v>
      </c>
      <c r="L175" s="1">
        <f t="shared" si="17"/>
        <v>17.162333333333333</v>
      </c>
      <c r="M175" s="2">
        <f t="shared" si="18"/>
        <v>835.6</v>
      </c>
      <c r="O175" s="1">
        <f t="shared" si="19"/>
        <v>17.78824074074074</v>
      </c>
      <c r="P175" s="2">
        <f t="shared" si="20"/>
        <v>935.41666666666663</v>
      </c>
    </row>
    <row r="176" spans="1:16" x14ac:dyDescent="0.45">
      <c r="A176" s="12"/>
      <c r="B176" s="4">
        <v>45117</v>
      </c>
      <c r="C176" s="1">
        <v>18.5</v>
      </c>
      <c r="D176">
        <v>898</v>
      </c>
      <c r="E176" s="2">
        <v>0</v>
      </c>
      <c r="F176" s="2">
        <v>13461</v>
      </c>
      <c r="G176" s="2">
        <f t="shared" si="16"/>
        <v>13804.5</v>
      </c>
      <c r="I176" s="1">
        <f t="shared" si="14"/>
        <v>18.762499999999999</v>
      </c>
      <c r="J176" s="2">
        <f t="shared" si="15"/>
        <v>908.5</v>
      </c>
      <c r="L176" s="1">
        <f t="shared" si="17"/>
        <v>17.461000000000002</v>
      </c>
      <c r="M176" s="2">
        <f t="shared" si="18"/>
        <v>829.55</v>
      </c>
      <c r="O176" s="1">
        <f t="shared" si="19"/>
        <v>15.962592592592593</v>
      </c>
      <c r="P176" s="2">
        <f t="shared" si="20"/>
        <v>770.30555555555554</v>
      </c>
    </row>
    <row r="177" spans="1:16" x14ac:dyDescent="0.45">
      <c r="A177" s="12" t="s">
        <v>109</v>
      </c>
      <c r="B177" s="4">
        <v>45124</v>
      </c>
      <c r="C177" s="1">
        <f>10+53/60</f>
        <v>10.883333333333333</v>
      </c>
      <c r="D177">
        <v>512</v>
      </c>
      <c r="E177" s="2">
        <v>1</v>
      </c>
      <c r="F177" s="2">
        <v>6809</v>
      </c>
      <c r="G177" s="2">
        <f t="shared" si="16"/>
        <v>12163.5</v>
      </c>
      <c r="I177" s="1">
        <f t="shared" si="14"/>
        <v>16.920833333333334</v>
      </c>
      <c r="J177" s="2">
        <f t="shared" si="15"/>
        <v>814.75</v>
      </c>
      <c r="L177" s="1">
        <f t="shared" si="17"/>
        <v>17.777166666666666</v>
      </c>
      <c r="M177" s="2">
        <f t="shared" si="18"/>
        <v>846.2</v>
      </c>
      <c r="O177" s="1">
        <f t="shared" si="19"/>
        <v>17.23324074074074</v>
      </c>
      <c r="P177" s="2">
        <f t="shared" si="20"/>
        <v>822.25</v>
      </c>
    </row>
    <row r="178" spans="1:16" x14ac:dyDescent="0.45">
      <c r="A178" s="12"/>
      <c r="B178" s="4">
        <v>45131</v>
      </c>
      <c r="C178" s="1">
        <f>12.33</f>
        <v>12.33</v>
      </c>
      <c r="D178">
        <v>567</v>
      </c>
      <c r="E178" s="2">
        <v>1</v>
      </c>
      <c r="F178" s="2">
        <v>7837</v>
      </c>
      <c r="G178" s="2">
        <f t="shared" si="16"/>
        <v>10823.5</v>
      </c>
      <c r="I178" s="1">
        <f t="shared" si="14"/>
        <v>15.574166666666665</v>
      </c>
      <c r="J178" s="2">
        <f t="shared" si="15"/>
        <v>744</v>
      </c>
      <c r="L178" s="1">
        <f t="shared" si="17"/>
        <v>17.475666666666662</v>
      </c>
      <c r="M178" s="2">
        <f t="shared" si="18"/>
        <v>833.25</v>
      </c>
      <c r="O178" s="1">
        <f t="shared" si="19"/>
        <v>17.438796296296296</v>
      </c>
      <c r="P178" s="2">
        <f t="shared" si="20"/>
        <v>828.63888888888891</v>
      </c>
    </row>
    <row r="179" spans="1:16" x14ac:dyDescent="0.45">
      <c r="A179" s="12" t="s">
        <v>148</v>
      </c>
      <c r="B179" s="4">
        <v>45138</v>
      </c>
      <c r="C179" s="1">
        <f>11+28/60</f>
        <v>11.466666666666667</v>
      </c>
      <c r="D179">
        <v>443</v>
      </c>
      <c r="E179" s="2">
        <v>0</v>
      </c>
      <c r="F179" s="2">
        <v>6433</v>
      </c>
      <c r="G179" s="2">
        <f t="shared" si="16"/>
        <v>8635</v>
      </c>
      <c r="I179" s="1">
        <f t="shared" si="14"/>
        <v>13.295</v>
      </c>
      <c r="J179" s="2">
        <f t="shared" si="15"/>
        <v>605</v>
      </c>
      <c r="L179" s="1">
        <f t="shared" si="17"/>
        <v>16.615499999999997</v>
      </c>
      <c r="M179" s="2">
        <f t="shared" si="18"/>
        <v>787.95</v>
      </c>
      <c r="O179" s="1">
        <f t="shared" si="19"/>
        <v>17.226203703703703</v>
      </c>
      <c r="P179" s="2">
        <f t="shared" si="20"/>
        <v>802.25</v>
      </c>
    </row>
    <row r="180" spans="1:16" x14ac:dyDescent="0.45">
      <c r="A180" s="12"/>
      <c r="B180" s="4">
        <v>45145</v>
      </c>
      <c r="C180" s="1">
        <f>10+24/60</f>
        <v>10.4</v>
      </c>
      <c r="D180">
        <v>464</v>
      </c>
      <c r="E180" s="2">
        <v>0</v>
      </c>
      <c r="F180" s="2">
        <v>8260</v>
      </c>
      <c r="G180" s="2">
        <f t="shared" si="16"/>
        <v>7334.75</v>
      </c>
      <c r="I180" s="1">
        <f t="shared" si="14"/>
        <v>11.27</v>
      </c>
      <c r="J180" s="2">
        <f t="shared" si="15"/>
        <v>496.5</v>
      </c>
      <c r="L180" s="1">
        <f t="shared" si="17"/>
        <v>15.164499999999999</v>
      </c>
      <c r="M180" s="2">
        <f t="shared" si="18"/>
        <v>713.75</v>
      </c>
      <c r="O180" s="1">
        <f t="shared" si="19"/>
        <v>16.663148148148149</v>
      </c>
      <c r="P180" s="2">
        <f t="shared" si="20"/>
        <v>795.25</v>
      </c>
    </row>
    <row r="181" spans="1:16" x14ac:dyDescent="0.45">
      <c r="A181" s="12"/>
      <c r="B181" s="4">
        <v>45152</v>
      </c>
      <c r="C181" s="1">
        <f>19+35/60</f>
        <v>19.583333333333332</v>
      </c>
      <c r="D181">
        <v>1031</v>
      </c>
      <c r="E181" s="2">
        <v>0</v>
      </c>
      <c r="F181" s="2">
        <v>15487</v>
      </c>
      <c r="G181" s="2">
        <f t="shared" si="16"/>
        <v>9504.25</v>
      </c>
      <c r="I181" s="1">
        <f t="shared" si="14"/>
        <v>13.445</v>
      </c>
      <c r="J181" s="2">
        <f t="shared" si="15"/>
        <v>626.25</v>
      </c>
      <c r="L181" s="1">
        <f t="shared" si="17"/>
        <v>14.100999999999999</v>
      </c>
      <c r="M181" s="2">
        <f t="shared" si="18"/>
        <v>657.3</v>
      </c>
      <c r="O181" s="1">
        <f t="shared" si="19"/>
        <v>15.981574074074071</v>
      </c>
      <c r="P181" s="2">
        <f t="shared" si="20"/>
        <v>758.25</v>
      </c>
    </row>
    <row r="182" spans="1:16" x14ac:dyDescent="0.45">
      <c r="A182" s="12" t="s">
        <v>185</v>
      </c>
      <c r="B182" s="4">
        <v>45159</v>
      </c>
      <c r="C182" s="1">
        <f>16+49/60</f>
        <v>16.816666666666666</v>
      </c>
      <c r="D182">
        <v>898</v>
      </c>
      <c r="E182" s="2">
        <v>0</v>
      </c>
      <c r="F182" s="2">
        <v>13800</v>
      </c>
      <c r="G182" s="2">
        <f t="shared" si="16"/>
        <v>10995</v>
      </c>
      <c r="I182" s="1">
        <f t="shared" si="14"/>
        <v>14.566666666666666</v>
      </c>
      <c r="J182" s="2">
        <f t="shared" si="15"/>
        <v>709</v>
      </c>
      <c r="L182" s="1">
        <f t="shared" si="17"/>
        <v>13.630166666666668</v>
      </c>
      <c r="M182" s="2">
        <f t="shared" si="18"/>
        <v>636.15</v>
      </c>
      <c r="O182" s="1">
        <f t="shared" si="19"/>
        <v>15.393518518518517</v>
      </c>
      <c r="P182" s="2">
        <f t="shared" si="20"/>
        <v>730.80555555555554</v>
      </c>
    </row>
    <row r="183" spans="1:16" x14ac:dyDescent="0.45">
      <c r="A183" s="12"/>
      <c r="B183" s="4">
        <v>45166</v>
      </c>
      <c r="C183" s="1">
        <f>18+56/60</f>
        <v>18.933333333333334</v>
      </c>
      <c r="D183">
        <v>820</v>
      </c>
      <c r="E183" s="2">
        <v>1</v>
      </c>
      <c r="F183" s="2">
        <v>14229</v>
      </c>
      <c r="G183" s="2">
        <f t="shared" si="16"/>
        <v>12944</v>
      </c>
      <c r="I183" s="1">
        <f t="shared" si="14"/>
        <v>16.433333333333334</v>
      </c>
      <c r="J183" s="2">
        <f t="shared" si="15"/>
        <v>803.25</v>
      </c>
      <c r="L183" s="1">
        <f t="shared" si="17"/>
        <v>13.802000000000001</v>
      </c>
      <c r="M183" s="2">
        <f t="shared" si="18"/>
        <v>648</v>
      </c>
      <c r="O183" s="1">
        <f t="shared" si="19"/>
        <v>14.122592592592593</v>
      </c>
      <c r="P183" s="2">
        <f t="shared" si="20"/>
        <v>665.27777777777783</v>
      </c>
    </row>
    <row r="184" spans="1:16" x14ac:dyDescent="0.45">
      <c r="A184" s="12"/>
      <c r="B184" s="4">
        <v>45173</v>
      </c>
      <c r="C184" s="1">
        <f>15+3/60</f>
        <v>15.05</v>
      </c>
      <c r="D184">
        <v>679</v>
      </c>
      <c r="E184" s="2">
        <v>1</v>
      </c>
      <c r="F184" s="2">
        <v>10297</v>
      </c>
      <c r="G184" s="2">
        <f t="shared" si="16"/>
        <v>13453.25</v>
      </c>
      <c r="I184" s="1">
        <f t="shared" si="14"/>
        <v>17.595833333333331</v>
      </c>
      <c r="J184" s="2">
        <f t="shared" si="15"/>
        <v>857</v>
      </c>
      <c r="L184" s="1">
        <f t="shared" si="17"/>
        <v>14.662166666666668</v>
      </c>
      <c r="M184" s="2">
        <f t="shared" si="18"/>
        <v>698.4</v>
      </c>
      <c r="O184" s="1">
        <f t="shared" si="19"/>
        <v>13.218796296296297</v>
      </c>
      <c r="P184" s="2">
        <f t="shared" si="20"/>
        <v>616.11111111111109</v>
      </c>
    </row>
    <row r="185" spans="1:16" x14ac:dyDescent="0.45">
      <c r="A185" s="12"/>
      <c r="B185" s="4">
        <v>45180</v>
      </c>
      <c r="C185" s="1">
        <f>16+50/60</f>
        <v>16.833333333333332</v>
      </c>
      <c r="D185">
        <v>1009</v>
      </c>
      <c r="E185" s="2">
        <v>0</v>
      </c>
      <c r="F185" s="2">
        <v>10489</v>
      </c>
      <c r="G185" s="2">
        <f t="shared" si="16"/>
        <v>12203.75</v>
      </c>
      <c r="I185" s="1">
        <f t="shared" si="14"/>
        <v>16.908333333333331</v>
      </c>
      <c r="J185" s="2">
        <f t="shared" si="15"/>
        <v>851.5</v>
      </c>
      <c r="L185" s="1">
        <f t="shared" si="17"/>
        <v>15.789833333333334</v>
      </c>
      <c r="M185" s="2">
        <f t="shared" si="18"/>
        <v>769.4</v>
      </c>
      <c r="O185" s="1">
        <f t="shared" si="19"/>
        <v>14.172870370370369</v>
      </c>
      <c r="P185" s="2">
        <f t="shared" si="20"/>
        <v>666.52777777777783</v>
      </c>
    </row>
    <row r="186" spans="1:16" x14ac:dyDescent="0.45">
      <c r="A186" s="12"/>
      <c r="B186" s="4">
        <v>45187</v>
      </c>
      <c r="C186" s="1">
        <f>15+44/60</f>
        <v>15.733333333333333</v>
      </c>
      <c r="D186">
        <v>1008</v>
      </c>
      <c r="E186" s="2">
        <v>0</v>
      </c>
      <c r="F186" s="2">
        <v>14508</v>
      </c>
      <c r="G186" s="2">
        <f t="shared" si="16"/>
        <v>12380.75</v>
      </c>
      <c r="I186" s="1">
        <f t="shared" si="14"/>
        <v>16.637499999999999</v>
      </c>
      <c r="J186" s="2">
        <f t="shared" si="15"/>
        <v>879</v>
      </c>
      <c r="L186" s="1">
        <f t="shared" si="17"/>
        <v>16.428333333333335</v>
      </c>
      <c r="M186" s="2">
        <f t="shared" si="18"/>
        <v>819.95</v>
      </c>
      <c r="O186" s="1">
        <f t="shared" si="19"/>
        <v>14.899999999999999</v>
      </c>
      <c r="P186" s="2">
        <f t="shared" si="20"/>
        <v>716.97222222222217</v>
      </c>
    </row>
    <row r="187" spans="1:16" x14ac:dyDescent="0.45">
      <c r="A187" s="12"/>
      <c r="B187" s="10">
        <v>45194</v>
      </c>
      <c r="C187" s="1">
        <f>14+25/60</f>
        <v>14.416666666666666</v>
      </c>
      <c r="D187" s="1">
        <v>576</v>
      </c>
      <c r="E187" s="2">
        <v>1</v>
      </c>
      <c r="F187" s="2">
        <v>9391</v>
      </c>
      <c r="G187" s="2">
        <f t="shared" si="16"/>
        <v>11171.25</v>
      </c>
      <c r="H187" s="1"/>
      <c r="I187" s="1">
        <f t="shared" si="14"/>
        <v>15.508333333333333</v>
      </c>
      <c r="J187" s="2">
        <f t="shared" si="15"/>
        <v>818</v>
      </c>
      <c r="L187" s="1">
        <f t="shared" si="17"/>
        <v>16.616666666666667</v>
      </c>
      <c r="M187" s="2">
        <f t="shared" si="18"/>
        <v>841.75</v>
      </c>
      <c r="O187" s="1">
        <f t="shared" si="19"/>
        <v>15.900925925925925</v>
      </c>
      <c r="P187" s="2">
        <f t="shared" si="20"/>
        <v>798.66666666666663</v>
      </c>
    </row>
    <row r="188" spans="1:16" x14ac:dyDescent="0.45">
      <c r="A188" s="12" t="s">
        <v>113</v>
      </c>
      <c r="B188" s="10">
        <v>45201</v>
      </c>
      <c r="C188" s="1">
        <f>18+12/60</f>
        <v>18.2</v>
      </c>
      <c r="D188">
        <v>1015</v>
      </c>
      <c r="E188" s="2">
        <v>0</v>
      </c>
      <c r="F188" s="2">
        <v>14651</v>
      </c>
      <c r="G188" s="2">
        <f t="shared" si="16"/>
        <v>12259.75</v>
      </c>
      <c r="I188" s="1">
        <f t="shared" si="14"/>
        <v>16.295833333333331</v>
      </c>
      <c r="J188" s="2">
        <f t="shared" si="15"/>
        <v>902</v>
      </c>
      <c r="L188" s="1">
        <f t="shared" si="17"/>
        <v>16.589166666666664</v>
      </c>
      <c r="M188" s="2">
        <f t="shared" si="18"/>
        <v>861.5</v>
      </c>
      <c r="O188" s="1">
        <f t="shared" si="19"/>
        <v>17.355555555555554</v>
      </c>
      <c r="P188" s="2">
        <f t="shared" si="20"/>
        <v>891</v>
      </c>
    </row>
    <row r="189" spans="1:16" x14ac:dyDescent="0.45">
      <c r="A189" s="12"/>
      <c r="B189" s="10">
        <v>45208</v>
      </c>
      <c r="C189" s="1">
        <f>4+44/60</f>
        <v>4.7333333333333334</v>
      </c>
      <c r="D189">
        <v>278</v>
      </c>
      <c r="E189" s="2">
        <v>0</v>
      </c>
      <c r="F189" s="2">
        <v>2847</v>
      </c>
      <c r="G189" s="2">
        <f t="shared" si="16"/>
        <v>10349.25</v>
      </c>
      <c r="I189" s="1">
        <f t="shared" si="14"/>
        <v>13.270833333333332</v>
      </c>
      <c r="J189" s="2">
        <f t="shared" si="15"/>
        <v>719.25</v>
      </c>
      <c r="L189" s="1">
        <f t="shared" si="17"/>
        <v>15.724166666666667</v>
      </c>
      <c r="M189" s="2">
        <f t="shared" si="18"/>
        <v>833.95</v>
      </c>
      <c r="O189" s="1">
        <f t="shared" si="19"/>
        <v>16.356944444444441</v>
      </c>
      <c r="P189" s="2">
        <f t="shared" si="20"/>
        <v>836.41666666666663</v>
      </c>
    </row>
    <row r="190" spans="1:16" x14ac:dyDescent="0.45">
      <c r="A190" s="12"/>
      <c r="B190" s="10">
        <v>45215</v>
      </c>
      <c r="C190" s="1">
        <v>0</v>
      </c>
      <c r="D190">
        <v>0</v>
      </c>
      <c r="E190" s="2">
        <v>2</v>
      </c>
      <c r="F190" s="2">
        <v>0</v>
      </c>
      <c r="G190" s="2">
        <f t="shared" si="16"/>
        <v>6722.25</v>
      </c>
      <c r="I190" s="1">
        <f t="shared" si="14"/>
        <v>9.3375000000000004</v>
      </c>
      <c r="J190" s="2">
        <f t="shared" si="15"/>
        <v>467.25</v>
      </c>
      <c r="L190" s="1">
        <f t="shared" si="17"/>
        <v>14.209999999999999</v>
      </c>
      <c r="M190" s="2">
        <f t="shared" si="18"/>
        <v>757.1</v>
      </c>
      <c r="O190" s="1">
        <f t="shared" si="19"/>
        <v>15.50601851851852</v>
      </c>
      <c r="P190" s="2">
        <f t="shared" si="20"/>
        <v>786.44444444444446</v>
      </c>
    </row>
    <row r="191" spans="1:16" x14ac:dyDescent="0.45">
      <c r="A191" s="12"/>
      <c r="B191" s="4">
        <v>45222</v>
      </c>
      <c r="C191" s="1">
        <f>6+21/60</f>
        <v>6.35</v>
      </c>
      <c r="D191">
        <v>192</v>
      </c>
      <c r="E191" s="2">
        <v>2</v>
      </c>
      <c r="F191" s="2">
        <v>2906</v>
      </c>
      <c r="G191" s="2">
        <f t="shared" si="16"/>
        <v>5101</v>
      </c>
      <c r="I191" s="1">
        <f t="shared" si="14"/>
        <v>7.3208333333333329</v>
      </c>
      <c r="J191" s="2">
        <f t="shared" si="15"/>
        <v>371.25</v>
      </c>
      <c r="L191" s="1">
        <f t="shared" si="17"/>
        <v>12.346666666666666</v>
      </c>
      <c r="M191" s="2">
        <f t="shared" si="18"/>
        <v>655.55</v>
      </c>
      <c r="O191" s="1">
        <f t="shared" si="19"/>
        <v>13.835185185185184</v>
      </c>
      <c r="P191" s="2">
        <f t="shared" si="20"/>
        <v>736.36111111111109</v>
      </c>
    </row>
    <row r="192" spans="1:16" x14ac:dyDescent="0.45">
      <c r="A192" s="12"/>
      <c r="B192" s="4">
        <v>45229</v>
      </c>
      <c r="C192" s="1">
        <f>12+2/60</f>
        <v>12.033333333333333</v>
      </c>
      <c r="D192">
        <v>441</v>
      </c>
      <c r="E192" s="2">
        <v>2</v>
      </c>
      <c r="F192" s="2">
        <v>9158</v>
      </c>
      <c r="G192" s="2">
        <f t="shared" si="16"/>
        <v>3727.75</v>
      </c>
      <c r="I192" s="1">
        <f t="shared" si="14"/>
        <v>5.7791666666666668</v>
      </c>
      <c r="J192" s="2">
        <f t="shared" si="15"/>
        <v>227.75</v>
      </c>
      <c r="L192" s="1">
        <f t="shared" si="17"/>
        <v>10.400833333333333</v>
      </c>
      <c r="M192" s="2">
        <f t="shared" si="18"/>
        <v>537.5</v>
      </c>
      <c r="O192" s="1">
        <f t="shared" si="19"/>
        <v>12.94351851851852</v>
      </c>
      <c r="P192" s="2">
        <f t="shared" si="20"/>
        <v>711</v>
      </c>
    </row>
    <row r="193" spans="1:16" x14ac:dyDescent="0.45">
      <c r="A193" s="12"/>
      <c r="B193" s="4">
        <v>45236</v>
      </c>
      <c r="C193" s="1">
        <f>6+57/60</f>
        <v>6.95</v>
      </c>
      <c r="D193">
        <v>258</v>
      </c>
      <c r="E193" s="2">
        <v>2</v>
      </c>
      <c r="F193" s="2">
        <v>5285</v>
      </c>
      <c r="G193" s="2">
        <f t="shared" si="16"/>
        <v>4337.25</v>
      </c>
      <c r="I193" s="1">
        <f t="shared" si="14"/>
        <v>6.333333333333333</v>
      </c>
      <c r="J193" s="2">
        <f t="shared" si="15"/>
        <v>222.75</v>
      </c>
      <c r="L193" s="1">
        <f t="shared" si="17"/>
        <v>8.4083333333333314</v>
      </c>
      <c r="M193" s="2">
        <f t="shared" si="18"/>
        <v>401.65</v>
      </c>
      <c r="O193" s="1">
        <f t="shared" si="19"/>
        <v>11.38101851851852</v>
      </c>
      <c r="P193" s="2">
        <f t="shared" si="20"/>
        <v>591.44444444444446</v>
      </c>
    </row>
    <row r="194" spans="1:16" x14ac:dyDescent="0.45">
      <c r="A194" s="12"/>
      <c r="B194" s="4">
        <v>45243</v>
      </c>
      <c r="C194" s="1">
        <f>19+48/60</f>
        <v>19.8</v>
      </c>
      <c r="D194">
        <v>837</v>
      </c>
      <c r="E194" s="2">
        <v>2</v>
      </c>
      <c r="F194" s="2">
        <v>13742</v>
      </c>
      <c r="G194" s="2">
        <f t="shared" si="16"/>
        <v>7772.75</v>
      </c>
      <c r="I194" s="1">
        <f t="shared" si="14"/>
        <v>11.283333333333333</v>
      </c>
      <c r="J194" s="2">
        <f t="shared" si="15"/>
        <v>432</v>
      </c>
      <c r="L194" s="1">
        <f t="shared" si="17"/>
        <v>8.0108333333333341</v>
      </c>
      <c r="M194" s="2">
        <f t="shared" si="18"/>
        <v>344.2</v>
      </c>
      <c r="O194" s="1">
        <f t="shared" si="19"/>
        <v>10.175925925925926</v>
      </c>
      <c r="P194" s="2">
        <f t="shared" si="20"/>
        <v>467.36111111111109</v>
      </c>
    </row>
    <row r="195" spans="1:16" x14ac:dyDescent="0.45">
      <c r="A195" s="12"/>
      <c r="B195" s="10">
        <v>45250</v>
      </c>
      <c r="C195" s="1">
        <f>10+6/60</f>
        <v>10.1</v>
      </c>
      <c r="D195">
        <v>415</v>
      </c>
      <c r="E195" s="2">
        <v>2</v>
      </c>
      <c r="F195" s="2">
        <v>6565</v>
      </c>
      <c r="G195" s="2">
        <f t="shared" si="16"/>
        <v>8687.5</v>
      </c>
      <c r="I195" s="1">
        <f t="shared" si="14"/>
        <v>12.220833333333333</v>
      </c>
      <c r="J195" s="2">
        <f t="shared" si="15"/>
        <v>487.75</v>
      </c>
      <c r="L195" s="1">
        <f t="shared" si="17"/>
        <v>8.5874999999999986</v>
      </c>
      <c r="M195" s="2">
        <f t="shared" si="18"/>
        <v>348.3</v>
      </c>
      <c r="O195" s="1">
        <f t="shared" si="19"/>
        <v>9.1435185185185173</v>
      </c>
      <c r="P195" s="2">
        <f t="shared" si="20"/>
        <v>434.80555555555554</v>
      </c>
    </row>
    <row r="196" spans="1:16" x14ac:dyDescent="0.45">
      <c r="A196" s="12" t="s">
        <v>114</v>
      </c>
      <c r="B196" s="10">
        <v>45257</v>
      </c>
      <c r="C196" s="1">
        <f>21+3/60</f>
        <v>21.05</v>
      </c>
      <c r="D196">
        <v>991</v>
      </c>
      <c r="E196" s="2">
        <v>1</v>
      </c>
      <c r="F196" s="2">
        <v>14813</v>
      </c>
      <c r="G196" s="2">
        <f t="shared" si="16"/>
        <v>10101.25</v>
      </c>
      <c r="I196" s="1">
        <f t="shared" si="14"/>
        <v>14.475000000000001</v>
      </c>
      <c r="J196" s="2">
        <f t="shared" si="15"/>
        <v>625.25</v>
      </c>
      <c r="L196" s="1">
        <f t="shared" si="17"/>
        <v>10.018333333333334</v>
      </c>
      <c r="M196" s="2">
        <f t="shared" si="18"/>
        <v>399.1</v>
      </c>
      <c r="O196" s="1">
        <f t="shared" si="19"/>
        <v>7.3495370370370363</v>
      </c>
      <c r="P196" s="2">
        <f t="shared" si="20"/>
        <v>304.02777777777777</v>
      </c>
    </row>
    <row r="197" spans="1:16" x14ac:dyDescent="0.45">
      <c r="A197" s="12"/>
      <c r="B197" s="10">
        <v>45264</v>
      </c>
      <c r="C197" s="1">
        <f>19+24/60</f>
        <v>19.399999999999999</v>
      </c>
      <c r="D197">
        <v>1011</v>
      </c>
      <c r="E197" s="2">
        <v>2</v>
      </c>
      <c r="F197" s="2">
        <v>10953</v>
      </c>
      <c r="G197" s="2">
        <f t="shared" si="16"/>
        <v>11518.25</v>
      </c>
      <c r="I197" s="1">
        <f t="shared" ref="I197:I239" si="21">AVERAGE(C194:C197)</f>
        <v>17.587499999999999</v>
      </c>
      <c r="J197" s="2">
        <f t="shared" ref="J197:J239" si="22">AVERAGE(D194:D197)</f>
        <v>813.5</v>
      </c>
      <c r="L197" s="1">
        <f t="shared" si="17"/>
        <v>12.38</v>
      </c>
      <c r="M197" s="2">
        <f t="shared" si="18"/>
        <v>516.25</v>
      </c>
      <c r="O197" s="1">
        <f t="shared" si="19"/>
        <v>8.9555555555555557</v>
      </c>
      <c r="P197" s="2">
        <f t="shared" si="20"/>
        <v>357.38888888888891</v>
      </c>
    </row>
    <row r="198" spans="1:16" x14ac:dyDescent="0.45">
      <c r="A198" s="12"/>
      <c r="B198" s="10">
        <v>45271</v>
      </c>
      <c r="C198" s="1">
        <f>18+9/60</f>
        <v>18.149999999999999</v>
      </c>
      <c r="D198">
        <v>727</v>
      </c>
      <c r="E198" s="2">
        <v>2</v>
      </c>
      <c r="F198" s="2">
        <v>12243</v>
      </c>
      <c r="G198" s="2">
        <f t="shared" ref="G198:G261" si="23">AVERAGE(F195:F198)</f>
        <v>11143.5</v>
      </c>
      <c r="I198" s="1">
        <f t="shared" si="21"/>
        <v>17.174999999999997</v>
      </c>
      <c r="J198" s="2">
        <f t="shared" si="22"/>
        <v>786</v>
      </c>
      <c r="L198" s="1">
        <f t="shared" si="17"/>
        <v>14.548333333333332</v>
      </c>
      <c r="M198" s="2">
        <f t="shared" si="18"/>
        <v>628.9</v>
      </c>
      <c r="O198" s="1">
        <f t="shared" si="19"/>
        <v>12.117592592592594</v>
      </c>
      <c r="P198" s="2">
        <f t="shared" si="20"/>
        <v>492.72222222222223</v>
      </c>
    </row>
    <row r="199" spans="1:16" x14ac:dyDescent="0.45">
      <c r="A199" s="12"/>
      <c r="B199" s="4">
        <v>45278</v>
      </c>
      <c r="C199" s="1">
        <f>17+22/60</f>
        <v>17.366666666666667</v>
      </c>
      <c r="D199">
        <v>816</v>
      </c>
      <c r="E199" s="2">
        <v>2</v>
      </c>
      <c r="F199" s="2">
        <v>9580</v>
      </c>
      <c r="G199" s="2">
        <f t="shared" si="23"/>
        <v>11897.25</v>
      </c>
      <c r="I199" s="1">
        <f t="shared" si="21"/>
        <v>18.991666666666667</v>
      </c>
      <c r="J199" s="2">
        <f t="shared" si="22"/>
        <v>886.25</v>
      </c>
      <c r="L199" s="1">
        <f t="shared" si="17"/>
        <v>16.09</v>
      </c>
      <c r="M199" s="2">
        <f t="shared" si="18"/>
        <v>719.75</v>
      </c>
      <c r="O199" s="1">
        <f t="shared" si="19"/>
        <v>14.174537037037036</v>
      </c>
      <c r="P199" s="2">
        <f t="shared" si="20"/>
        <v>602.72222222222217</v>
      </c>
    </row>
    <row r="200" spans="1:16" x14ac:dyDescent="0.45">
      <c r="A200" s="12"/>
      <c r="B200" s="4">
        <v>45285</v>
      </c>
      <c r="C200" s="1">
        <f>13+51/60</f>
        <v>13.85</v>
      </c>
      <c r="D200">
        <v>687</v>
      </c>
      <c r="E200" s="2">
        <v>1</v>
      </c>
      <c r="F200" s="2">
        <v>10573</v>
      </c>
      <c r="G200" s="2">
        <f t="shared" si="23"/>
        <v>10837.25</v>
      </c>
      <c r="I200" s="1">
        <f t="shared" si="21"/>
        <v>17.191666666666666</v>
      </c>
      <c r="J200" s="2">
        <f t="shared" si="22"/>
        <v>810.25</v>
      </c>
      <c r="L200" s="1">
        <f t="shared" si="17"/>
        <v>17.084166666666668</v>
      </c>
      <c r="M200" s="2">
        <f t="shared" si="18"/>
        <v>784.25</v>
      </c>
      <c r="O200" s="1">
        <f t="shared" si="19"/>
        <v>15.018981481481482</v>
      </c>
      <c r="P200" s="2">
        <f t="shared" si="20"/>
        <v>664.22222222222217</v>
      </c>
    </row>
    <row r="201" spans="1:16" x14ac:dyDescent="0.45">
      <c r="A201" s="12"/>
      <c r="B201" s="4">
        <v>45292</v>
      </c>
      <c r="C201" s="1">
        <f>19+21/60</f>
        <v>19.350000000000001</v>
      </c>
      <c r="D201">
        <v>897</v>
      </c>
      <c r="E201" s="21">
        <v>1</v>
      </c>
      <c r="F201" s="2">
        <v>13727</v>
      </c>
      <c r="G201" s="2">
        <f t="shared" si="23"/>
        <v>11530.75</v>
      </c>
      <c r="I201" s="1">
        <f t="shared" si="21"/>
        <v>17.179166666666667</v>
      </c>
      <c r="J201" s="2">
        <f t="shared" si="22"/>
        <v>781.75</v>
      </c>
      <c r="L201" s="1">
        <f t="shared" ref="L201:L239" si="24">((C194)+(2*C195)+(3*C196)+(4*C197)+(4*C198)+(3*C199)+(2*C200)+(C201))/20</f>
        <v>17.625</v>
      </c>
      <c r="M201" s="2">
        <f t="shared" ref="M201:M239" si="25">((D194)+(2*D195)+(3*D196)+(4*D197)+(4*D198)+(3*D199)+(2*D200)+(D201))/20</f>
        <v>815.55</v>
      </c>
      <c r="O201" s="1">
        <f t="shared" si="19"/>
        <v>17.337499999999999</v>
      </c>
      <c r="P201" s="2">
        <f t="shared" si="20"/>
        <v>784.13888888888891</v>
      </c>
    </row>
    <row r="202" spans="1:16" x14ac:dyDescent="0.45">
      <c r="A202" s="12" t="s">
        <v>186</v>
      </c>
      <c r="B202" s="4">
        <v>45299</v>
      </c>
      <c r="C202" s="1">
        <f>25+32/60</f>
        <v>25.533333333333335</v>
      </c>
      <c r="D202">
        <v>1245</v>
      </c>
      <c r="E202" s="2">
        <v>0</v>
      </c>
      <c r="F202" s="2">
        <v>17569</v>
      </c>
      <c r="G202" s="2">
        <f t="shared" si="23"/>
        <v>12862.25</v>
      </c>
      <c r="I202" s="1">
        <f t="shared" si="21"/>
        <v>19.025000000000002</v>
      </c>
      <c r="J202" s="2">
        <f t="shared" si="22"/>
        <v>911.25</v>
      </c>
      <c r="L202" s="1">
        <f t="shared" si="24"/>
        <v>17.912500000000001</v>
      </c>
      <c r="M202" s="2">
        <f t="shared" si="25"/>
        <v>835.1</v>
      </c>
      <c r="O202" s="1">
        <f t="shared" si="19"/>
        <v>16.959722222222222</v>
      </c>
      <c r="P202" s="2">
        <f t="shared" si="20"/>
        <v>786.72222222222217</v>
      </c>
    </row>
    <row r="203" spans="1:16" x14ac:dyDescent="0.45">
      <c r="A203" s="12"/>
      <c r="B203" s="10">
        <v>45306</v>
      </c>
      <c r="C203" s="1">
        <f>12+35/60</f>
        <v>12.583333333333334</v>
      </c>
      <c r="D203" s="2">
        <v>421</v>
      </c>
      <c r="E203" s="2">
        <v>2</v>
      </c>
      <c r="F203" s="2">
        <v>7999</v>
      </c>
      <c r="G203" s="2">
        <f t="shared" si="23"/>
        <v>12467</v>
      </c>
      <c r="H203" s="2"/>
      <c r="I203" s="1">
        <f t="shared" si="21"/>
        <v>17.829166666666666</v>
      </c>
      <c r="J203" s="2">
        <f t="shared" si="22"/>
        <v>812.5</v>
      </c>
      <c r="L203" s="1">
        <f t="shared" si="24"/>
        <v>18.043333333333329</v>
      </c>
      <c r="M203" s="2">
        <f t="shared" si="25"/>
        <v>840.4</v>
      </c>
      <c r="O203" s="1">
        <f t="shared" si="19"/>
        <v>18.80648148148148</v>
      </c>
      <c r="P203" s="2">
        <f t="shared" si="20"/>
        <v>883.25</v>
      </c>
    </row>
    <row r="204" spans="1:16" x14ac:dyDescent="0.45">
      <c r="A204" s="12"/>
      <c r="B204" s="10">
        <v>45313</v>
      </c>
      <c r="C204" s="1">
        <f>16+4/60</f>
        <v>16.066666666666666</v>
      </c>
      <c r="D204" s="2">
        <v>598</v>
      </c>
      <c r="E204" s="2">
        <v>2</v>
      </c>
      <c r="F204" s="2">
        <v>10170</v>
      </c>
      <c r="G204" s="2">
        <f t="shared" si="23"/>
        <v>12366.25</v>
      </c>
      <c r="H204" s="2"/>
      <c r="I204" s="1">
        <f t="shared" si="21"/>
        <v>18.383333333333336</v>
      </c>
      <c r="J204" s="2">
        <f t="shared" si="22"/>
        <v>790.25</v>
      </c>
      <c r="L204" s="1">
        <f t="shared" si="24"/>
        <v>17.921666666666667</v>
      </c>
      <c r="M204" s="2">
        <f t="shared" si="25"/>
        <v>821.2</v>
      </c>
      <c r="O204" s="1">
        <f t="shared" si="19"/>
        <v>18.081481481481482</v>
      </c>
      <c r="P204" s="2">
        <f t="shared" si="20"/>
        <v>840.86111111111109</v>
      </c>
    </row>
    <row r="205" spans="1:16" x14ac:dyDescent="0.45">
      <c r="A205" s="12" t="s">
        <v>57</v>
      </c>
      <c r="B205" s="10">
        <v>45320</v>
      </c>
      <c r="C205" s="1">
        <v>19</v>
      </c>
      <c r="D205" s="2">
        <v>667</v>
      </c>
      <c r="E205" s="2">
        <v>1</v>
      </c>
      <c r="F205" s="2">
        <v>11274</v>
      </c>
      <c r="G205" s="2">
        <f t="shared" si="23"/>
        <v>11753</v>
      </c>
      <c r="H205" s="2"/>
      <c r="I205" s="1">
        <f t="shared" si="21"/>
        <v>18.295833333333334</v>
      </c>
      <c r="J205" s="2">
        <f t="shared" si="22"/>
        <v>732.75</v>
      </c>
      <c r="L205" s="1">
        <f t="shared" si="24"/>
        <v>18.142500000000002</v>
      </c>
      <c r="M205" s="2">
        <f t="shared" si="25"/>
        <v>805.7</v>
      </c>
      <c r="O205" s="1">
        <f t="shared" ref="O205:O239" si="26">((C205)+(C204*2)+(C203*3)+(C202*4)+(C201*5)+(C200*6)+(C199*7)+(C198*8))/36</f>
        <v>17.712037037037035</v>
      </c>
      <c r="P205" s="2">
        <f t="shared" ref="P205:P239" si="27">((D205)+(D204*2)+(D203*3)+(D202*4)+(D201*5)+(D200*6)+(D199*7)+(D198*8))/36</f>
        <v>784.47222222222217</v>
      </c>
    </row>
    <row r="206" spans="1:16" x14ac:dyDescent="0.45">
      <c r="A206" s="12" t="s">
        <v>180</v>
      </c>
      <c r="B206" s="10">
        <v>45327</v>
      </c>
      <c r="C206" s="1">
        <f>6+3/60</f>
        <v>6.05</v>
      </c>
      <c r="D206" s="2">
        <v>365</v>
      </c>
      <c r="E206" s="2">
        <v>0</v>
      </c>
      <c r="F206" s="2">
        <v>5359</v>
      </c>
      <c r="G206" s="2">
        <f t="shared" si="23"/>
        <v>8700.5</v>
      </c>
      <c r="H206" s="2"/>
      <c r="I206" s="1">
        <f t="shared" si="21"/>
        <v>13.424999999999999</v>
      </c>
      <c r="J206" s="2">
        <f t="shared" si="22"/>
        <v>512.75</v>
      </c>
      <c r="L206" s="1">
        <f t="shared" si="24"/>
        <v>17.391666666666669</v>
      </c>
      <c r="M206" s="2">
        <f t="shared" si="25"/>
        <v>751.9</v>
      </c>
      <c r="O206" s="1">
        <f t="shared" si="26"/>
        <v>17.284259259259258</v>
      </c>
      <c r="P206" s="2">
        <f t="shared" si="27"/>
        <v>781.13888888888891</v>
      </c>
    </row>
    <row r="207" spans="1:16" x14ac:dyDescent="0.45">
      <c r="A207" s="12" t="s">
        <v>102</v>
      </c>
      <c r="B207" s="4">
        <v>45334</v>
      </c>
      <c r="C207" s="1">
        <f>21+33/60</f>
        <v>21.55</v>
      </c>
      <c r="D207" s="2">
        <v>969</v>
      </c>
      <c r="E207" s="2">
        <v>2</v>
      </c>
      <c r="F207" s="2">
        <v>14536</v>
      </c>
      <c r="G207" s="2">
        <f t="shared" si="23"/>
        <v>10334.75</v>
      </c>
      <c r="H207" s="2"/>
      <c r="I207" s="1">
        <f t="shared" si="21"/>
        <v>15.666666666666664</v>
      </c>
      <c r="J207" s="2">
        <f t="shared" si="22"/>
        <v>649.75</v>
      </c>
      <c r="L207" s="1">
        <f t="shared" si="24"/>
        <v>16.720000000000002</v>
      </c>
      <c r="M207" s="2">
        <f t="shared" si="25"/>
        <v>699.6</v>
      </c>
      <c r="O207" s="1">
        <f t="shared" si="26"/>
        <v>17.146759259259262</v>
      </c>
      <c r="P207" s="2">
        <f t="shared" si="27"/>
        <v>762.27777777777783</v>
      </c>
    </row>
    <row r="208" spans="1:16" x14ac:dyDescent="0.45">
      <c r="A208" s="12"/>
      <c r="B208" s="4">
        <v>45341</v>
      </c>
      <c r="C208" s="1">
        <f>16+50/60</f>
        <v>16.833333333333332</v>
      </c>
      <c r="D208" s="2">
        <v>745</v>
      </c>
      <c r="E208" s="2">
        <v>2</v>
      </c>
      <c r="F208" s="2">
        <v>13532</v>
      </c>
      <c r="G208" s="2">
        <f t="shared" si="23"/>
        <v>11175.25</v>
      </c>
      <c r="H208" s="2"/>
      <c r="I208" s="1">
        <f t="shared" si="21"/>
        <v>15.858333333333334</v>
      </c>
      <c r="J208" s="2">
        <f t="shared" si="22"/>
        <v>686.5</v>
      </c>
      <c r="L208" s="1">
        <f t="shared" si="24"/>
        <v>16.325833333333332</v>
      </c>
      <c r="M208" s="2">
        <f t="shared" si="25"/>
        <v>674.4</v>
      </c>
      <c r="O208" s="1">
        <f t="shared" si="26"/>
        <v>17.873611111111114</v>
      </c>
      <c r="P208" s="2">
        <f t="shared" si="27"/>
        <v>773.69444444444446</v>
      </c>
    </row>
    <row r="209" spans="1:16" x14ac:dyDescent="0.45">
      <c r="A209" s="12"/>
      <c r="B209" s="4">
        <v>45348</v>
      </c>
      <c r="C209" s="1">
        <f>15+5/60</f>
        <v>15.083333333333334</v>
      </c>
      <c r="D209" s="2">
        <v>596</v>
      </c>
      <c r="E209" s="2">
        <v>1</v>
      </c>
      <c r="F209" s="2">
        <v>10216</v>
      </c>
      <c r="G209" s="2">
        <f t="shared" si="23"/>
        <v>10910.75</v>
      </c>
      <c r="H209" s="2"/>
      <c r="I209" s="1">
        <f t="shared" si="21"/>
        <v>14.879166666666668</v>
      </c>
      <c r="J209" s="2">
        <f t="shared" si="22"/>
        <v>668.75</v>
      </c>
      <c r="L209" s="1">
        <f t="shared" si="24"/>
        <v>15.625</v>
      </c>
      <c r="M209" s="2">
        <f t="shared" si="25"/>
        <v>650.1</v>
      </c>
      <c r="O209" s="1">
        <f t="shared" si="26"/>
        <v>17.259722222222223</v>
      </c>
      <c r="P209" s="2">
        <f t="shared" si="27"/>
        <v>730.08333333333337</v>
      </c>
    </row>
    <row r="210" spans="1:16" x14ac:dyDescent="0.45">
      <c r="A210" s="12"/>
      <c r="B210" s="4">
        <v>45355</v>
      </c>
      <c r="C210" s="1">
        <f>16+23/60</f>
        <v>16.383333333333333</v>
      </c>
      <c r="D210" s="2">
        <v>668</v>
      </c>
      <c r="E210" s="2">
        <v>2</v>
      </c>
      <c r="F210" s="2">
        <v>11815</v>
      </c>
      <c r="G210" s="2">
        <f t="shared" si="23"/>
        <v>12524.75</v>
      </c>
      <c r="H210" s="2"/>
      <c r="I210" s="1">
        <f t="shared" si="21"/>
        <v>17.462499999999999</v>
      </c>
      <c r="J210" s="2">
        <f t="shared" si="22"/>
        <v>744.5</v>
      </c>
      <c r="L210" s="1">
        <f t="shared" si="24"/>
        <v>15.458333333333334</v>
      </c>
      <c r="M210" s="2">
        <f t="shared" si="25"/>
        <v>652.45000000000005</v>
      </c>
      <c r="O210" s="1">
        <f t="shared" si="26"/>
        <v>15.017592592592592</v>
      </c>
      <c r="P210" s="2">
        <f t="shared" si="27"/>
        <v>593.11111111111109</v>
      </c>
    </row>
    <row r="211" spans="1:16" x14ac:dyDescent="0.45">
      <c r="A211" s="12" t="s">
        <v>61</v>
      </c>
      <c r="B211" s="10">
        <v>45362</v>
      </c>
      <c r="C211" s="1">
        <f>12+54/60</f>
        <v>12.9</v>
      </c>
      <c r="D211" s="2">
        <v>541</v>
      </c>
      <c r="E211" s="2">
        <v>2</v>
      </c>
      <c r="F211" s="2">
        <v>8281</v>
      </c>
      <c r="G211" s="2">
        <f t="shared" si="23"/>
        <v>10961</v>
      </c>
      <c r="H211" s="2"/>
      <c r="I211" s="1">
        <f t="shared" si="21"/>
        <v>15.299999999999999</v>
      </c>
      <c r="J211" s="2">
        <f t="shared" si="22"/>
        <v>637.5</v>
      </c>
      <c r="L211" s="1">
        <f t="shared" si="24"/>
        <v>15.833333333333332</v>
      </c>
      <c r="M211" s="2">
        <f t="shared" si="25"/>
        <v>677.4</v>
      </c>
      <c r="O211" s="1">
        <f t="shared" si="26"/>
        <v>15.662037037037038</v>
      </c>
      <c r="P211" s="2">
        <f t="shared" si="27"/>
        <v>642.58333333333337</v>
      </c>
    </row>
    <row r="212" spans="1:16" x14ac:dyDescent="0.45">
      <c r="A212" s="12" t="s">
        <v>187</v>
      </c>
      <c r="B212" s="10">
        <v>45369</v>
      </c>
      <c r="C212" s="1">
        <f>4+57/60</f>
        <v>4.95</v>
      </c>
      <c r="D212" s="2">
        <v>141</v>
      </c>
      <c r="E212" s="2">
        <v>1</v>
      </c>
      <c r="F212" s="2">
        <v>3356</v>
      </c>
      <c r="G212" s="2">
        <f t="shared" si="23"/>
        <v>8417</v>
      </c>
      <c r="H212" s="2"/>
      <c r="I212" s="1">
        <f t="shared" si="21"/>
        <v>12.329166666666667</v>
      </c>
      <c r="J212" s="2">
        <f t="shared" si="22"/>
        <v>486.5</v>
      </c>
      <c r="L212" s="1">
        <f t="shared" si="24"/>
        <v>15.165833333333333</v>
      </c>
      <c r="M212" s="2">
        <f t="shared" si="25"/>
        <v>644.75</v>
      </c>
      <c r="O212" s="1">
        <f t="shared" si="26"/>
        <v>15.223611111111113</v>
      </c>
      <c r="P212" s="2">
        <f t="shared" si="27"/>
        <v>640.02777777777783</v>
      </c>
    </row>
    <row r="213" spans="1:16" x14ac:dyDescent="0.45">
      <c r="A213" s="12" t="s">
        <v>188</v>
      </c>
      <c r="B213" s="10">
        <v>45376</v>
      </c>
      <c r="C213" s="1">
        <f>14+16/60</f>
        <v>14.266666666666667</v>
      </c>
      <c r="D213" s="2">
        <v>633</v>
      </c>
      <c r="E213" s="2">
        <v>0</v>
      </c>
      <c r="F213" s="2">
        <v>10460</v>
      </c>
      <c r="G213" s="2">
        <f t="shared" si="23"/>
        <v>8478</v>
      </c>
      <c r="H213" s="2"/>
      <c r="I213" s="1">
        <f t="shared" si="21"/>
        <v>12.125</v>
      </c>
      <c r="J213" s="2">
        <f t="shared" si="22"/>
        <v>495.75</v>
      </c>
      <c r="L213" s="1">
        <f t="shared" si="24"/>
        <v>14.419166666666666</v>
      </c>
      <c r="M213" s="2">
        <f t="shared" si="25"/>
        <v>606.6</v>
      </c>
      <c r="O213" s="1">
        <f t="shared" si="26"/>
        <v>14.00185185185185</v>
      </c>
      <c r="P213" s="2">
        <f t="shared" si="27"/>
        <v>621.19444444444446</v>
      </c>
    </row>
    <row r="214" spans="1:16" x14ac:dyDescent="0.45">
      <c r="A214" s="12" t="s">
        <v>189</v>
      </c>
      <c r="B214" s="10">
        <v>45383</v>
      </c>
      <c r="C214" s="1">
        <f>25+31/60</f>
        <v>25.516666666666666</v>
      </c>
      <c r="D214" s="2">
        <v>1198</v>
      </c>
      <c r="E214" s="2">
        <v>0</v>
      </c>
      <c r="F214" s="2">
        <v>17475</v>
      </c>
      <c r="G214" s="2">
        <f t="shared" si="23"/>
        <v>9893</v>
      </c>
      <c r="H214" s="2"/>
      <c r="I214" s="1">
        <f t="shared" si="21"/>
        <v>14.408333333333333</v>
      </c>
      <c r="J214" s="2">
        <f t="shared" si="22"/>
        <v>628.25</v>
      </c>
      <c r="L214" s="1">
        <f t="shared" si="24"/>
        <v>14.324999999999999</v>
      </c>
      <c r="M214" s="2">
        <f t="shared" si="25"/>
        <v>598.5</v>
      </c>
      <c r="O214" s="1">
        <f t="shared" si="26"/>
        <v>16.198611111111109</v>
      </c>
      <c r="P214" s="2">
        <f t="shared" si="27"/>
        <v>692.61111111111109</v>
      </c>
    </row>
    <row r="215" spans="1:16" x14ac:dyDescent="0.45">
      <c r="A215" s="12"/>
      <c r="B215" s="4">
        <v>45390</v>
      </c>
      <c r="C215" s="1">
        <f>14+26/60</f>
        <v>14.433333333333334</v>
      </c>
      <c r="D215" s="2">
        <v>618</v>
      </c>
      <c r="E215" s="2">
        <v>2</v>
      </c>
      <c r="F215" s="2">
        <v>12015</v>
      </c>
      <c r="G215" s="2">
        <f t="shared" si="23"/>
        <v>10826.5</v>
      </c>
      <c r="H215" s="2"/>
      <c r="I215" s="1">
        <f t="shared" si="21"/>
        <v>14.791666666666668</v>
      </c>
      <c r="J215" s="2">
        <f t="shared" si="22"/>
        <v>647.5</v>
      </c>
      <c r="L215" s="1">
        <f t="shared" si="24"/>
        <v>13.790833333333333</v>
      </c>
      <c r="M215" s="2">
        <f t="shared" si="25"/>
        <v>579.1</v>
      </c>
      <c r="O215" s="1">
        <f t="shared" si="26"/>
        <v>14.753240740740742</v>
      </c>
      <c r="P215" s="2">
        <f t="shared" si="27"/>
        <v>620.05555555555554</v>
      </c>
    </row>
    <row r="216" spans="1:16" x14ac:dyDescent="0.45">
      <c r="A216" s="12"/>
      <c r="B216" s="4">
        <v>45397</v>
      </c>
      <c r="C216" s="1">
        <f>19+6/60</f>
        <v>19.100000000000001</v>
      </c>
      <c r="D216" s="2">
        <v>814</v>
      </c>
      <c r="E216" s="2">
        <v>2</v>
      </c>
      <c r="F216" s="2">
        <v>14301</v>
      </c>
      <c r="G216" s="2">
        <f t="shared" si="23"/>
        <v>13562.75</v>
      </c>
      <c r="H216" s="2"/>
      <c r="I216" s="1">
        <f t="shared" si="21"/>
        <v>18.329166666666666</v>
      </c>
      <c r="J216" s="2">
        <f t="shared" si="22"/>
        <v>815.75</v>
      </c>
      <c r="L216" s="1">
        <f t="shared" si="24"/>
        <v>14.39666666666667</v>
      </c>
      <c r="M216" s="2">
        <f t="shared" si="25"/>
        <v>614.75</v>
      </c>
      <c r="O216" s="1">
        <f t="shared" si="26"/>
        <v>14.418981481481483</v>
      </c>
      <c r="P216" s="2">
        <f t="shared" si="27"/>
        <v>599.19444444444446</v>
      </c>
    </row>
    <row r="217" spans="1:16" x14ac:dyDescent="0.45">
      <c r="A217" s="12"/>
      <c r="B217" s="4">
        <v>45404</v>
      </c>
      <c r="C217" s="1">
        <f>19+52/60</f>
        <v>19.866666666666667</v>
      </c>
      <c r="D217" s="2">
        <v>869</v>
      </c>
      <c r="E217" s="2">
        <v>2</v>
      </c>
      <c r="F217" s="2">
        <v>14984</v>
      </c>
      <c r="G217" s="2">
        <f t="shared" si="23"/>
        <v>14693.75</v>
      </c>
      <c r="H217" s="2"/>
      <c r="I217" s="1">
        <f t="shared" si="21"/>
        <v>19.729166666666668</v>
      </c>
      <c r="J217" s="2">
        <f t="shared" si="22"/>
        <v>874.75</v>
      </c>
      <c r="L217" s="1">
        <f t="shared" si="24"/>
        <v>15.876666666666669</v>
      </c>
      <c r="M217" s="2">
        <f t="shared" si="25"/>
        <v>692.4</v>
      </c>
      <c r="O217" s="1">
        <f t="shared" si="26"/>
        <v>14.606481481481479</v>
      </c>
      <c r="P217" s="2">
        <f t="shared" si="27"/>
        <v>619.02777777777783</v>
      </c>
    </row>
    <row r="218" spans="1:16" x14ac:dyDescent="0.45">
      <c r="A218" s="12"/>
      <c r="B218" s="4">
        <v>45411</v>
      </c>
      <c r="C218" s="15">
        <f>19+25/60</f>
        <v>19.416666666666668</v>
      </c>
      <c r="D218" s="17">
        <v>873</v>
      </c>
      <c r="E218" s="16">
        <v>2</v>
      </c>
      <c r="F218" s="17">
        <v>14117</v>
      </c>
      <c r="G218" s="2">
        <f t="shared" si="23"/>
        <v>13854.25</v>
      </c>
      <c r="H218" s="17"/>
      <c r="I218" s="1">
        <f t="shared" si="21"/>
        <v>18.204166666666666</v>
      </c>
      <c r="J218" s="2">
        <f t="shared" si="22"/>
        <v>793.5</v>
      </c>
      <c r="L218" s="1">
        <f t="shared" si="24"/>
        <v>17.092500000000005</v>
      </c>
      <c r="M218" s="2">
        <f t="shared" si="25"/>
        <v>751.95</v>
      </c>
      <c r="O218" s="1">
        <f t="shared" si="26"/>
        <v>14.589351851851852</v>
      </c>
      <c r="P218" s="2">
        <f t="shared" si="27"/>
        <v>628.55555555555554</v>
      </c>
    </row>
    <row r="219" spans="1:16" x14ac:dyDescent="0.45">
      <c r="A219" s="12"/>
      <c r="B219" s="4">
        <v>45418</v>
      </c>
      <c r="C219" s="15">
        <f>18+21/60</f>
        <v>18.350000000000001</v>
      </c>
      <c r="D219" s="12">
        <v>863</v>
      </c>
      <c r="E219" s="17">
        <v>2</v>
      </c>
      <c r="F219" s="17">
        <v>13831</v>
      </c>
      <c r="G219" s="2">
        <f t="shared" si="23"/>
        <v>14308.25</v>
      </c>
      <c r="H219" s="12"/>
      <c r="I219" s="1">
        <f t="shared" si="21"/>
        <v>19.183333333333337</v>
      </c>
      <c r="J219" s="2">
        <f t="shared" si="22"/>
        <v>854.75</v>
      </c>
      <c r="L219" s="1">
        <f t="shared" si="24"/>
        <v>18.047499999999999</v>
      </c>
      <c r="M219" s="2">
        <f t="shared" si="25"/>
        <v>797.25</v>
      </c>
      <c r="O219" s="1">
        <f t="shared" si="26"/>
        <v>15.497685185185187</v>
      </c>
      <c r="P219" s="2">
        <f t="shared" si="27"/>
        <v>675.25</v>
      </c>
    </row>
    <row r="220" spans="1:16" x14ac:dyDescent="0.45">
      <c r="A220" s="12"/>
      <c r="B220" s="4">
        <v>45425</v>
      </c>
      <c r="C220" s="15">
        <f>19+16/60</f>
        <v>19.266666666666666</v>
      </c>
      <c r="D220" s="12">
        <v>843</v>
      </c>
      <c r="E220" s="17">
        <v>2</v>
      </c>
      <c r="F220" s="17">
        <v>14995</v>
      </c>
      <c r="G220" s="2">
        <f t="shared" si="23"/>
        <v>14481.75</v>
      </c>
      <c r="H220" s="12"/>
      <c r="I220" s="1">
        <f t="shared" si="21"/>
        <v>19.225000000000001</v>
      </c>
      <c r="J220" s="2">
        <f t="shared" si="22"/>
        <v>862</v>
      </c>
      <c r="L220" s="1">
        <f t="shared" si="24"/>
        <v>18.934166666666666</v>
      </c>
      <c r="M220" s="2">
        <f t="shared" si="25"/>
        <v>840.15</v>
      </c>
      <c r="O220" s="1">
        <f t="shared" si="26"/>
        <v>18.57037037037037</v>
      </c>
      <c r="P220" s="2">
        <f t="shared" si="27"/>
        <v>830.33333333333337</v>
      </c>
    </row>
    <row r="221" spans="1:16" x14ac:dyDescent="0.45">
      <c r="A221" s="12"/>
      <c r="B221" s="4">
        <v>45432</v>
      </c>
      <c r="C221" s="15">
        <f>18+14/60</f>
        <v>18.233333333333334</v>
      </c>
      <c r="D221" s="12">
        <v>591</v>
      </c>
      <c r="E221" s="17">
        <v>2</v>
      </c>
      <c r="F221" s="17">
        <v>11284</v>
      </c>
      <c r="G221" s="2">
        <f t="shared" si="23"/>
        <v>13556.75</v>
      </c>
      <c r="H221" s="12"/>
      <c r="I221" s="1">
        <f t="shared" si="21"/>
        <v>18.816666666666666</v>
      </c>
      <c r="J221" s="2">
        <f t="shared" si="22"/>
        <v>792.5</v>
      </c>
      <c r="L221" s="1">
        <f t="shared" si="24"/>
        <v>19.031666666666666</v>
      </c>
      <c r="M221" s="2">
        <f t="shared" si="25"/>
        <v>835.5</v>
      </c>
      <c r="O221" s="1">
        <f t="shared" si="26"/>
        <v>19.68287037037037</v>
      </c>
      <c r="P221" s="2">
        <f t="shared" si="27"/>
        <v>874.91666666666663</v>
      </c>
    </row>
    <row r="222" spans="1:16" x14ac:dyDescent="0.45">
      <c r="A222" s="12"/>
      <c r="B222" s="4">
        <v>45439</v>
      </c>
      <c r="C222" s="15">
        <f>11+29/60</f>
        <v>11.483333333333333</v>
      </c>
      <c r="D222" s="12">
        <v>515</v>
      </c>
      <c r="E222" s="17">
        <v>1</v>
      </c>
      <c r="F222" s="17">
        <v>8725</v>
      </c>
      <c r="G222" s="2">
        <f t="shared" si="23"/>
        <v>12208.75</v>
      </c>
      <c r="H222" s="12"/>
      <c r="I222" s="1">
        <f t="shared" si="21"/>
        <v>16.833333333333332</v>
      </c>
      <c r="J222" s="2">
        <f t="shared" si="22"/>
        <v>703</v>
      </c>
      <c r="L222" s="1">
        <f t="shared" si="24"/>
        <v>18.452500000000004</v>
      </c>
      <c r="M222" s="2">
        <f t="shared" si="25"/>
        <v>801.15</v>
      </c>
      <c r="O222" s="1">
        <f t="shared" si="26"/>
        <v>17.905555555555555</v>
      </c>
      <c r="P222" s="2">
        <f t="shared" si="27"/>
        <v>774.97222222222217</v>
      </c>
    </row>
    <row r="223" spans="1:16" x14ac:dyDescent="0.45">
      <c r="A223" s="12"/>
      <c r="B223" s="4">
        <v>45446</v>
      </c>
      <c r="C223" s="15">
        <f>11+38/60</f>
        <v>11.633333333333333</v>
      </c>
      <c r="D223" s="12">
        <v>452</v>
      </c>
      <c r="E223" s="17">
        <v>1</v>
      </c>
      <c r="F223" s="17">
        <v>8799</v>
      </c>
      <c r="G223" s="2">
        <f t="shared" si="23"/>
        <v>10950.75</v>
      </c>
      <c r="H223" s="12"/>
      <c r="I223" s="1">
        <f t="shared" si="21"/>
        <v>15.154166666666667</v>
      </c>
      <c r="J223" s="2">
        <f t="shared" si="22"/>
        <v>600.25</v>
      </c>
      <c r="L223" s="1">
        <f t="shared" si="24"/>
        <v>17.842499999999998</v>
      </c>
      <c r="M223" s="2">
        <f t="shared" si="25"/>
        <v>762.5</v>
      </c>
      <c r="O223" s="1">
        <f t="shared" si="26"/>
        <v>18.513425925925926</v>
      </c>
      <c r="P223" s="2">
        <f t="shared" si="27"/>
        <v>799.30555555555554</v>
      </c>
    </row>
    <row r="224" spans="1:16" x14ac:dyDescent="0.45">
      <c r="A224" s="12" t="s">
        <v>190</v>
      </c>
      <c r="B224" s="4">
        <v>45453</v>
      </c>
      <c r="C224" s="15">
        <f>20+11/60</f>
        <v>20.183333333333334</v>
      </c>
      <c r="D224" s="12">
        <v>904</v>
      </c>
      <c r="E224" s="17">
        <v>2</v>
      </c>
      <c r="F224" s="17">
        <v>15770</v>
      </c>
      <c r="G224" s="2">
        <f t="shared" si="23"/>
        <v>11144.5</v>
      </c>
      <c r="H224" s="12"/>
      <c r="I224" s="1">
        <f t="shared" si="21"/>
        <v>15.383333333333333</v>
      </c>
      <c r="J224" s="2">
        <f t="shared" si="22"/>
        <v>615.5</v>
      </c>
      <c r="L224" s="1">
        <f t="shared" si="24"/>
        <v>17.0825</v>
      </c>
      <c r="M224" s="2">
        <f t="shared" si="25"/>
        <v>714.65</v>
      </c>
      <c r="O224" s="1">
        <f t="shared" si="26"/>
        <v>18.114351851851854</v>
      </c>
      <c r="P224" s="2">
        <f t="shared" si="27"/>
        <v>782.58333333333337</v>
      </c>
    </row>
    <row r="225" spans="1:16" x14ac:dyDescent="0.45">
      <c r="A225" s="12"/>
      <c r="B225" s="4">
        <v>45460</v>
      </c>
      <c r="C225" s="15">
        <f>22+21/60</f>
        <v>22.35</v>
      </c>
      <c r="D225" s="12">
        <v>972</v>
      </c>
      <c r="E225" s="17">
        <v>2</v>
      </c>
      <c r="F225" s="17">
        <v>15556</v>
      </c>
      <c r="G225" s="2">
        <f t="shared" si="23"/>
        <v>12212.5</v>
      </c>
      <c r="H225" s="12"/>
      <c r="I225" s="1">
        <f t="shared" si="21"/>
        <v>16.412500000000001</v>
      </c>
      <c r="J225" s="2">
        <f t="shared" si="22"/>
        <v>710.75</v>
      </c>
      <c r="L225" s="1">
        <f t="shared" si="24"/>
        <v>16.520000000000003</v>
      </c>
      <c r="M225" s="2">
        <f t="shared" si="25"/>
        <v>684.4</v>
      </c>
      <c r="O225" s="1">
        <f t="shared" si="26"/>
        <v>17.613888888888894</v>
      </c>
      <c r="P225" s="2">
        <f t="shared" si="27"/>
        <v>756.5</v>
      </c>
    </row>
    <row r="226" spans="1:16" x14ac:dyDescent="0.45">
      <c r="A226" s="12"/>
      <c r="B226" s="4">
        <v>45467</v>
      </c>
      <c r="C226" s="15">
        <f>20+38/60</f>
        <v>20.633333333333333</v>
      </c>
      <c r="D226" s="12">
        <v>870</v>
      </c>
      <c r="E226" s="17">
        <v>2</v>
      </c>
      <c r="F226" s="17">
        <v>14341</v>
      </c>
      <c r="G226" s="2">
        <f t="shared" si="23"/>
        <v>13616.5</v>
      </c>
      <c r="H226" s="12"/>
      <c r="I226" s="1">
        <f t="shared" si="21"/>
        <v>18.700000000000003</v>
      </c>
      <c r="J226" s="2">
        <f t="shared" si="22"/>
        <v>799.5</v>
      </c>
      <c r="L226" s="1">
        <f t="shared" si="24"/>
        <v>16.496666666666666</v>
      </c>
      <c r="M226" s="2">
        <f t="shared" si="25"/>
        <v>685.8</v>
      </c>
      <c r="O226" s="1">
        <f t="shared" si="26"/>
        <v>17.247222222222224</v>
      </c>
      <c r="P226" s="2">
        <f t="shared" si="27"/>
        <v>729.44444444444446</v>
      </c>
    </row>
    <row r="227" spans="1:16" x14ac:dyDescent="0.45">
      <c r="A227" s="12" t="s">
        <v>191</v>
      </c>
      <c r="B227" s="4">
        <v>45474</v>
      </c>
      <c r="C227" s="15">
        <f>23+28/60</f>
        <v>23.466666666666665</v>
      </c>
      <c r="D227" s="12">
        <v>1082</v>
      </c>
      <c r="E227" s="17">
        <v>2</v>
      </c>
      <c r="F227" s="17">
        <v>13244</v>
      </c>
      <c r="G227" s="2">
        <f t="shared" si="23"/>
        <v>14727.75</v>
      </c>
      <c r="H227" s="12"/>
      <c r="I227" s="1">
        <f t="shared" si="21"/>
        <v>21.658333333333331</v>
      </c>
      <c r="J227" s="2">
        <f t="shared" si="22"/>
        <v>957</v>
      </c>
      <c r="L227" s="1">
        <f t="shared" si="24"/>
        <v>17.461666666666666</v>
      </c>
      <c r="M227" s="2">
        <f t="shared" si="25"/>
        <v>736.6</v>
      </c>
      <c r="O227" s="1">
        <f t="shared" si="26"/>
        <v>17.259722222222223</v>
      </c>
      <c r="P227" s="2">
        <f t="shared" si="27"/>
        <v>710.69444444444446</v>
      </c>
    </row>
    <row r="228" spans="1:16" x14ac:dyDescent="0.45">
      <c r="A228" s="12"/>
      <c r="B228" s="4">
        <v>45481</v>
      </c>
      <c r="C228" s="15">
        <f>14+36/60</f>
        <v>14.6</v>
      </c>
      <c r="D228" s="12">
        <v>640</v>
      </c>
      <c r="E228" s="17">
        <v>1</v>
      </c>
      <c r="F228" s="17">
        <v>10054</v>
      </c>
      <c r="G228" s="2">
        <f t="shared" si="23"/>
        <v>13298.75</v>
      </c>
      <c r="H228" s="12"/>
      <c r="I228" s="1">
        <f t="shared" si="21"/>
        <v>20.262499999999999</v>
      </c>
      <c r="J228" s="2">
        <f t="shared" si="22"/>
        <v>891</v>
      </c>
      <c r="L228" s="1">
        <f t="shared" si="24"/>
        <v>18.483333333333334</v>
      </c>
      <c r="M228" s="2">
        <f t="shared" si="25"/>
        <v>794.75</v>
      </c>
      <c r="O228" s="1">
        <f t="shared" si="26"/>
        <v>16.938888888888886</v>
      </c>
      <c r="P228" s="2">
        <f t="shared" si="27"/>
        <v>690.75</v>
      </c>
    </row>
    <row r="229" spans="1:16" x14ac:dyDescent="0.45">
      <c r="A229" t="s">
        <v>66</v>
      </c>
      <c r="B229" s="4">
        <v>45488</v>
      </c>
      <c r="C229" s="15">
        <f>21+5/60</f>
        <v>21.083333333333332</v>
      </c>
      <c r="D229" s="12">
        <v>883</v>
      </c>
      <c r="E229" s="17">
        <v>2</v>
      </c>
      <c r="F229" s="17">
        <v>11042</v>
      </c>
      <c r="G229" s="2">
        <f t="shared" si="23"/>
        <v>12170.25</v>
      </c>
      <c r="H229" s="12"/>
      <c r="I229" s="1">
        <f t="shared" si="21"/>
        <v>19.945833333333333</v>
      </c>
      <c r="J229" s="2">
        <f t="shared" si="22"/>
        <v>868.75</v>
      </c>
      <c r="L229" s="1">
        <f t="shared" si="24"/>
        <v>19.395833333333332</v>
      </c>
      <c r="M229" s="2">
        <f t="shared" si="25"/>
        <v>845.4</v>
      </c>
      <c r="O229" s="1">
        <f t="shared" si="26"/>
        <v>16.92685185185185</v>
      </c>
      <c r="P229" s="2">
        <f t="shared" si="27"/>
        <v>734.91666666666663</v>
      </c>
    </row>
    <row r="230" spans="1:16" x14ac:dyDescent="0.45">
      <c r="B230" s="4">
        <v>45495</v>
      </c>
      <c r="C230" s="15">
        <f>21+42/60</f>
        <v>21.7</v>
      </c>
      <c r="D230" s="12">
        <v>806</v>
      </c>
      <c r="E230" s="17">
        <v>1</v>
      </c>
      <c r="F230" s="17">
        <v>11575</v>
      </c>
      <c r="G230" s="2">
        <f t="shared" si="23"/>
        <v>11478.75</v>
      </c>
      <c r="H230" s="12"/>
      <c r="I230" s="1">
        <f t="shared" si="21"/>
        <v>20.212499999999999</v>
      </c>
      <c r="J230" s="2">
        <f t="shared" si="22"/>
        <v>852.75</v>
      </c>
      <c r="L230" s="1">
        <f t="shared" si="24"/>
        <v>20.155833333333334</v>
      </c>
      <c r="M230" s="2">
        <f t="shared" si="25"/>
        <v>873.8</v>
      </c>
      <c r="O230" s="1">
        <f t="shared" si="26"/>
        <v>18.698611111111106</v>
      </c>
      <c r="P230" s="2">
        <f t="shared" si="27"/>
        <v>804.05555555555554</v>
      </c>
    </row>
    <row r="231" spans="1:16" x14ac:dyDescent="0.45">
      <c r="B231" s="4">
        <v>45502</v>
      </c>
      <c r="C231" s="15">
        <f>15+47/60</f>
        <v>15.783333333333333</v>
      </c>
      <c r="D231" s="12">
        <v>524</v>
      </c>
      <c r="E231" s="17">
        <v>1</v>
      </c>
      <c r="F231" s="17">
        <v>7919</v>
      </c>
      <c r="G231" s="2">
        <f t="shared" si="23"/>
        <v>10147.5</v>
      </c>
      <c r="H231" s="12"/>
      <c r="I231" s="1">
        <f t="shared" si="21"/>
        <v>18.291666666666664</v>
      </c>
      <c r="J231" s="2">
        <f t="shared" si="22"/>
        <v>713.25</v>
      </c>
      <c r="L231" s="1">
        <f t="shared" si="24"/>
        <v>20.074166666666663</v>
      </c>
      <c r="M231" s="2">
        <f t="shared" si="25"/>
        <v>856.55</v>
      </c>
      <c r="O231" s="1">
        <f t="shared" si="26"/>
        <v>20.552314814814817</v>
      </c>
      <c r="P231" s="2">
        <f t="shared" si="27"/>
        <v>889.19444444444446</v>
      </c>
    </row>
    <row r="232" spans="1:16" x14ac:dyDescent="0.45">
      <c r="A232" t="s">
        <v>67</v>
      </c>
      <c r="B232" s="4">
        <v>45509</v>
      </c>
      <c r="C232" s="15">
        <f>7+3/60</f>
        <v>7.05</v>
      </c>
      <c r="D232" s="12">
        <v>275</v>
      </c>
      <c r="E232" s="17">
        <v>0</v>
      </c>
      <c r="F232" s="17">
        <v>4237</v>
      </c>
      <c r="G232" s="2">
        <f t="shared" si="23"/>
        <v>8693.25</v>
      </c>
      <c r="H232" s="12"/>
      <c r="I232" s="1">
        <f t="shared" si="21"/>
        <v>16.404166666666665</v>
      </c>
      <c r="J232" s="2">
        <f t="shared" si="22"/>
        <v>622</v>
      </c>
      <c r="L232" s="1">
        <f t="shared" si="24"/>
        <v>19.023333333333333</v>
      </c>
      <c r="M232" s="2">
        <f t="shared" si="25"/>
        <v>789.55</v>
      </c>
      <c r="O232" s="1">
        <f t="shared" si="26"/>
        <v>20.141203703703702</v>
      </c>
      <c r="P232" s="2">
        <f t="shared" si="27"/>
        <v>856.41666666666663</v>
      </c>
    </row>
    <row r="233" spans="1:16" x14ac:dyDescent="0.45">
      <c r="B233" s="4">
        <v>45516</v>
      </c>
      <c r="C233" s="15">
        <v>0</v>
      </c>
      <c r="D233" s="12">
        <v>0</v>
      </c>
      <c r="E233" s="17">
        <v>0</v>
      </c>
      <c r="F233" s="17">
        <v>0</v>
      </c>
      <c r="G233" s="2">
        <f t="shared" si="23"/>
        <v>5932.75</v>
      </c>
      <c r="H233" s="12"/>
      <c r="I233" s="1">
        <f t="shared" si="21"/>
        <v>11.133333333333333</v>
      </c>
      <c r="J233" s="2">
        <f t="shared" si="22"/>
        <v>401.25</v>
      </c>
      <c r="L233" s="1">
        <f t="shared" si="24"/>
        <v>17.197500000000002</v>
      </c>
      <c r="M233" s="2">
        <f t="shared" si="25"/>
        <v>691.6</v>
      </c>
      <c r="O233" s="1">
        <f t="shared" si="26"/>
        <v>18.627777777777776</v>
      </c>
      <c r="P233" s="2">
        <f t="shared" si="27"/>
        <v>781.52777777777783</v>
      </c>
    </row>
    <row r="234" spans="1:16" x14ac:dyDescent="0.45">
      <c r="B234" s="4">
        <v>45523</v>
      </c>
      <c r="C234" s="15">
        <v>0</v>
      </c>
      <c r="D234" s="12">
        <v>0</v>
      </c>
      <c r="E234" s="17">
        <v>0</v>
      </c>
      <c r="F234" s="17">
        <v>0</v>
      </c>
      <c r="G234" s="2">
        <f t="shared" si="23"/>
        <v>3039</v>
      </c>
      <c r="H234" s="12"/>
      <c r="I234" s="1">
        <f t="shared" si="21"/>
        <v>5.708333333333333</v>
      </c>
      <c r="J234" s="2">
        <f t="shared" si="22"/>
        <v>199.75</v>
      </c>
      <c r="L234" s="1">
        <f t="shared" si="24"/>
        <v>14.349999999999998</v>
      </c>
      <c r="M234" s="2">
        <f t="shared" si="25"/>
        <v>557.79999999999995</v>
      </c>
      <c r="O234" s="1">
        <f t="shared" si="26"/>
        <v>16.922685185185184</v>
      </c>
      <c r="P234" s="2">
        <f t="shared" si="27"/>
        <v>705.13888888888891</v>
      </c>
    </row>
    <row r="235" spans="1:16" x14ac:dyDescent="0.45">
      <c r="B235" s="4">
        <v>45530</v>
      </c>
      <c r="C235" s="15">
        <v>0</v>
      </c>
      <c r="D235" s="12">
        <v>0</v>
      </c>
      <c r="E235" s="17">
        <v>0</v>
      </c>
      <c r="F235" s="17">
        <v>0</v>
      </c>
      <c r="G235" s="2">
        <f t="shared" si="23"/>
        <v>1059.25</v>
      </c>
      <c r="H235" s="12"/>
      <c r="I235" s="1">
        <f t="shared" si="21"/>
        <v>1.7625</v>
      </c>
      <c r="J235" s="2">
        <f t="shared" si="22"/>
        <v>68.75</v>
      </c>
      <c r="L235" s="1">
        <f t="shared" si="24"/>
        <v>10.66</v>
      </c>
      <c r="M235" s="2">
        <f t="shared" si="25"/>
        <v>401</v>
      </c>
      <c r="O235" s="1">
        <f t="shared" si="26"/>
        <v>13.93611111111111</v>
      </c>
      <c r="P235" s="2">
        <f t="shared" si="27"/>
        <v>551.58333333333337</v>
      </c>
    </row>
    <row r="236" spans="1:16" x14ac:dyDescent="0.45">
      <c r="B236" s="4">
        <v>45537</v>
      </c>
      <c r="C236" s="15">
        <f>10+43/60</f>
        <v>10.716666666666667</v>
      </c>
      <c r="D236" s="12">
        <v>398</v>
      </c>
      <c r="E236" s="17">
        <v>2</v>
      </c>
      <c r="F236" s="17">
        <v>7724</v>
      </c>
      <c r="G236" s="2">
        <f t="shared" si="23"/>
        <v>1931</v>
      </c>
      <c r="H236" s="12"/>
      <c r="I236" s="1">
        <f t="shared" si="21"/>
        <v>2.6791666666666667</v>
      </c>
      <c r="J236" s="2">
        <f t="shared" si="22"/>
        <v>99.5</v>
      </c>
      <c r="L236" s="1">
        <f t="shared" si="24"/>
        <v>7.5374999999999996</v>
      </c>
      <c r="M236" s="2">
        <f t="shared" si="25"/>
        <v>278.25</v>
      </c>
      <c r="O236" s="1">
        <f t="shared" si="26"/>
        <v>12.812037037037037</v>
      </c>
      <c r="P236" s="2">
        <f t="shared" si="27"/>
        <v>489.52777777777777</v>
      </c>
    </row>
    <row r="237" spans="1:16" x14ac:dyDescent="0.45">
      <c r="B237" s="4">
        <v>45544</v>
      </c>
      <c r="C237" s="1">
        <f>11+41/60</f>
        <v>11.683333333333334</v>
      </c>
      <c r="D237" s="12">
        <v>511</v>
      </c>
      <c r="E237" s="17">
        <v>2</v>
      </c>
      <c r="F237" s="17">
        <v>9413</v>
      </c>
      <c r="G237" s="2">
        <f t="shared" si="23"/>
        <v>4284.25</v>
      </c>
      <c r="H237" s="12"/>
      <c r="I237" s="1">
        <f t="shared" si="21"/>
        <v>5.6</v>
      </c>
      <c r="J237" s="2">
        <f t="shared" si="22"/>
        <v>227.25</v>
      </c>
      <c r="L237" s="1">
        <f t="shared" si="24"/>
        <v>5.3766666666666669</v>
      </c>
      <c r="M237" s="2">
        <f t="shared" si="25"/>
        <v>199.3</v>
      </c>
      <c r="O237" s="1">
        <f t="shared" si="26"/>
        <v>9.9861111111111107</v>
      </c>
      <c r="P237" s="2">
        <f t="shared" si="27"/>
        <v>363.13888888888891</v>
      </c>
    </row>
    <row r="238" spans="1:16" x14ac:dyDescent="0.45">
      <c r="B238" s="4">
        <v>45551</v>
      </c>
      <c r="C238" s="1">
        <f>12+43/60</f>
        <v>12.716666666666667</v>
      </c>
      <c r="D238" s="12">
        <v>548</v>
      </c>
      <c r="E238" s="17">
        <v>2</v>
      </c>
      <c r="F238" s="17">
        <v>9735</v>
      </c>
      <c r="G238" s="2">
        <f t="shared" si="23"/>
        <v>6718</v>
      </c>
      <c r="H238" s="12"/>
      <c r="I238" s="1">
        <f t="shared" si="21"/>
        <v>8.7791666666666668</v>
      </c>
      <c r="J238" s="2">
        <f t="shared" si="22"/>
        <v>364.25</v>
      </c>
      <c r="L238" s="1">
        <f t="shared" si="24"/>
        <v>4.9058333333333337</v>
      </c>
      <c r="M238" s="2">
        <f t="shared" si="25"/>
        <v>191.9</v>
      </c>
      <c r="O238" s="1">
        <f t="shared" si="26"/>
        <v>6.7736111111111121</v>
      </c>
      <c r="P238" s="2">
        <f t="shared" si="27"/>
        <v>246.69444444444446</v>
      </c>
    </row>
    <row r="239" spans="1:16" x14ac:dyDescent="0.45">
      <c r="B239" s="4">
        <v>45558</v>
      </c>
      <c r="C239" s="1">
        <f>7+15/60</f>
        <v>7.25</v>
      </c>
      <c r="D239" s="12">
        <v>249</v>
      </c>
      <c r="E239" s="17">
        <v>2</v>
      </c>
      <c r="F239" s="17">
        <v>4863</v>
      </c>
      <c r="G239" s="2">
        <f t="shared" si="23"/>
        <v>7933.75</v>
      </c>
      <c r="H239" s="12"/>
      <c r="I239" s="1">
        <f t="shared" si="21"/>
        <v>10.591666666666667</v>
      </c>
      <c r="J239" s="2">
        <f t="shared" si="22"/>
        <v>426.5</v>
      </c>
      <c r="L239" s="1">
        <f t="shared" si="24"/>
        <v>5.8825000000000003</v>
      </c>
      <c r="M239" s="2">
        <f t="shared" si="25"/>
        <v>237.25</v>
      </c>
      <c r="O239" s="1">
        <f t="shared" si="26"/>
        <v>4.6388888888888893</v>
      </c>
      <c r="P239" s="2">
        <f t="shared" si="27"/>
        <v>185.27777777777777</v>
      </c>
    </row>
    <row r="240" spans="1:16" x14ac:dyDescent="0.45">
      <c r="B240" s="4">
        <v>45565</v>
      </c>
      <c r="C240" s="1">
        <f>14+18/60</f>
        <v>14.3</v>
      </c>
      <c r="D240" s="12">
        <v>601</v>
      </c>
      <c r="E240" s="2">
        <v>2</v>
      </c>
      <c r="F240" s="2">
        <v>9000</v>
      </c>
      <c r="G240" s="2">
        <f t="shared" si="23"/>
        <v>8252.75</v>
      </c>
      <c r="H240" s="1"/>
      <c r="I240" s="1">
        <f t="shared" ref="I240:I273" si="28">AVERAGE(C237:C240)</f>
        <v>11.487500000000001</v>
      </c>
      <c r="J240" s="2">
        <f t="shared" ref="J240:J273" si="29">AVERAGE(D237:D240)</f>
        <v>477.25</v>
      </c>
      <c r="L240" s="1">
        <f t="shared" ref="L240:L273" si="30">((C233)+(2*C234)+(3*C235)+(4*C236)+(4*C237)+(3*C238)+(2*C239)+(C240))/20</f>
        <v>7.8275000000000006</v>
      </c>
      <c r="M240" s="2">
        <f t="shared" ref="M240:M273" si="31">((D233)+(2*D234)+(3*D235)+(4*D236)+(4*D237)+(3*D238)+(2*D239)+(D240))/20</f>
        <v>318.95</v>
      </c>
      <c r="O240" s="1">
        <f t="shared" ref="O240:O273" si="32">((C240)+(C239*2)+(C238*3)+(C237*4)+(C236*5)+(C235*6)+(C234*7)+(C233*8))/36</f>
        <v>4.6462962962962964</v>
      </c>
      <c r="P240" s="2">
        <f t="shared" ref="P240:P273" si="33">((D240)+(D239*2)+(D238*3)+(D237*4)+(D236*5)+(D235*6)+(D234*7)+(D233*8))/36</f>
        <v>188.25</v>
      </c>
    </row>
    <row r="241" spans="1:18" x14ac:dyDescent="0.45">
      <c r="A241" t="s">
        <v>162</v>
      </c>
      <c r="B241" s="4">
        <v>45572</v>
      </c>
      <c r="C241" s="1">
        <f>15+15/60</f>
        <v>15.25</v>
      </c>
      <c r="D241" s="12">
        <v>779</v>
      </c>
      <c r="E241" s="17">
        <v>0</v>
      </c>
      <c r="F241" s="2">
        <v>11414</v>
      </c>
      <c r="G241" s="2">
        <f t="shared" si="23"/>
        <v>8753</v>
      </c>
      <c r="I241" s="1">
        <f t="shared" si="28"/>
        <v>12.379166666666666</v>
      </c>
      <c r="J241" s="2">
        <f t="shared" si="29"/>
        <v>544.25</v>
      </c>
      <c r="L241" s="1">
        <f t="shared" si="30"/>
        <v>9.7675000000000001</v>
      </c>
      <c r="M241" s="2">
        <f t="shared" si="31"/>
        <v>407.9</v>
      </c>
      <c r="O241" s="1">
        <f t="shared" si="32"/>
        <v>6.6439814814814815</v>
      </c>
      <c r="P241" s="2">
        <f t="shared" si="33"/>
        <v>273.97222222222223</v>
      </c>
    </row>
    <row r="242" spans="1:18" x14ac:dyDescent="0.45">
      <c r="A242" t="s">
        <v>192</v>
      </c>
      <c r="B242" s="4">
        <v>45579</v>
      </c>
      <c r="C242" s="1">
        <f>13+35/60</f>
        <v>13.583333333333334</v>
      </c>
      <c r="D242" s="12">
        <v>677</v>
      </c>
      <c r="E242" s="17">
        <v>0</v>
      </c>
      <c r="F242" s="2">
        <v>9984</v>
      </c>
      <c r="G242" s="2">
        <f t="shared" si="23"/>
        <v>8815.25</v>
      </c>
      <c r="I242" s="1">
        <f t="shared" si="28"/>
        <v>12.595833333333333</v>
      </c>
      <c r="J242" s="2">
        <f t="shared" si="29"/>
        <v>576.5</v>
      </c>
      <c r="L242" s="1">
        <f t="shared" si="30"/>
        <v>11.166666666666668</v>
      </c>
      <c r="M242" s="2">
        <f t="shared" si="31"/>
        <v>477.75</v>
      </c>
      <c r="O242" s="1">
        <f t="shared" si="32"/>
        <v>9.0189814814814824</v>
      </c>
      <c r="P242" s="2">
        <f t="shared" si="33"/>
        <v>378.5</v>
      </c>
    </row>
    <row r="243" spans="1:18" x14ac:dyDescent="0.45">
      <c r="B243" s="4">
        <v>45586</v>
      </c>
      <c r="C243" s="1">
        <f>8+19/60</f>
        <v>8.3166666666666664</v>
      </c>
      <c r="D243" s="12">
        <v>330</v>
      </c>
      <c r="E243" s="17">
        <v>0</v>
      </c>
      <c r="F243" s="2">
        <v>4991</v>
      </c>
      <c r="G243" s="2">
        <f t="shared" si="23"/>
        <v>8847.25</v>
      </c>
      <c r="I243" s="1">
        <f t="shared" si="28"/>
        <v>12.862500000000001</v>
      </c>
      <c r="J243" s="2">
        <f t="shared" si="29"/>
        <v>596.75</v>
      </c>
      <c r="L243" s="1">
        <f t="shared" si="30"/>
        <v>11.983333333333333</v>
      </c>
      <c r="M243" s="2">
        <f t="shared" si="31"/>
        <v>524.25</v>
      </c>
      <c r="O243" s="1">
        <f t="shared" si="32"/>
        <v>11.625</v>
      </c>
      <c r="P243" s="2">
        <f t="shared" si="33"/>
        <v>492.19444444444446</v>
      </c>
    </row>
    <row r="244" spans="1:18" x14ac:dyDescent="0.45">
      <c r="A244" t="s">
        <v>164</v>
      </c>
      <c r="B244" s="4">
        <v>45593</v>
      </c>
      <c r="C244" s="1">
        <f>11+53/60</f>
        <v>11.883333333333333</v>
      </c>
      <c r="D244" s="12">
        <v>619</v>
      </c>
      <c r="E244" s="2">
        <v>0</v>
      </c>
      <c r="F244" s="2">
        <v>9807</v>
      </c>
      <c r="G244" s="2">
        <f t="shared" si="23"/>
        <v>9049</v>
      </c>
      <c r="H244" s="1"/>
      <c r="I244" s="1">
        <f t="shared" si="28"/>
        <v>12.258333333333335</v>
      </c>
      <c r="J244" s="2">
        <f t="shared" si="29"/>
        <v>601.25</v>
      </c>
      <c r="L244" s="1">
        <f t="shared" si="30"/>
        <v>12.316666666666666</v>
      </c>
      <c r="M244" s="2">
        <f t="shared" si="31"/>
        <v>559.20000000000005</v>
      </c>
      <c r="O244" s="1">
        <f t="shared" si="32"/>
        <v>11.881944444444445</v>
      </c>
      <c r="P244" s="2">
        <f t="shared" si="33"/>
        <v>523.58333333333337</v>
      </c>
    </row>
    <row r="245" spans="1:18" x14ac:dyDescent="0.45">
      <c r="A245" t="s">
        <v>193</v>
      </c>
      <c r="B245" s="4">
        <v>45600</v>
      </c>
      <c r="C245" s="1">
        <f>22+44/60</f>
        <v>22.733333333333334</v>
      </c>
      <c r="D245" s="12">
        <v>1336</v>
      </c>
      <c r="E245" s="2">
        <v>0</v>
      </c>
      <c r="F245" s="2">
        <v>19167</v>
      </c>
      <c r="G245" s="2">
        <f t="shared" si="23"/>
        <v>10987.25</v>
      </c>
      <c r="I245" s="1">
        <f t="shared" si="28"/>
        <v>14.129166666666666</v>
      </c>
      <c r="J245" s="2">
        <f t="shared" si="29"/>
        <v>740.5</v>
      </c>
      <c r="L245" s="1">
        <f t="shared" si="30"/>
        <v>12.845000000000002</v>
      </c>
      <c r="M245" s="2">
        <f t="shared" si="31"/>
        <v>611.85</v>
      </c>
      <c r="O245" s="1">
        <f t="shared" si="32"/>
        <v>12.231018518518519</v>
      </c>
      <c r="P245" s="2">
        <f t="shared" si="33"/>
        <v>552.77777777777783</v>
      </c>
    </row>
    <row r="246" spans="1:18" x14ac:dyDescent="0.45">
      <c r="B246" s="4">
        <v>45607</v>
      </c>
      <c r="C246" s="1">
        <f>3+22/60</f>
        <v>3.3666666666666667</v>
      </c>
      <c r="D246" s="12">
        <v>136</v>
      </c>
      <c r="E246" s="2">
        <v>0</v>
      </c>
      <c r="F246" s="2">
        <v>2000</v>
      </c>
      <c r="G246" s="2">
        <f t="shared" si="23"/>
        <v>8991.25</v>
      </c>
      <c r="I246" s="1">
        <f t="shared" si="28"/>
        <v>11.575000000000001</v>
      </c>
      <c r="J246" s="2">
        <f t="shared" si="29"/>
        <v>605.25</v>
      </c>
      <c r="L246" s="1">
        <f t="shared" si="30"/>
        <v>12.684166666666666</v>
      </c>
      <c r="M246" s="2">
        <f t="shared" si="31"/>
        <v>624.04999999999995</v>
      </c>
      <c r="O246" s="1">
        <f t="shared" si="32"/>
        <v>12.090740740740742</v>
      </c>
      <c r="P246" s="2">
        <f t="shared" si="33"/>
        <v>562.30555555555554</v>
      </c>
    </row>
    <row r="247" spans="1:18" x14ac:dyDescent="0.45">
      <c r="B247" s="4">
        <v>45614</v>
      </c>
      <c r="C247" s="1">
        <f>17+39/60</f>
        <v>17.649999999999999</v>
      </c>
      <c r="D247" s="12">
        <v>664</v>
      </c>
      <c r="E247" s="2">
        <v>3</v>
      </c>
      <c r="F247" s="2">
        <v>12061</v>
      </c>
      <c r="G247" s="2">
        <f t="shared" si="23"/>
        <v>10758.75</v>
      </c>
      <c r="I247" s="1">
        <f t="shared" si="28"/>
        <v>13.908333333333333</v>
      </c>
      <c r="J247" s="2">
        <f t="shared" si="29"/>
        <v>688.75</v>
      </c>
      <c r="L247" s="1">
        <f t="shared" si="30"/>
        <v>12.946666666666667</v>
      </c>
      <c r="M247" s="2">
        <f t="shared" si="31"/>
        <v>646.5</v>
      </c>
      <c r="O247" s="1">
        <f t="shared" si="32"/>
        <v>13.454166666666667</v>
      </c>
      <c r="P247" s="2">
        <f t="shared" si="33"/>
        <v>649.80555555555554</v>
      </c>
    </row>
    <row r="248" spans="1:18" x14ac:dyDescent="0.45">
      <c r="B248" s="4">
        <v>45621</v>
      </c>
      <c r="C248" s="1">
        <f>17+54/60</f>
        <v>17.899999999999999</v>
      </c>
      <c r="D248" s="12">
        <v>733</v>
      </c>
      <c r="E248" s="2">
        <v>3</v>
      </c>
      <c r="F248" s="2">
        <v>12121</v>
      </c>
      <c r="G248" s="2">
        <f t="shared" si="23"/>
        <v>11337.25</v>
      </c>
      <c r="I248" s="1">
        <f t="shared" si="28"/>
        <v>15.4125</v>
      </c>
      <c r="J248" s="2">
        <f t="shared" si="29"/>
        <v>717.25</v>
      </c>
      <c r="L248" s="1">
        <f t="shared" si="30"/>
        <v>13.456666666666667</v>
      </c>
      <c r="M248" s="2">
        <f t="shared" si="31"/>
        <v>670.6</v>
      </c>
      <c r="O248" s="1">
        <f t="shared" si="32"/>
        <v>13.350925925925926</v>
      </c>
      <c r="P248" s="2">
        <f t="shared" si="33"/>
        <v>662.75</v>
      </c>
    </row>
    <row r="249" spans="1:18" x14ac:dyDescent="0.45">
      <c r="A249" t="s">
        <v>194</v>
      </c>
      <c r="B249" s="4">
        <v>45628</v>
      </c>
      <c r="C249" s="1">
        <f>22+33/60</f>
        <v>22.55</v>
      </c>
      <c r="D249" s="12">
        <v>1058</v>
      </c>
      <c r="E249" s="2">
        <v>1</v>
      </c>
      <c r="F249" s="2">
        <v>16627</v>
      </c>
      <c r="G249" s="2">
        <f t="shared" si="23"/>
        <v>10702.25</v>
      </c>
      <c r="I249" s="1">
        <f t="shared" si="28"/>
        <v>15.366666666666667</v>
      </c>
      <c r="J249" s="2">
        <f t="shared" si="29"/>
        <v>647.75</v>
      </c>
      <c r="L249" s="1">
        <f t="shared" si="30"/>
        <v>14.078333333333333</v>
      </c>
      <c r="M249" s="2">
        <f t="shared" si="31"/>
        <v>679.9</v>
      </c>
      <c r="O249" s="1">
        <f t="shared" si="32"/>
        <v>13.239351851851854</v>
      </c>
      <c r="P249" s="2">
        <f t="shared" si="33"/>
        <v>643.88888888888891</v>
      </c>
    </row>
    <row r="250" spans="1:18" x14ac:dyDescent="0.45">
      <c r="B250" s="4">
        <v>45635</v>
      </c>
      <c r="C250" s="1">
        <f>16+27/60</f>
        <v>16.45</v>
      </c>
      <c r="D250" s="12">
        <v>696</v>
      </c>
      <c r="E250" s="2">
        <v>2</v>
      </c>
      <c r="F250" s="2">
        <v>11372</v>
      </c>
      <c r="G250" s="2">
        <f t="shared" si="23"/>
        <v>13045.25</v>
      </c>
      <c r="I250" s="1">
        <f t="shared" si="28"/>
        <v>18.637499999999999</v>
      </c>
      <c r="J250" s="2">
        <f t="shared" si="29"/>
        <v>787.75</v>
      </c>
      <c r="L250" s="1">
        <f t="shared" si="30"/>
        <v>14.979999999999999</v>
      </c>
      <c r="M250" s="2">
        <f t="shared" si="31"/>
        <v>689.35</v>
      </c>
      <c r="O250" s="1">
        <f t="shared" si="32"/>
        <v>13.577777777777779</v>
      </c>
      <c r="P250" s="2">
        <f t="shared" si="33"/>
        <v>648.22222222222217</v>
      </c>
    </row>
    <row r="251" spans="1:18" x14ac:dyDescent="0.45">
      <c r="B251" s="4">
        <v>45642</v>
      </c>
      <c r="C251" s="1">
        <f>19+19/60</f>
        <v>19.316666666666666</v>
      </c>
      <c r="D251" s="12">
        <v>848</v>
      </c>
      <c r="E251" s="2">
        <v>2</v>
      </c>
      <c r="F251" s="2">
        <v>14828</v>
      </c>
      <c r="G251" s="2">
        <f t="shared" si="23"/>
        <v>13737</v>
      </c>
      <c r="I251" s="1">
        <f t="shared" si="28"/>
        <v>19.054166666666667</v>
      </c>
      <c r="J251" s="2">
        <f t="shared" si="29"/>
        <v>833.75</v>
      </c>
      <c r="L251" s="1">
        <f t="shared" si="30"/>
        <v>16.475833333333334</v>
      </c>
      <c r="M251" s="2">
        <f t="shared" si="31"/>
        <v>735.05</v>
      </c>
      <c r="O251" s="1">
        <f t="shared" si="32"/>
        <v>15.392129629629629</v>
      </c>
      <c r="P251" s="2">
        <f t="shared" si="33"/>
        <v>744.05555555555554</v>
      </c>
    </row>
    <row r="252" spans="1:18" x14ac:dyDescent="0.45">
      <c r="B252" s="4">
        <v>45649</v>
      </c>
      <c r="C252" s="1">
        <f>20+57/60</f>
        <v>20.95</v>
      </c>
      <c r="D252" s="12">
        <v>951</v>
      </c>
      <c r="E252" s="2">
        <v>1</v>
      </c>
      <c r="F252" s="2">
        <v>16455</v>
      </c>
      <c r="G252" s="2">
        <f t="shared" si="23"/>
        <v>14820.5</v>
      </c>
      <c r="I252" s="1">
        <f t="shared" si="28"/>
        <v>19.816666666666666</v>
      </c>
      <c r="J252" s="2">
        <f t="shared" si="29"/>
        <v>888.25</v>
      </c>
      <c r="L252" s="1">
        <f t="shared" si="30"/>
        <v>17.657499999999995</v>
      </c>
      <c r="M252" s="2">
        <f t="shared" si="31"/>
        <v>774.95</v>
      </c>
      <c r="O252" s="1">
        <f t="shared" si="32"/>
        <v>16.665740740740741</v>
      </c>
      <c r="P252" s="2">
        <f t="shared" si="33"/>
        <v>784.88888888888891</v>
      </c>
    </row>
    <row r="253" spans="1:18" x14ac:dyDescent="0.45">
      <c r="B253" s="4">
        <v>45656</v>
      </c>
      <c r="C253" s="1">
        <f>12+27/60</f>
        <v>12.45</v>
      </c>
      <c r="D253" s="12">
        <v>503</v>
      </c>
      <c r="E253" s="2">
        <v>0</v>
      </c>
      <c r="F253" s="2">
        <v>9427</v>
      </c>
      <c r="G253" s="2">
        <f t="shared" si="23"/>
        <v>13020.5</v>
      </c>
      <c r="I253" s="1">
        <f t="shared" si="28"/>
        <v>17.291666666666668</v>
      </c>
      <c r="J253" s="2">
        <f t="shared" si="29"/>
        <v>749.5</v>
      </c>
      <c r="L253" s="1">
        <f t="shared" si="30"/>
        <v>18.033333333333331</v>
      </c>
      <c r="M253" s="2">
        <f t="shared" si="31"/>
        <v>781.4</v>
      </c>
      <c r="O253" s="1">
        <f t="shared" si="32"/>
        <v>15.24259259259259</v>
      </c>
      <c r="P253" s="2">
        <f t="shared" si="33"/>
        <v>643.25</v>
      </c>
    </row>
    <row r="254" spans="1:18" x14ac:dyDescent="0.45">
      <c r="A254" t="s">
        <v>195</v>
      </c>
      <c r="B254" s="4">
        <v>45663</v>
      </c>
      <c r="C254" s="1">
        <f>14+42/60</f>
        <v>14.7</v>
      </c>
      <c r="D254" s="12">
        <v>623</v>
      </c>
      <c r="E254" s="2">
        <v>2</v>
      </c>
      <c r="F254" s="2">
        <v>8607</v>
      </c>
      <c r="G254" s="2">
        <f t="shared" si="23"/>
        <v>12329.25</v>
      </c>
      <c r="I254" s="1">
        <f t="shared" si="28"/>
        <v>16.854166666666668</v>
      </c>
      <c r="J254" s="2">
        <f t="shared" si="29"/>
        <v>731.25</v>
      </c>
      <c r="L254" s="1">
        <f t="shared" si="30"/>
        <v>18.330833333333331</v>
      </c>
      <c r="M254" s="2">
        <f t="shared" si="31"/>
        <v>798.1</v>
      </c>
      <c r="O254" s="1">
        <f t="shared" si="32"/>
        <v>18.437962962962963</v>
      </c>
      <c r="P254" s="2">
        <f t="shared" si="33"/>
        <v>781.80555555555554</v>
      </c>
      <c r="Q254" s="2"/>
      <c r="R254" s="2"/>
    </row>
    <row r="255" spans="1:18" x14ac:dyDescent="0.45">
      <c r="A255" t="s">
        <v>196</v>
      </c>
      <c r="B255" s="4">
        <v>45670</v>
      </c>
      <c r="C255" s="1">
        <f>18+0.266666666666667</f>
        <v>18.266666666666666</v>
      </c>
      <c r="D255" s="12">
        <v>910</v>
      </c>
      <c r="E255" s="2">
        <v>0</v>
      </c>
      <c r="F255" s="2">
        <v>13513</v>
      </c>
      <c r="G255" s="2">
        <f t="shared" si="23"/>
        <v>12000.5</v>
      </c>
      <c r="I255" s="1">
        <f t="shared" si="28"/>
        <v>16.591666666666665</v>
      </c>
      <c r="J255" s="2">
        <f t="shared" si="29"/>
        <v>746.75</v>
      </c>
      <c r="L255" s="1">
        <f t="shared" si="30"/>
        <v>17.921666666666663</v>
      </c>
      <c r="M255" s="2">
        <f t="shared" si="31"/>
        <v>789.9</v>
      </c>
      <c r="O255" s="1">
        <f t="shared" si="32"/>
        <v>18.476388888888884</v>
      </c>
      <c r="P255" s="2">
        <f t="shared" si="33"/>
        <v>809.86111111111109</v>
      </c>
      <c r="Q255" s="2"/>
      <c r="R255" s="2"/>
    </row>
    <row r="256" spans="1:18" x14ac:dyDescent="0.45">
      <c r="B256" s="4">
        <v>45677</v>
      </c>
      <c r="C256" s="1">
        <f>17+36/60</f>
        <v>17.600000000000001</v>
      </c>
      <c r="D256" s="12">
        <v>610</v>
      </c>
      <c r="E256" s="2">
        <v>1</v>
      </c>
      <c r="F256" s="2">
        <v>12454</v>
      </c>
      <c r="G256" s="2">
        <f t="shared" si="23"/>
        <v>11000.25</v>
      </c>
      <c r="I256" s="1">
        <f t="shared" si="28"/>
        <v>15.754166666666666</v>
      </c>
      <c r="J256" s="2">
        <f t="shared" si="29"/>
        <v>661.5</v>
      </c>
      <c r="L256" s="1">
        <f t="shared" si="30"/>
        <v>17.261666666666667</v>
      </c>
      <c r="M256" s="2">
        <f t="shared" si="31"/>
        <v>755.45</v>
      </c>
      <c r="O256" s="1">
        <f t="shared" si="32"/>
        <v>18.450925925925922</v>
      </c>
      <c r="P256" s="2">
        <f t="shared" si="33"/>
        <v>819.16666666666663</v>
      </c>
      <c r="Q256" s="2"/>
      <c r="R256" s="2"/>
    </row>
    <row r="257" spans="1:18" x14ac:dyDescent="0.45">
      <c r="B257" s="4">
        <v>45684</v>
      </c>
      <c r="C257" s="1">
        <f>14+1/60</f>
        <v>14.016666666666667</v>
      </c>
      <c r="D257" s="12">
        <v>637</v>
      </c>
      <c r="E257" s="2">
        <v>1</v>
      </c>
      <c r="F257" s="2">
        <v>8987</v>
      </c>
      <c r="G257" s="2">
        <f t="shared" si="23"/>
        <v>10890.25</v>
      </c>
      <c r="I257" s="1">
        <f t="shared" si="28"/>
        <v>16.145833333333336</v>
      </c>
      <c r="J257" s="2">
        <f t="shared" si="29"/>
        <v>695</v>
      </c>
      <c r="L257" s="1">
        <f t="shared" si="30"/>
        <v>16.527499999999996</v>
      </c>
      <c r="M257" s="2">
        <f t="shared" si="31"/>
        <v>716.8</v>
      </c>
      <c r="O257" s="1">
        <f t="shared" si="32"/>
        <v>17.155092592592595</v>
      </c>
      <c r="P257" s="2">
        <f t="shared" si="33"/>
        <v>744.55555555555554</v>
      </c>
      <c r="Q257" s="2"/>
      <c r="R257" s="2"/>
    </row>
    <row r="258" spans="1:18" x14ac:dyDescent="0.45">
      <c r="A258" t="s">
        <v>180</v>
      </c>
      <c r="B258" s="4">
        <v>45691</v>
      </c>
      <c r="C258" s="1">
        <f>13+5/60</f>
        <v>13.083333333333334</v>
      </c>
      <c r="D258" s="12">
        <v>699</v>
      </c>
      <c r="E258" s="2">
        <v>1</v>
      </c>
      <c r="F258" s="2">
        <v>10591</v>
      </c>
      <c r="G258" s="2">
        <f t="shared" si="23"/>
        <v>11386.25</v>
      </c>
      <c r="I258" s="1">
        <f t="shared" si="28"/>
        <v>15.741666666666667</v>
      </c>
      <c r="J258" s="2">
        <f t="shared" si="29"/>
        <v>714</v>
      </c>
      <c r="L258" s="1">
        <f t="shared" si="30"/>
        <v>16.217500000000001</v>
      </c>
      <c r="M258" s="2">
        <f t="shared" si="31"/>
        <v>709.7</v>
      </c>
      <c r="O258" s="1">
        <f t="shared" si="32"/>
        <v>17.121296296296297</v>
      </c>
      <c r="P258" s="2">
        <f t="shared" si="33"/>
        <v>750.47222222222217</v>
      </c>
      <c r="Q258" s="2"/>
      <c r="R258" s="2"/>
    </row>
    <row r="259" spans="1:18" x14ac:dyDescent="0.45">
      <c r="A259" t="s">
        <v>197</v>
      </c>
      <c r="B259" s="4">
        <v>45698</v>
      </c>
      <c r="C259" s="1">
        <f>12+7/60</f>
        <v>12.116666666666667</v>
      </c>
      <c r="D259" s="12">
        <v>483</v>
      </c>
      <c r="E259" s="2">
        <v>0</v>
      </c>
      <c r="F259" s="2">
        <v>8327</v>
      </c>
      <c r="G259" s="2">
        <f t="shared" si="23"/>
        <v>10089.75</v>
      </c>
      <c r="I259" s="1">
        <f t="shared" si="28"/>
        <v>14.204166666666667</v>
      </c>
      <c r="J259" s="2">
        <f t="shared" si="29"/>
        <v>607.25</v>
      </c>
      <c r="L259" s="1">
        <f t="shared" si="30"/>
        <v>15.6875</v>
      </c>
      <c r="M259" s="2">
        <f t="shared" si="31"/>
        <v>684.9</v>
      </c>
      <c r="O259" s="1">
        <f t="shared" si="32"/>
        <v>16.250462962962963</v>
      </c>
      <c r="P259" s="2">
        <f t="shared" si="33"/>
        <v>712.47222222222217</v>
      </c>
      <c r="Q259" s="2"/>
      <c r="R259" s="2"/>
    </row>
    <row r="260" spans="1:18" x14ac:dyDescent="0.45">
      <c r="B260" s="4">
        <v>45705</v>
      </c>
      <c r="C260" s="1">
        <f>11+26/60</f>
        <v>11.433333333333334</v>
      </c>
      <c r="D260" s="12">
        <v>464</v>
      </c>
      <c r="E260" s="2">
        <v>2</v>
      </c>
      <c r="F260" s="2">
        <v>8504</v>
      </c>
      <c r="G260" s="2">
        <f t="shared" si="23"/>
        <v>9102.25</v>
      </c>
      <c r="I260" s="1">
        <f t="shared" si="28"/>
        <v>12.662500000000001</v>
      </c>
      <c r="J260" s="2">
        <f t="shared" si="29"/>
        <v>570.75</v>
      </c>
      <c r="L260" s="1">
        <f t="shared" si="30"/>
        <v>14.901666666666667</v>
      </c>
      <c r="M260" s="2">
        <f t="shared" si="31"/>
        <v>649.70000000000005</v>
      </c>
      <c r="O260" s="1">
        <f t="shared" si="32"/>
        <v>14.752314814814817</v>
      </c>
      <c r="P260" s="2">
        <f t="shared" si="33"/>
        <v>638.05555555555554</v>
      </c>
      <c r="Q260" s="2"/>
      <c r="R260" s="2"/>
    </row>
    <row r="261" spans="1:18" x14ac:dyDescent="0.45">
      <c r="B261" s="4">
        <v>45712</v>
      </c>
      <c r="C261" s="1">
        <f>19+42/60</f>
        <v>19.7</v>
      </c>
      <c r="D261" s="12">
        <v>866</v>
      </c>
      <c r="E261" s="2">
        <v>2</v>
      </c>
      <c r="F261" s="2">
        <v>14359</v>
      </c>
      <c r="G261" s="2">
        <f t="shared" si="23"/>
        <v>10445.25</v>
      </c>
      <c r="I261" s="1">
        <f t="shared" si="28"/>
        <v>14.083333333333336</v>
      </c>
      <c r="J261" s="2">
        <f t="shared" si="29"/>
        <v>628</v>
      </c>
      <c r="L261" s="1">
        <f t="shared" si="30"/>
        <v>14.567499999999999</v>
      </c>
      <c r="M261" s="2">
        <f t="shared" si="31"/>
        <v>643</v>
      </c>
      <c r="O261" s="1">
        <f t="shared" si="32"/>
        <v>15.344444444444443</v>
      </c>
      <c r="P261" s="2">
        <f t="shared" si="33"/>
        <v>673.27777777777783</v>
      </c>
      <c r="Q261" s="2"/>
      <c r="R261" s="2"/>
    </row>
    <row r="262" spans="1:18" x14ac:dyDescent="0.45">
      <c r="A262" t="s">
        <v>188</v>
      </c>
      <c r="B262" s="4">
        <v>45719</v>
      </c>
      <c r="C262" s="1">
        <f>14+24/60</f>
        <v>14.4</v>
      </c>
      <c r="D262" s="12">
        <v>634</v>
      </c>
      <c r="E262" s="2">
        <v>1</v>
      </c>
      <c r="F262" s="2">
        <v>10921</v>
      </c>
      <c r="G262" s="2">
        <f t="shared" ref="G262:G273" si="34">AVERAGE(F259:F262)</f>
        <v>10527.75</v>
      </c>
      <c r="I262" s="1">
        <f t="shared" si="28"/>
        <v>14.4125</v>
      </c>
      <c r="J262" s="2">
        <f t="shared" si="29"/>
        <v>611.75</v>
      </c>
      <c r="L262" s="1">
        <f t="shared" si="30"/>
        <v>14.220833333333331</v>
      </c>
      <c r="M262" s="2">
        <f t="shared" si="31"/>
        <v>626.35</v>
      </c>
      <c r="O262" s="1">
        <f t="shared" si="32"/>
        <v>15.428240740740742</v>
      </c>
      <c r="P262" s="2">
        <f t="shared" si="33"/>
        <v>682.13888888888891</v>
      </c>
      <c r="Q262" s="2"/>
      <c r="R262" s="2"/>
    </row>
    <row r="263" spans="1:18" x14ac:dyDescent="0.45">
      <c r="A263" t="s">
        <v>75</v>
      </c>
      <c r="B263" s="4">
        <v>45726</v>
      </c>
      <c r="C263" s="1">
        <f>14+47/60</f>
        <v>14.783333333333333</v>
      </c>
      <c r="D263" s="12">
        <v>486</v>
      </c>
      <c r="E263" s="2">
        <v>1</v>
      </c>
      <c r="F263" s="2">
        <v>8667</v>
      </c>
      <c r="G263" s="2">
        <f t="shared" si="34"/>
        <v>10612.75</v>
      </c>
      <c r="I263" s="1">
        <f t="shared" si="28"/>
        <v>15.079166666666666</v>
      </c>
      <c r="J263" s="2">
        <f t="shared" si="29"/>
        <v>612.5</v>
      </c>
      <c r="L263" s="1">
        <f t="shared" si="30"/>
        <v>14.088333333333335</v>
      </c>
      <c r="M263" s="2">
        <f t="shared" si="31"/>
        <v>606.04999999999995</v>
      </c>
      <c r="O263" s="1">
        <f t="shared" si="32"/>
        <v>14.622685185185187</v>
      </c>
      <c r="P263" s="2">
        <f t="shared" si="33"/>
        <v>615.44444444444446</v>
      </c>
      <c r="Q263" s="2"/>
      <c r="R263" s="2"/>
    </row>
    <row r="264" spans="1:18" x14ac:dyDescent="0.45">
      <c r="A264" t="s">
        <v>198</v>
      </c>
      <c r="B264" s="4">
        <v>45733</v>
      </c>
      <c r="C264" s="1">
        <f>6+33/60</f>
        <v>6.55</v>
      </c>
      <c r="D264" s="12">
        <v>287</v>
      </c>
      <c r="E264" s="2">
        <v>0</v>
      </c>
      <c r="F264" s="2">
        <v>4552</v>
      </c>
      <c r="G264" s="2">
        <f t="shared" si="34"/>
        <v>9624.75</v>
      </c>
      <c r="I264" s="1">
        <f t="shared" si="28"/>
        <v>13.858333333333333</v>
      </c>
      <c r="J264" s="2">
        <f t="shared" si="29"/>
        <v>568.25</v>
      </c>
      <c r="L264" s="1">
        <f t="shared" si="30"/>
        <v>14.019166666666667</v>
      </c>
      <c r="M264" s="2">
        <f t="shared" si="31"/>
        <v>598.25</v>
      </c>
      <c r="O264" s="1">
        <f t="shared" si="32"/>
        <v>13.658333333333335</v>
      </c>
      <c r="P264" s="2">
        <f t="shared" si="33"/>
        <v>606.44444444444446</v>
      </c>
      <c r="Q264" s="2"/>
      <c r="R264" s="2"/>
    </row>
    <row r="265" spans="1:18" x14ac:dyDescent="0.45">
      <c r="A265" t="s">
        <v>160</v>
      </c>
      <c r="B265" s="4">
        <v>45740</v>
      </c>
      <c r="C265" s="1">
        <f>18+22/60</f>
        <v>18.366666666666667</v>
      </c>
      <c r="D265" s="12">
        <v>907</v>
      </c>
      <c r="E265" s="2">
        <v>0</v>
      </c>
      <c r="F265" s="2">
        <v>13870</v>
      </c>
      <c r="G265" s="2">
        <f t="shared" si="34"/>
        <v>9502.5</v>
      </c>
      <c r="I265" s="1">
        <f t="shared" si="28"/>
        <v>13.525</v>
      </c>
      <c r="J265" s="2">
        <f t="shared" si="29"/>
        <v>578.5</v>
      </c>
      <c r="L265" s="1">
        <f t="shared" si="30"/>
        <v>14.191666666666668</v>
      </c>
      <c r="M265" s="2">
        <f t="shared" si="31"/>
        <v>599.79999999999995</v>
      </c>
      <c r="O265" s="1">
        <f t="shared" si="32"/>
        <v>13.611111111111111</v>
      </c>
      <c r="P265" s="2">
        <f t="shared" si="33"/>
        <v>598.94444444444446</v>
      </c>
      <c r="Q265" s="2"/>
      <c r="R265" s="2"/>
    </row>
    <row r="266" spans="1:18" x14ac:dyDescent="0.45">
      <c r="B266" s="4">
        <v>45747</v>
      </c>
      <c r="C266" s="1">
        <f>9+55/60</f>
        <v>9.9166666666666661</v>
      </c>
      <c r="D266" s="12">
        <v>346</v>
      </c>
      <c r="E266" s="2">
        <v>0</v>
      </c>
      <c r="F266" s="2">
        <v>6691</v>
      </c>
      <c r="G266" s="2">
        <f t="shared" si="34"/>
        <v>8445</v>
      </c>
      <c r="I266" s="1">
        <f t="shared" si="28"/>
        <v>12.404166666666667</v>
      </c>
      <c r="J266" s="2">
        <f t="shared" si="29"/>
        <v>506.5</v>
      </c>
      <c r="L266" s="1">
        <f t="shared" si="30"/>
        <v>13.855833333333333</v>
      </c>
      <c r="M266" s="2">
        <f t="shared" si="31"/>
        <v>575.5</v>
      </c>
      <c r="O266" s="1">
        <f t="shared" si="32"/>
        <v>13.683333333333332</v>
      </c>
      <c r="P266" s="2">
        <f t="shared" si="33"/>
        <v>567.86111111111109</v>
      </c>
      <c r="Q266" s="2"/>
      <c r="R266" s="2"/>
    </row>
    <row r="267" spans="1:18" x14ac:dyDescent="0.45">
      <c r="A267" t="s">
        <v>199</v>
      </c>
      <c r="B267" s="4">
        <v>45754</v>
      </c>
      <c r="C267" s="1">
        <f>22+9/60</f>
        <v>22.15</v>
      </c>
      <c r="D267" s="12">
        <v>984</v>
      </c>
      <c r="E267" s="2">
        <v>0</v>
      </c>
      <c r="F267" s="2">
        <v>13810</v>
      </c>
      <c r="G267" s="2">
        <f t="shared" si="34"/>
        <v>9730.75</v>
      </c>
      <c r="I267" s="1">
        <f t="shared" si="28"/>
        <v>14.245833333333334</v>
      </c>
      <c r="J267" s="2">
        <f t="shared" si="29"/>
        <v>631</v>
      </c>
      <c r="L267" s="1">
        <f t="shared" si="30"/>
        <v>13.8225</v>
      </c>
      <c r="M267" s="2">
        <f t="shared" si="31"/>
        <v>579.35</v>
      </c>
      <c r="O267" s="1">
        <f t="shared" si="32"/>
        <v>14.249074074074075</v>
      </c>
      <c r="P267" s="2">
        <f t="shared" si="33"/>
        <v>598.69444444444446</v>
      </c>
      <c r="Q267" s="2"/>
      <c r="R267" s="2"/>
    </row>
    <row r="268" spans="1:18" x14ac:dyDescent="0.45">
      <c r="A268" t="s">
        <v>200</v>
      </c>
      <c r="B268" s="4">
        <v>45761</v>
      </c>
      <c r="C268" s="1">
        <v>0</v>
      </c>
      <c r="D268" s="12">
        <v>0</v>
      </c>
      <c r="E268" s="2">
        <v>0</v>
      </c>
      <c r="F268" s="2">
        <v>0</v>
      </c>
      <c r="G268" s="2">
        <f t="shared" si="34"/>
        <v>8592.75</v>
      </c>
      <c r="I268" s="1">
        <f t="shared" si="28"/>
        <v>12.608333333333333</v>
      </c>
      <c r="J268" s="2">
        <f t="shared" si="29"/>
        <v>559.25</v>
      </c>
      <c r="L268" s="1">
        <f t="shared" si="30"/>
        <v>13.328333333333333</v>
      </c>
      <c r="M268" s="2">
        <f t="shared" si="31"/>
        <v>568.70000000000005</v>
      </c>
      <c r="O268" s="1">
        <f t="shared" si="32"/>
        <v>14.649074074074074</v>
      </c>
      <c r="P268" s="2">
        <f t="shared" si="33"/>
        <v>620.86111111111109</v>
      </c>
      <c r="Q268" s="2"/>
      <c r="R268" s="2"/>
    </row>
    <row r="269" spans="1:18" x14ac:dyDescent="0.45">
      <c r="B269" s="4">
        <v>45768</v>
      </c>
      <c r="C269" s="1">
        <f>13+30/60</f>
        <v>13.5</v>
      </c>
      <c r="D269" s="12">
        <v>632</v>
      </c>
      <c r="E269" s="2">
        <v>2</v>
      </c>
      <c r="F269" s="2">
        <v>10779</v>
      </c>
      <c r="G269" s="2">
        <f t="shared" si="34"/>
        <v>7820</v>
      </c>
      <c r="I269" s="1">
        <f t="shared" si="28"/>
        <v>11.391666666666666</v>
      </c>
      <c r="J269" s="2">
        <f t="shared" si="29"/>
        <v>490.5</v>
      </c>
      <c r="L269" s="1">
        <f t="shared" si="30"/>
        <v>12.834999999999999</v>
      </c>
      <c r="M269" s="2">
        <f t="shared" si="31"/>
        <v>553.15</v>
      </c>
      <c r="O269" s="1">
        <f t="shared" si="32"/>
        <v>13.039814814814815</v>
      </c>
      <c r="P269" s="2">
        <f t="shared" si="33"/>
        <v>547.19444444444446</v>
      </c>
      <c r="Q269" s="2"/>
      <c r="R269" s="2"/>
    </row>
    <row r="270" spans="1:18" x14ac:dyDescent="0.45">
      <c r="B270" s="4">
        <v>45775</v>
      </c>
      <c r="C270" s="1">
        <f>15+32/60</f>
        <v>15.533333333333333</v>
      </c>
      <c r="D270" s="12">
        <v>691</v>
      </c>
      <c r="E270" s="2">
        <v>2</v>
      </c>
      <c r="F270" s="2">
        <v>12626</v>
      </c>
      <c r="G270" s="2">
        <f t="shared" si="34"/>
        <v>9303.75</v>
      </c>
      <c r="I270" s="1">
        <f t="shared" si="28"/>
        <v>12.795833333333333</v>
      </c>
      <c r="J270" s="2">
        <f t="shared" si="29"/>
        <v>576.75</v>
      </c>
      <c r="L270" s="1">
        <f t="shared" si="30"/>
        <v>12.689166666666667</v>
      </c>
      <c r="M270" s="2">
        <f t="shared" si="31"/>
        <v>552.79999999999995</v>
      </c>
      <c r="O270" s="1">
        <f t="shared" si="32"/>
        <v>12.639814814814814</v>
      </c>
      <c r="P270" s="2">
        <f t="shared" si="33"/>
        <v>526.66666666666663</v>
      </c>
      <c r="Q270" s="2"/>
      <c r="R270" s="2"/>
    </row>
    <row r="271" spans="1:18" x14ac:dyDescent="0.45">
      <c r="A271" t="s">
        <v>201</v>
      </c>
      <c r="B271" s="4">
        <v>45782</v>
      </c>
      <c r="C271" s="1">
        <f>16+20/60</f>
        <v>16.333333333333332</v>
      </c>
      <c r="D271" s="12">
        <v>1035</v>
      </c>
      <c r="E271" s="2">
        <v>1</v>
      </c>
      <c r="F271" s="2">
        <v>14106</v>
      </c>
      <c r="G271" s="2">
        <f t="shared" si="34"/>
        <v>9377.75</v>
      </c>
      <c r="I271" s="1">
        <f t="shared" si="28"/>
        <v>11.341666666666665</v>
      </c>
      <c r="J271" s="2">
        <f t="shared" si="29"/>
        <v>589.5</v>
      </c>
      <c r="L271" s="1">
        <f t="shared" si="30"/>
        <v>12.476666666666667</v>
      </c>
      <c r="M271" s="2">
        <f t="shared" si="31"/>
        <v>569.4</v>
      </c>
      <c r="O271" s="1">
        <f t="shared" si="32"/>
        <v>12.197685185185184</v>
      </c>
      <c r="P271" s="2">
        <f t="shared" si="33"/>
        <v>554.27777777777783</v>
      </c>
      <c r="Q271" s="2"/>
      <c r="R271" s="2"/>
    </row>
    <row r="272" spans="1:18" x14ac:dyDescent="0.45">
      <c r="B272" s="4">
        <v>45789</v>
      </c>
      <c r="C272" s="1">
        <f>19+46/60</f>
        <v>19.766666666666666</v>
      </c>
      <c r="D272" s="12">
        <v>824</v>
      </c>
      <c r="E272" s="2">
        <v>1</v>
      </c>
      <c r="F272" s="2">
        <v>15346</v>
      </c>
      <c r="G272" s="2">
        <f t="shared" si="34"/>
        <v>13214.25</v>
      </c>
      <c r="I272" s="1">
        <f t="shared" si="28"/>
        <v>16.283333333333331</v>
      </c>
      <c r="J272" s="2">
        <f t="shared" si="29"/>
        <v>795.5</v>
      </c>
      <c r="L272" s="1">
        <f t="shared" si="30"/>
        <v>12.884166666666664</v>
      </c>
      <c r="M272" s="2">
        <f t="shared" si="31"/>
        <v>602.29999999999995</v>
      </c>
      <c r="O272" s="1">
        <f t="shared" si="32"/>
        <v>13.952314814814812</v>
      </c>
      <c r="P272" s="2">
        <f t="shared" si="33"/>
        <v>641.02777777777783</v>
      </c>
      <c r="Q272" s="2"/>
      <c r="R272" s="2"/>
    </row>
    <row r="273" spans="1:32" x14ac:dyDescent="0.45">
      <c r="B273" s="4">
        <v>45796</v>
      </c>
      <c r="C273" s="1">
        <f>18+26/60</f>
        <v>18.433333333333334</v>
      </c>
      <c r="D273" s="12">
        <v>789</v>
      </c>
      <c r="E273" s="2">
        <v>2</v>
      </c>
      <c r="F273" s="2">
        <v>13956</v>
      </c>
      <c r="G273" s="2">
        <f t="shared" si="34"/>
        <v>14008.5</v>
      </c>
      <c r="I273" s="1">
        <f t="shared" si="28"/>
        <v>17.516666666666666</v>
      </c>
      <c r="J273" s="2">
        <f t="shared" si="29"/>
        <v>834.75</v>
      </c>
      <c r="L273" s="1">
        <f t="shared" si="30"/>
        <v>13.865833333333333</v>
      </c>
      <c r="M273" s="2">
        <f t="shared" si="31"/>
        <v>657.4</v>
      </c>
      <c r="O273" s="1">
        <f t="shared" si="32"/>
        <v>13.082870370370369</v>
      </c>
      <c r="P273" s="2">
        <f t="shared" si="33"/>
        <v>586.72222222222217</v>
      </c>
      <c r="Q273" s="2"/>
      <c r="R273" s="2"/>
    </row>
    <row r="274" spans="1:32" x14ac:dyDescent="0.45">
      <c r="A274" t="s">
        <v>202</v>
      </c>
      <c r="B274" s="4">
        <v>45803</v>
      </c>
      <c r="C274" s="1">
        <f>13+56/60</f>
        <v>13.933333333333334</v>
      </c>
      <c r="D274" s="12">
        <v>734</v>
      </c>
      <c r="E274" s="2">
        <v>1</v>
      </c>
      <c r="F274" s="2">
        <v>9233</v>
      </c>
      <c r="G274" s="2">
        <f t="shared" ref="G274:G276" si="35">AVERAGE(F271:F274)</f>
        <v>13160.25</v>
      </c>
      <c r="I274" s="1">
        <f t="shared" ref="I274:I276" si="36">AVERAGE(C271:C274)</f>
        <v>17.116666666666667</v>
      </c>
      <c r="J274" s="2">
        <f t="shared" ref="J274:J276" si="37">AVERAGE(D271:D274)</f>
        <v>845.5</v>
      </c>
      <c r="L274" s="1">
        <f t="shared" ref="L274:L276" si="38">((C267)+(2*C268)+(3*C269)+(4*C270)+(4*C271)+(3*C272)+(2*C273)+(C274))/20</f>
        <v>15.010833333333334</v>
      </c>
      <c r="M274" s="2">
        <f t="shared" ref="M274:M276" si="39">((D267)+(2*D268)+(3*D269)+(4*D270)+(4*D271)+(3*D272)+(2*D273)+(D274))/20</f>
        <v>728.4</v>
      </c>
      <c r="O274" s="1">
        <f t="shared" ref="O274:O276" si="40">((C274)+(C273*2)+(C272*3)+(C271*4)+(C270*5)+(C269*6)+(C268*7)+(C267*8))/36</f>
        <v>14.202777777777778</v>
      </c>
      <c r="P274" s="2">
        <f t="shared" ref="P274:P276" si="41">((D274)+(D273*2)+(D272*3)+(D271*4)+(D270*5)+(D269*6)+(D268*7)+(D267*8))/36</f>
        <v>667.86111111111109</v>
      </c>
      <c r="Q274" s="2"/>
      <c r="R274" s="2"/>
    </row>
    <row r="275" spans="1:32" x14ac:dyDescent="0.45">
      <c r="A275" t="s">
        <v>174</v>
      </c>
      <c r="B275" s="4">
        <v>45810</v>
      </c>
      <c r="C275" s="1">
        <f>16+20/60</f>
        <v>16.333333333333332</v>
      </c>
      <c r="D275" s="12">
        <v>1127</v>
      </c>
      <c r="E275" s="2">
        <v>1</v>
      </c>
      <c r="F275" s="2">
        <v>14710</v>
      </c>
      <c r="G275" s="2">
        <f t="shared" si="35"/>
        <v>13311.25</v>
      </c>
      <c r="I275" s="1">
        <f t="shared" si="36"/>
        <v>17.116666666666667</v>
      </c>
      <c r="J275" s="2">
        <f t="shared" si="37"/>
        <v>868.5</v>
      </c>
      <c r="L275" s="1">
        <f t="shared" si="38"/>
        <v>15.875</v>
      </c>
      <c r="M275" s="2">
        <f t="shared" si="39"/>
        <v>786.75</v>
      </c>
      <c r="O275" s="1">
        <f t="shared" si="40"/>
        <v>12.442592592592593</v>
      </c>
      <c r="P275" s="2">
        <f t="shared" si="41"/>
        <v>611.19444444444446</v>
      </c>
      <c r="Q275" s="2"/>
      <c r="R275" s="2"/>
      <c r="S275" s="23"/>
      <c r="T275" s="23"/>
      <c r="U275" s="23"/>
    </row>
    <row r="276" spans="1:32" x14ac:dyDescent="0.45">
      <c r="A276" t="s">
        <v>203</v>
      </c>
      <c r="B276" s="4">
        <v>45817</v>
      </c>
      <c r="C276" s="1">
        <f>15+13/60</f>
        <v>15.216666666666667</v>
      </c>
      <c r="D276" s="12">
        <f>417+180</f>
        <v>597</v>
      </c>
      <c r="E276" s="2">
        <v>1</v>
      </c>
      <c r="F276" s="2">
        <f>6975+5500</f>
        <v>12475</v>
      </c>
      <c r="G276" s="2">
        <f t="shared" si="35"/>
        <v>12593.5</v>
      </c>
      <c r="I276" s="1">
        <f t="shared" si="36"/>
        <v>15.979166666666668</v>
      </c>
      <c r="J276" s="2">
        <f t="shared" si="37"/>
        <v>811.75</v>
      </c>
      <c r="L276" s="1">
        <f t="shared" si="38"/>
        <v>16.802500000000002</v>
      </c>
      <c r="M276" s="2">
        <f t="shared" si="39"/>
        <v>831.2</v>
      </c>
      <c r="O276" s="1">
        <f t="shared" si="40"/>
        <v>16.027314814814815</v>
      </c>
      <c r="P276" s="2">
        <f t="shared" si="41"/>
        <v>789.77777777777783</v>
      </c>
      <c r="Q276" s="2"/>
      <c r="R276" s="2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x14ac:dyDescent="0.45">
      <c r="A277" t="s">
        <v>204</v>
      </c>
      <c r="B277" s="4">
        <v>45824</v>
      </c>
      <c r="C277" s="1">
        <f>4+25/60</f>
        <v>4.416666666666667</v>
      </c>
      <c r="D277" s="12">
        <v>162</v>
      </c>
      <c r="E277" s="2">
        <v>1</v>
      </c>
      <c r="F277" s="2">
        <v>2584</v>
      </c>
      <c r="G277" s="2">
        <f t="shared" ref="G277:G278" si="42">AVERAGE(F274:F277)</f>
        <v>9750.5</v>
      </c>
      <c r="I277" s="1">
        <f t="shared" ref="I277:I278" si="43">AVERAGE(C274:C277)</f>
        <v>12.475</v>
      </c>
      <c r="J277" s="2">
        <f t="shared" ref="J277:J278" si="44">AVERAGE(D274:D277)</f>
        <v>655</v>
      </c>
      <c r="L277" s="1">
        <f t="shared" ref="L277:L278" si="45">((C270)+(2*C271)+(3*C272)+(4*C273)+(4*C274)+(3*C275)+(2*C276)+(C277))/20</f>
        <v>16.040833333333335</v>
      </c>
      <c r="M277" s="2">
        <f t="shared" ref="M277:M278" si="46">((D270)+(2*D271)+(3*D272)+(4*D273)+(4*D274)+(3*D275)+(2*D276)+(D277))/20</f>
        <v>803.1</v>
      </c>
      <c r="O277" s="1">
        <f t="shared" ref="O277:O278" si="47">((C277)+(C276*2)+(C275*3)+(C274*4)+(C273*5)+(C272*6)+(C271*7)+(C270*8))/36</f>
        <v>16.359722222222224</v>
      </c>
      <c r="P277" s="2">
        <f t="shared" ref="P277:P278" si="48">((D277)+(D276*2)+(D275*3)+(D274*4)+(D273*5)+(D272*6)+(D271*7)+(D270*8))/36</f>
        <v>814.86111111111109</v>
      </c>
      <c r="Q277" s="2"/>
      <c r="R277" s="2"/>
      <c r="S277" s="1"/>
      <c r="W277" s="2"/>
      <c r="Y277" s="1"/>
      <c r="Z277" s="2"/>
      <c r="AB277" s="1"/>
      <c r="AC277" s="2"/>
      <c r="AE277" s="1"/>
      <c r="AF277" s="2"/>
    </row>
    <row r="278" spans="1:32" x14ac:dyDescent="0.45">
      <c r="B278" s="4">
        <v>45831</v>
      </c>
      <c r="C278" s="1">
        <f>16+24/60</f>
        <v>16.399999999999999</v>
      </c>
      <c r="D278" s="12">
        <v>675</v>
      </c>
      <c r="E278" s="2">
        <v>2</v>
      </c>
      <c r="F278" s="2">
        <v>13189</v>
      </c>
      <c r="G278" s="2">
        <f t="shared" si="42"/>
        <v>10739.5</v>
      </c>
      <c r="I278" s="1">
        <f t="shared" si="43"/>
        <v>13.091666666666665</v>
      </c>
      <c r="J278" s="2">
        <f t="shared" si="44"/>
        <v>640.25</v>
      </c>
      <c r="L278" s="1">
        <f t="shared" si="45"/>
        <v>15.155833333333328</v>
      </c>
      <c r="M278" s="2">
        <f t="shared" si="46"/>
        <v>764.2</v>
      </c>
      <c r="O278" s="1">
        <f t="shared" si="47"/>
        <v>16.264351851851853</v>
      </c>
      <c r="P278" s="2">
        <f t="shared" si="48"/>
        <v>826.38888888888891</v>
      </c>
      <c r="Q278" s="2"/>
      <c r="R278" s="2"/>
      <c r="S278" s="1"/>
      <c r="T278" s="2"/>
      <c r="W278" s="2"/>
      <c r="Y278" s="1"/>
      <c r="Z278" s="2"/>
      <c r="AB278" s="1"/>
      <c r="AC278" s="2"/>
      <c r="AE278" s="1"/>
      <c r="AF278" s="2"/>
    </row>
    <row r="279" spans="1:32" x14ac:dyDescent="0.45">
      <c r="B279" s="4">
        <v>45838</v>
      </c>
      <c r="C279" s="1">
        <f>19+5/60</f>
        <v>19.083333333333332</v>
      </c>
      <c r="D279" s="12">
        <v>745</v>
      </c>
      <c r="E279" s="2">
        <v>2</v>
      </c>
      <c r="F279" s="2">
        <v>14803</v>
      </c>
      <c r="G279" s="2">
        <f t="shared" ref="G279:G281" si="49">AVERAGE(F276:F279)</f>
        <v>10762.75</v>
      </c>
      <c r="I279" s="1">
        <f t="shared" ref="I279:I281" si="50">AVERAGE(C276:C279)</f>
        <v>13.779166666666665</v>
      </c>
      <c r="J279" s="2">
        <f t="shared" ref="J279:J281" si="51">AVERAGE(D276:D279)</f>
        <v>544.75</v>
      </c>
      <c r="L279" s="1">
        <f t="shared" ref="L279:L281" si="52">((C272)+(2*C273)+(3*C274)+(4*C275)+(4*C276)+(3*C277)+(2*C278)+(C279))/20</f>
        <v>14.488333333333333</v>
      </c>
      <c r="M279" s="2">
        <f t="shared" ref="M279:M281" si="53">((D272)+(2*D273)+(3*D274)+(4*D275)+(4*D276)+(3*D277)+(2*D278)+(D279))/20</f>
        <v>704.05</v>
      </c>
      <c r="O279" s="1">
        <f t="shared" ref="O279:O281" si="54">((C279)+(C278*2)+(C277*3)+(C276*4)+(C275*5)+(C274*6)+(C273*7)+(C272*8))/36</f>
        <v>16.06759259259259</v>
      </c>
      <c r="P279" s="2">
        <f t="shared" ref="P279:P281" si="55">((D279)+(D278*2)+(D277*3)+(D276*4)+(D275*5)+(D274*6)+(D273*7)+(D272*8))/36</f>
        <v>753.41666666666663</v>
      </c>
      <c r="Q279" s="2"/>
      <c r="R279" s="2"/>
      <c r="S279" s="1"/>
      <c r="T279" s="2"/>
      <c r="W279" s="2"/>
      <c r="Y279" s="1"/>
      <c r="Z279" s="2"/>
      <c r="AB279" s="1"/>
      <c r="AC279" s="2"/>
      <c r="AE279" s="1"/>
      <c r="AF279" s="2"/>
    </row>
    <row r="280" spans="1:32" x14ac:dyDescent="0.45">
      <c r="B280" s="4">
        <v>45845</v>
      </c>
      <c r="C280" s="1">
        <f>15+26/60</f>
        <v>15.433333333333334</v>
      </c>
      <c r="D280" s="12">
        <v>609</v>
      </c>
      <c r="E280" s="2">
        <v>2</v>
      </c>
      <c r="F280" s="2">
        <v>11510</v>
      </c>
      <c r="G280" s="2">
        <f t="shared" si="49"/>
        <v>10521.5</v>
      </c>
      <c r="I280" s="1">
        <f t="shared" si="50"/>
        <v>13.833333333333332</v>
      </c>
      <c r="J280" s="2">
        <f t="shared" si="51"/>
        <v>547.75</v>
      </c>
      <c r="L280" s="1">
        <f t="shared" si="52"/>
        <v>13.831666666666667</v>
      </c>
      <c r="M280" s="2">
        <f t="shared" si="53"/>
        <v>639.9</v>
      </c>
      <c r="O280" s="1">
        <f t="shared" si="54"/>
        <v>14.987499999999999</v>
      </c>
      <c r="P280" s="2">
        <f t="shared" si="55"/>
        <v>721.36111111111109</v>
      </c>
      <c r="Q280" s="2"/>
      <c r="R280" s="2"/>
      <c r="S280" s="1"/>
      <c r="T280" s="2"/>
      <c r="W280" s="2"/>
      <c r="Y280" s="1"/>
      <c r="Z280" s="2"/>
      <c r="AB280" s="1"/>
      <c r="AC280" s="2"/>
      <c r="AE280" s="1"/>
      <c r="AF280" s="2"/>
    </row>
    <row r="281" spans="1:32" x14ac:dyDescent="0.45">
      <c r="B281" s="4">
        <v>45852</v>
      </c>
      <c r="C281" s="1">
        <f>14+43/60</f>
        <v>14.716666666666667</v>
      </c>
      <c r="D281" s="12">
        <v>734</v>
      </c>
      <c r="E281" s="2">
        <v>2</v>
      </c>
      <c r="F281" s="2">
        <v>11641</v>
      </c>
      <c r="G281" s="2">
        <f t="shared" si="49"/>
        <v>12785.75</v>
      </c>
      <c r="I281" s="1">
        <f t="shared" si="50"/>
        <v>16.408333333333335</v>
      </c>
      <c r="J281" s="2">
        <f t="shared" si="51"/>
        <v>690.75</v>
      </c>
      <c r="L281" s="1">
        <f t="shared" si="52"/>
        <v>13.917499999999999</v>
      </c>
      <c r="M281" s="2">
        <f t="shared" si="53"/>
        <v>615.70000000000005</v>
      </c>
      <c r="O281" s="1">
        <f t="shared" si="54"/>
        <v>14.100462962962963</v>
      </c>
      <c r="P281" s="2">
        <f t="shared" si="55"/>
        <v>695.55555555555554</v>
      </c>
      <c r="Q281" s="2"/>
      <c r="R281" s="2"/>
      <c r="S281" s="1"/>
      <c r="T281" s="2"/>
      <c r="W281" s="2"/>
      <c r="Y281" s="1"/>
      <c r="Z281" s="2"/>
      <c r="AB281" s="1"/>
      <c r="AC281" s="2"/>
      <c r="AE281" s="1"/>
      <c r="AF281" s="2"/>
    </row>
    <row r="282" spans="1:32" x14ac:dyDescent="0.45">
      <c r="B282" s="4">
        <v>45859</v>
      </c>
      <c r="C282" s="1">
        <f>15+47/60</f>
        <v>15.783333333333333</v>
      </c>
      <c r="D282" s="12">
        <v>757</v>
      </c>
      <c r="E282" s="2">
        <v>2</v>
      </c>
      <c r="F282" s="2">
        <v>12833</v>
      </c>
      <c r="G282" s="2">
        <f t="shared" ref="G282:G284" si="56">AVERAGE(F279:F282)</f>
        <v>12696.75</v>
      </c>
      <c r="I282" s="1">
        <f t="shared" ref="I282:I284" si="57">AVERAGE(C279:C282)</f>
        <v>16.254166666666666</v>
      </c>
      <c r="J282" s="2">
        <f t="shared" ref="J282:J284" si="58">AVERAGE(D279:D282)</f>
        <v>711.25</v>
      </c>
      <c r="L282" s="1">
        <f t="shared" ref="L282:L284" si="59">((C275)+(2*C276)+(3*C277)+(4*C278)+(4*C279)+(3*C280)+(2*C281)+(C282))/20</f>
        <v>14.673333333333336</v>
      </c>
      <c r="M282" s="2">
        <f t="shared" ref="M282:M284" si="60">((D275)+(2*D276)+(3*D277)+(4*D278)+(4*D279)+(3*D280)+(2*D281)+(D282))/20</f>
        <v>626.95000000000005</v>
      </c>
      <c r="O282" s="1">
        <f t="shared" ref="O282:O284" si="61">((C282)+(C281*2)+(C280*3)+(C279*4)+(C278*5)+(C277*6)+(C276*7)+(C275*8))/36</f>
        <v>14.264814814814814</v>
      </c>
      <c r="P282" s="2">
        <f t="shared" ref="P282:P284" si="62">((D282)+(D281*2)+(D280*3)+(D279*4)+(D278*5)+(D277*6)+(D276*7)+(D275*8))/36</f>
        <v>682.61111111111109</v>
      </c>
      <c r="Q282" s="2"/>
      <c r="R282" s="2"/>
      <c r="S282" s="1"/>
      <c r="T282" s="2"/>
      <c r="W282" s="2"/>
      <c r="Y282" s="1"/>
      <c r="Z282" s="2"/>
      <c r="AB282" s="1"/>
      <c r="AC282" s="2"/>
      <c r="AE282" s="1"/>
      <c r="AF282" s="2"/>
    </row>
    <row r="283" spans="1:32" x14ac:dyDescent="0.45">
      <c r="B283" s="4">
        <v>45866</v>
      </c>
      <c r="C283" s="1">
        <f>11+31/60</f>
        <v>11.516666666666667</v>
      </c>
      <c r="D283" s="12">
        <v>533</v>
      </c>
      <c r="E283" s="2">
        <v>2</v>
      </c>
      <c r="F283" s="2">
        <f>813*C283</f>
        <v>9363.0500000000011</v>
      </c>
      <c r="G283" s="2">
        <f t="shared" si="56"/>
        <v>11336.762500000001</v>
      </c>
      <c r="I283" s="1">
        <f t="shared" si="57"/>
        <v>14.362499999999999</v>
      </c>
      <c r="J283" s="2">
        <f t="shared" si="58"/>
        <v>658.25</v>
      </c>
      <c r="L283" s="1">
        <f t="shared" si="59"/>
        <v>14.9275</v>
      </c>
      <c r="M283" s="2">
        <f t="shared" si="60"/>
        <v>630.54999999999995</v>
      </c>
      <c r="O283" s="1">
        <f t="shared" si="61"/>
        <v>13.762037037037038</v>
      </c>
      <c r="P283" s="2">
        <f t="shared" si="62"/>
        <v>565.83333333333337</v>
      </c>
      <c r="Q283" s="2"/>
      <c r="R283" s="2"/>
      <c r="S283" s="1"/>
      <c r="T283" s="2"/>
      <c r="W283" s="2"/>
      <c r="Y283" s="1"/>
      <c r="Z283" s="2"/>
      <c r="AB283" s="1"/>
      <c r="AC283" s="2"/>
      <c r="AE283" s="1"/>
      <c r="AF283" s="2"/>
    </row>
    <row r="284" spans="1:32" x14ac:dyDescent="0.45">
      <c r="B284" s="4">
        <v>45873</v>
      </c>
      <c r="C284" s="1">
        <f>14+41/60</f>
        <v>14.683333333333334</v>
      </c>
      <c r="D284" s="12">
        <v>663</v>
      </c>
      <c r="E284" s="2">
        <v>2</v>
      </c>
      <c r="F284" s="2">
        <v>12285</v>
      </c>
      <c r="G284" s="2">
        <f t="shared" si="56"/>
        <v>11530.512500000001</v>
      </c>
      <c r="I284" s="1">
        <f t="shared" si="57"/>
        <v>14.175000000000001</v>
      </c>
      <c r="J284" s="2">
        <f t="shared" si="58"/>
        <v>671.75</v>
      </c>
      <c r="L284" s="1">
        <f t="shared" si="59"/>
        <v>15.006666666666669</v>
      </c>
      <c r="M284" s="2">
        <f t="shared" si="60"/>
        <v>655.95</v>
      </c>
      <c r="O284" s="1">
        <f t="shared" si="61"/>
        <v>13.492592592592592</v>
      </c>
      <c r="P284" s="2">
        <f t="shared" si="62"/>
        <v>568.66666666666663</v>
      </c>
      <c r="Q284" s="2"/>
      <c r="R284" s="2"/>
      <c r="S284" s="1"/>
      <c r="T284" s="2"/>
      <c r="W284" s="2"/>
      <c r="Y284" s="1"/>
      <c r="Z284" s="2"/>
      <c r="AB284" s="1"/>
      <c r="AC284" s="2"/>
      <c r="AD284" s="2"/>
      <c r="AE284" s="1"/>
      <c r="AF284" s="2"/>
    </row>
    <row r="285" spans="1:32" x14ac:dyDescent="0.45">
      <c r="B285" s="4">
        <v>45880</v>
      </c>
      <c r="C285" s="1">
        <f>15+17/60</f>
        <v>15.283333333333333</v>
      </c>
      <c r="D285" s="12">
        <v>702</v>
      </c>
      <c r="E285" s="2">
        <v>2</v>
      </c>
      <c r="F285" s="2">
        <v>11572</v>
      </c>
      <c r="G285" s="2">
        <f t="shared" ref="G285" si="63">AVERAGE(F282:F285)</f>
        <v>11513.262500000001</v>
      </c>
      <c r="I285" s="1">
        <f t="shared" ref="I285" si="64">AVERAGE(C282:C285)</f>
        <v>14.316666666666666</v>
      </c>
      <c r="J285" s="2">
        <f t="shared" ref="J285" si="65">AVERAGE(D282:D285)</f>
        <v>663.75</v>
      </c>
      <c r="L285" s="1">
        <f t="shared" ref="L285" si="66">((C278)+(2*C279)+(3*C280)+(4*C281)+(4*C282)+(3*C283)+(2*C284)+(C285))/20</f>
        <v>15.103333333333333</v>
      </c>
      <c r="M285" s="2">
        <f t="shared" ref="M285" si="67">((D278)+(2*D279)+(3*D280)+(4*D281)+(4*D282)+(3*D283)+(2*D284)+(D285))/20</f>
        <v>679.15</v>
      </c>
      <c r="O285" s="1">
        <f t="shared" ref="O285" si="68">((C285)+(C284*2)+(C283*3)+(C282*4)+(C281*5)+(C280*6)+(C279*7)+(C278*8))/36</f>
        <v>15.924999999999999</v>
      </c>
      <c r="P285" s="2">
        <f t="shared" ref="P285" si="69">((D285)+(D284*2)+(D283*3)+(D282*4)+(D281*5)+(D280*6)+(D279*7)+(D278*8))/36</f>
        <v>683.16666666666663</v>
      </c>
      <c r="Q285" s="2"/>
      <c r="R285" s="2"/>
      <c r="S285" s="1"/>
      <c r="T285" s="2"/>
      <c r="W285" s="2"/>
      <c r="Y285" s="1"/>
      <c r="Z285" s="2"/>
      <c r="AB285" s="1"/>
      <c r="AC285" s="2"/>
      <c r="AD285" s="2"/>
      <c r="AE285" s="1"/>
      <c r="AF285" s="2"/>
    </row>
    <row r="286" spans="1:32" x14ac:dyDescent="0.45">
      <c r="B286" s="4">
        <v>45887</v>
      </c>
      <c r="C286" s="1">
        <f>17+16/60</f>
        <v>17.266666666666666</v>
      </c>
      <c r="D286" s="12">
        <v>773</v>
      </c>
      <c r="E286" s="2">
        <v>3</v>
      </c>
      <c r="F286" s="2">
        <v>23607</v>
      </c>
      <c r="G286" s="2">
        <f t="shared" ref="G286" si="70">AVERAGE(F283:F286)</f>
        <v>14206.762500000001</v>
      </c>
      <c r="I286" s="1">
        <f t="shared" ref="I286" si="71">AVERAGE(C283:C286)</f>
        <v>14.6875</v>
      </c>
      <c r="J286" s="2">
        <f t="shared" ref="J286" si="72">AVERAGE(D283:D286)</f>
        <v>667.75</v>
      </c>
      <c r="L286" s="1">
        <f t="shared" ref="L286" si="73">((C279)+(2*C280)+(3*C281)+(4*C282)+(4*C283)+(3*C284)+(2*C285)+(C286))/20</f>
        <v>14.759166666666664</v>
      </c>
      <c r="M286" s="2">
        <f t="shared" ref="M286" si="74">((D279)+(2*D280)+(3*D281)+(4*D282)+(4*D283)+(3*D284)+(2*D285)+(D286))/20</f>
        <v>674.55</v>
      </c>
      <c r="O286" s="1">
        <f t="shared" ref="O286" si="75">((C286)+(C285*2)+(C284*3)+(C283*4)+(C282*5)+(C281*6)+(C280*7)+(C279*8))/36</f>
        <v>15.718518518518518</v>
      </c>
      <c r="P286" s="2">
        <f t="shared" ref="P286" si="76">((D286)+(D285*2)+(D284*3)+(D283*4)+(D282*5)+(D281*6)+(D280*7)+(D279*8))/36</f>
        <v>686.38888888888891</v>
      </c>
      <c r="Q286" s="2"/>
      <c r="R286" s="2"/>
      <c r="S286" s="1"/>
      <c r="T286" s="2"/>
      <c r="W286" s="2"/>
      <c r="Y286" s="1"/>
      <c r="Z286" s="2"/>
      <c r="AB286" s="1"/>
      <c r="AC286" s="2"/>
      <c r="AD286" s="2"/>
      <c r="AE286" s="1"/>
      <c r="AF286" s="2"/>
    </row>
    <row r="287" spans="1:32" x14ac:dyDescent="0.45">
      <c r="A287" t="s">
        <v>205</v>
      </c>
      <c r="B287" s="4">
        <v>45894</v>
      </c>
      <c r="C287" s="1">
        <f>7+27/60</f>
        <v>7.45</v>
      </c>
      <c r="D287" s="12">
        <v>157</v>
      </c>
      <c r="E287" s="2">
        <v>2</v>
      </c>
      <c r="F287" s="2">
        <v>3362</v>
      </c>
      <c r="G287" s="2">
        <f t="shared" ref="G287" si="77">AVERAGE(F284:F287)</f>
        <v>12706.5</v>
      </c>
      <c r="I287" s="1">
        <f t="shared" ref="I287" si="78">AVERAGE(C284:C287)</f>
        <v>13.670833333333334</v>
      </c>
      <c r="J287" s="2">
        <f t="shared" ref="J287" si="79">AVERAGE(D284:D287)</f>
        <v>573.75</v>
      </c>
      <c r="L287" s="1">
        <f t="shared" ref="L287" si="80">((C280)+(2*C281)+(3*C282)+(4*C283)+(4*C284)+(3*C285)+(2*C286)+(C287))/20</f>
        <v>14.242499999999998</v>
      </c>
      <c r="M287" s="2">
        <f t="shared" ref="M287" si="81">((D280)+(2*D281)+(3*D282)+(4*D283)+(4*D284)+(3*D285)+(2*D286)+(D287))/20</f>
        <v>647.04999999999995</v>
      </c>
      <c r="O287" s="1">
        <f t="shared" ref="O287" si="82">((C287)+(C286*2)+(C285*3)+(C284*4)+(C283*5)+(C282*6)+(C281*7)+(C280*8))/36</f>
        <v>14.592592592592593</v>
      </c>
      <c r="P287" s="2">
        <f t="shared" ref="P287" si="83">((D287)+(D286*2)+(D285*3)+(D284*4)+(D283*5)+(D282*6)+(D281*7)+(D280*8))/36</f>
        <v>657.72222222222217</v>
      </c>
      <c r="Q287" s="2"/>
      <c r="R287" s="2"/>
      <c r="S287" s="1"/>
      <c r="T287" s="2"/>
      <c r="W287" s="2"/>
      <c r="Y287" s="1"/>
      <c r="Z287" s="2"/>
      <c r="AB287" s="1"/>
      <c r="AC287" s="2"/>
      <c r="AD287" s="2"/>
      <c r="AE287" s="1"/>
      <c r="AF287" s="2"/>
    </row>
    <row r="288" spans="1:32" x14ac:dyDescent="0.45">
      <c r="B288" s="4">
        <v>45901</v>
      </c>
      <c r="C288" s="1">
        <f>19</f>
        <v>19</v>
      </c>
      <c r="D288" s="12">
        <v>887</v>
      </c>
      <c r="E288" s="2">
        <v>2</v>
      </c>
      <c r="F288" s="2">
        <v>14973</v>
      </c>
      <c r="G288" s="2">
        <f t="shared" ref="G288:G290" si="84">AVERAGE(F285:F288)</f>
        <v>13378.5</v>
      </c>
      <c r="I288" s="1">
        <f t="shared" ref="I288:I290" si="85">AVERAGE(C285:C288)</f>
        <v>14.75</v>
      </c>
      <c r="J288" s="2">
        <f t="shared" ref="J288:J290" si="86">AVERAGE(D285:D288)</f>
        <v>629.75</v>
      </c>
      <c r="L288" s="1">
        <f t="shared" ref="L288:L290" si="87">((C281)+(2*C282)+(3*C283)+(4*C284)+(4*C285)+(3*C286)+(2*C287)+(C288))/20</f>
        <v>14.319999999999999</v>
      </c>
      <c r="M288" s="2">
        <f t="shared" ref="M288:M290" si="88">((D281)+(2*D282)+(3*D283)+(4*D284)+(4*D285)+(3*D286)+(2*D287)+(D288))/20</f>
        <v>641.35</v>
      </c>
      <c r="O288" s="1">
        <f t="shared" ref="O288:O290" si="89">((C288)+(C287*2)+(C286*3)+(C285*4)+(C284*5)+(C283*6)+(C282*7)+(C281*8))/36</f>
        <v>14.376851851851853</v>
      </c>
      <c r="P288" s="2">
        <f t="shared" ref="P288:P290" si="90">((D288)+(D287*2)+(D286*3)+(D285*4)+(D284*5)+(D283*6)+(D282*7)+(D281*8))/36</f>
        <v>667</v>
      </c>
    </row>
    <row r="289" spans="2:16" x14ac:dyDescent="0.45">
      <c r="B289" s="4">
        <v>45908</v>
      </c>
      <c r="C289" s="1">
        <f>17+32/60</f>
        <v>17.533333333333335</v>
      </c>
      <c r="D289" s="12">
        <v>932</v>
      </c>
      <c r="E289" s="2">
        <v>1</v>
      </c>
      <c r="F289" s="2">
        <v>14053</v>
      </c>
      <c r="G289" s="2">
        <f t="shared" si="84"/>
        <v>13998.75</v>
      </c>
      <c r="I289" s="1">
        <f t="shared" si="85"/>
        <v>15.3125</v>
      </c>
      <c r="J289" s="2">
        <f t="shared" si="86"/>
        <v>687.25</v>
      </c>
      <c r="L289" s="1">
        <f t="shared" si="87"/>
        <v>14.547499999999999</v>
      </c>
      <c r="M289" s="2">
        <f t="shared" si="88"/>
        <v>644.45000000000005</v>
      </c>
      <c r="O289" s="1">
        <f t="shared" si="89"/>
        <v>14.398611111111112</v>
      </c>
      <c r="P289" s="2">
        <f t="shared" si="90"/>
        <v>654</v>
      </c>
    </row>
    <row r="290" spans="2:16" x14ac:dyDescent="0.45">
      <c r="B290" s="4">
        <v>45915</v>
      </c>
      <c r="C290" s="1">
        <f>4+45/60</f>
        <v>4.75</v>
      </c>
      <c r="D290" s="12">
        <v>199</v>
      </c>
      <c r="E290" s="2">
        <v>2</v>
      </c>
      <c r="F290" s="2">
        <v>3011</v>
      </c>
      <c r="G290" s="2">
        <f t="shared" si="84"/>
        <v>8849.75</v>
      </c>
      <c r="I290" s="1">
        <f t="shared" si="85"/>
        <v>12.183333333333334</v>
      </c>
      <c r="J290" s="2">
        <f t="shared" si="86"/>
        <v>543.75</v>
      </c>
      <c r="L290" s="1">
        <f t="shared" si="87"/>
        <v>14.120833333333334</v>
      </c>
      <c r="M290" s="2">
        <f t="shared" si="88"/>
        <v>620.45000000000005</v>
      </c>
      <c r="O290" s="1">
        <f t="shared" si="89"/>
        <v>13.87685185185185</v>
      </c>
      <c r="P290" s="2">
        <f t="shared" si="90"/>
        <v>620.38888888888891</v>
      </c>
    </row>
    <row r="291" spans="2:16" x14ac:dyDescent="0.45">
      <c r="B291" s="4"/>
      <c r="C291" s="1"/>
      <c r="E291" s="2"/>
      <c r="F291" s="2"/>
    </row>
    <row r="292" spans="2:16" x14ac:dyDescent="0.45">
      <c r="B292" s="4"/>
      <c r="C292" s="1"/>
      <c r="E292" s="2"/>
      <c r="F292" s="2"/>
    </row>
    <row r="293" spans="2:16" x14ac:dyDescent="0.45">
      <c r="B293" s="4"/>
      <c r="C293" s="1"/>
      <c r="E293" s="2"/>
      <c r="F293" s="2"/>
    </row>
    <row r="294" spans="2:16" x14ac:dyDescent="0.45">
      <c r="B294" s="4"/>
      <c r="C294" s="1"/>
      <c r="E294" s="2"/>
      <c r="F294" s="2"/>
    </row>
    <row r="295" spans="2:16" x14ac:dyDescent="0.45">
      <c r="B295" s="4"/>
      <c r="C295" s="1"/>
      <c r="E295" s="2"/>
      <c r="F295" s="2"/>
    </row>
    <row r="296" spans="2:16" x14ac:dyDescent="0.45">
      <c r="B296" s="4"/>
      <c r="C296" s="1"/>
      <c r="E296" s="2"/>
      <c r="F296" s="2"/>
    </row>
    <row r="297" spans="2:16" x14ac:dyDescent="0.45">
      <c r="B297" s="4"/>
      <c r="C297" s="1"/>
      <c r="E297" s="2"/>
      <c r="F297" s="2"/>
    </row>
    <row r="298" spans="2:16" x14ac:dyDescent="0.45">
      <c r="B298" s="4"/>
      <c r="C298" s="1"/>
      <c r="E298" s="2"/>
      <c r="F298" s="2"/>
    </row>
    <row r="299" spans="2:16" x14ac:dyDescent="0.45">
      <c r="B299" s="4"/>
      <c r="C299" s="1"/>
      <c r="E299" s="2"/>
      <c r="F299" s="2"/>
    </row>
    <row r="300" spans="2:16" x14ac:dyDescent="0.45">
      <c r="B300" s="4"/>
      <c r="C300" s="1"/>
      <c r="E300" s="2"/>
      <c r="F300" s="2"/>
    </row>
    <row r="301" spans="2:16" x14ac:dyDescent="0.45">
      <c r="B301" s="4"/>
      <c r="C301" s="1"/>
      <c r="E301" s="2"/>
      <c r="F301" s="2"/>
    </row>
    <row r="302" spans="2:16" x14ac:dyDescent="0.45">
      <c r="B302" s="4"/>
      <c r="C302" s="1"/>
      <c r="E302" s="2"/>
      <c r="F302" s="2"/>
    </row>
    <row r="303" spans="2:16" x14ac:dyDescent="0.45">
      <c r="B303" s="4"/>
      <c r="C303" s="1"/>
      <c r="E303" s="2"/>
      <c r="F303" s="2"/>
    </row>
    <row r="304" spans="2:16" x14ac:dyDescent="0.45">
      <c r="B304" s="4"/>
      <c r="C304" s="1"/>
      <c r="E304" s="2"/>
      <c r="F304" s="2"/>
    </row>
    <row r="305" spans="2:6" x14ac:dyDescent="0.45">
      <c r="B305" s="4"/>
      <c r="C305" s="1"/>
      <c r="E305" s="2"/>
      <c r="F305" s="2"/>
    </row>
    <row r="306" spans="2:6" x14ac:dyDescent="0.45">
      <c r="B306" s="4"/>
      <c r="C306" s="1"/>
      <c r="E306" s="2"/>
      <c r="F306" s="2"/>
    </row>
    <row r="307" spans="2:6" x14ac:dyDescent="0.45">
      <c r="B307" s="4"/>
      <c r="C307" s="1"/>
      <c r="E307" s="2"/>
      <c r="F307" s="2"/>
    </row>
    <row r="308" spans="2:6" x14ac:dyDescent="0.45">
      <c r="B308" s="4"/>
      <c r="C308" s="1"/>
      <c r="E308" s="2"/>
      <c r="F308" s="2"/>
    </row>
    <row r="309" spans="2:6" x14ac:dyDescent="0.45">
      <c r="B309" s="4"/>
      <c r="C309" s="1"/>
      <c r="E309" s="2"/>
      <c r="F309" s="2"/>
    </row>
    <row r="310" spans="2:6" x14ac:dyDescent="0.45">
      <c r="B310" s="4"/>
      <c r="C310" s="1"/>
      <c r="E310" s="2"/>
      <c r="F310" s="2"/>
    </row>
    <row r="311" spans="2:6" x14ac:dyDescent="0.45">
      <c r="B311" s="4"/>
      <c r="C311" s="1"/>
      <c r="E311" s="2"/>
      <c r="F311" s="2"/>
    </row>
    <row r="312" spans="2:6" x14ac:dyDescent="0.45">
      <c r="B312" s="4"/>
      <c r="C312" s="1"/>
      <c r="E312" s="2"/>
      <c r="F312" s="2"/>
    </row>
    <row r="313" spans="2:6" x14ac:dyDescent="0.45">
      <c r="B313" s="4"/>
      <c r="C313" s="1"/>
      <c r="E313" s="2"/>
      <c r="F313" s="2"/>
    </row>
    <row r="314" spans="2:6" x14ac:dyDescent="0.45">
      <c r="B314" s="4"/>
      <c r="C314" s="1"/>
      <c r="E314" s="2"/>
      <c r="F314" s="2"/>
    </row>
    <row r="315" spans="2:6" x14ac:dyDescent="0.45">
      <c r="B315" s="4"/>
      <c r="C315" s="1"/>
      <c r="E315" s="2"/>
      <c r="F315" s="2"/>
    </row>
    <row r="316" spans="2:6" x14ac:dyDescent="0.45">
      <c r="B316" s="4"/>
      <c r="C316" s="1"/>
      <c r="E316" s="2"/>
      <c r="F316" s="2"/>
    </row>
    <row r="317" spans="2:6" x14ac:dyDescent="0.45">
      <c r="B317" s="4"/>
      <c r="C317" s="1"/>
      <c r="E317" s="2"/>
      <c r="F317" s="2"/>
    </row>
    <row r="318" spans="2:6" x14ac:dyDescent="0.45">
      <c r="B318" s="4"/>
      <c r="C318" s="1"/>
      <c r="E318" s="2"/>
      <c r="F318" s="2"/>
    </row>
    <row r="319" spans="2:6" x14ac:dyDescent="0.45">
      <c r="B319" s="4"/>
      <c r="C319" s="1"/>
      <c r="E319" s="2"/>
      <c r="F319" s="2"/>
    </row>
    <row r="320" spans="2:6" x14ac:dyDescent="0.45">
      <c r="B320" s="4"/>
      <c r="C320" s="1"/>
      <c r="E320" s="2"/>
      <c r="F320" s="2"/>
    </row>
    <row r="321" spans="2:6" x14ac:dyDescent="0.45">
      <c r="B321" s="4"/>
      <c r="C321" s="1"/>
      <c r="E321" s="2"/>
      <c r="F321" s="2"/>
    </row>
    <row r="322" spans="2:6" x14ac:dyDescent="0.45">
      <c r="B322" s="4"/>
      <c r="C322" s="1"/>
      <c r="E322" s="2"/>
      <c r="F322" s="2"/>
    </row>
    <row r="323" spans="2:6" x14ac:dyDescent="0.45">
      <c r="B323" s="4"/>
      <c r="C323" s="1"/>
      <c r="E323" s="2"/>
      <c r="F323" s="2"/>
    </row>
    <row r="324" spans="2:6" x14ac:dyDescent="0.45">
      <c r="B324" s="4"/>
      <c r="C324" s="1"/>
      <c r="E324" s="2"/>
      <c r="F324" s="2"/>
    </row>
    <row r="325" spans="2:6" x14ac:dyDescent="0.45">
      <c r="B325" s="4"/>
      <c r="C325" s="1"/>
      <c r="E325" s="2"/>
      <c r="F325" s="2"/>
    </row>
    <row r="326" spans="2:6" x14ac:dyDescent="0.45">
      <c r="B326" s="4"/>
      <c r="C326" s="1"/>
      <c r="E326" s="2"/>
      <c r="F326" s="2"/>
    </row>
    <row r="327" spans="2:6" x14ac:dyDescent="0.45">
      <c r="B327" s="4"/>
      <c r="C327" s="1"/>
      <c r="E327" s="2"/>
      <c r="F327" s="2"/>
    </row>
    <row r="328" spans="2:6" x14ac:dyDescent="0.45">
      <c r="B328" s="4"/>
      <c r="C328" s="1"/>
      <c r="E328" s="2"/>
      <c r="F328" s="2"/>
    </row>
    <row r="329" spans="2:6" x14ac:dyDescent="0.45">
      <c r="B329" s="4"/>
      <c r="C329" s="1"/>
      <c r="E329" s="2"/>
      <c r="F329" s="2"/>
    </row>
    <row r="330" spans="2:6" x14ac:dyDescent="0.45">
      <c r="B330" s="4"/>
      <c r="C330" s="1"/>
      <c r="E330" s="2"/>
      <c r="F330" s="2"/>
    </row>
    <row r="331" spans="2:6" x14ac:dyDescent="0.45">
      <c r="B331" s="4"/>
      <c r="C331" s="1"/>
      <c r="E331" s="2"/>
      <c r="F331" s="2"/>
    </row>
    <row r="332" spans="2:6" x14ac:dyDescent="0.45">
      <c r="B332" s="4"/>
      <c r="C332" s="1"/>
      <c r="E332" s="2"/>
      <c r="F332" s="2"/>
    </row>
    <row r="333" spans="2:6" x14ac:dyDescent="0.45">
      <c r="B333" s="4"/>
      <c r="C333" s="1"/>
      <c r="E333" s="2"/>
      <c r="F333" s="2"/>
    </row>
    <row r="334" spans="2:6" x14ac:dyDescent="0.45">
      <c r="B334" s="4"/>
      <c r="C334" s="1"/>
      <c r="E334" s="2"/>
      <c r="F334" s="2"/>
    </row>
    <row r="335" spans="2:6" x14ac:dyDescent="0.45">
      <c r="B335" s="4"/>
      <c r="C335" s="1"/>
      <c r="E335" s="2"/>
      <c r="F335" s="2"/>
    </row>
    <row r="336" spans="2:6" x14ac:dyDescent="0.45">
      <c r="B336" s="4"/>
      <c r="C336" s="1"/>
      <c r="E336" s="2"/>
      <c r="F336" s="2"/>
    </row>
    <row r="337" spans="2:6" x14ac:dyDescent="0.45">
      <c r="B337" s="4"/>
      <c r="C337" s="1"/>
      <c r="E337" s="2"/>
      <c r="F337" s="2"/>
    </row>
    <row r="338" spans="2:6" x14ac:dyDescent="0.45">
      <c r="B338" s="4"/>
      <c r="C338" s="1"/>
      <c r="E338" s="2"/>
      <c r="F338" s="2"/>
    </row>
    <row r="339" spans="2:6" x14ac:dyDescent="0.45">
      <c r="B339" s="4"/>
      <c r="C339" s="1"/>
      <c r="F339" s="2"/>
    </row>
    <row r="340" spans="2:6" x14ac:dyDescent="0.45">
      <c r="B340" s="4"/>
      <c r="C340" s="1"/>
      <c r="F340" s="2"/>
    </row>
    <row r="341" spans="2:6" x14ac:dyDescent="0.45">
      <c r="B341" s="4"/>
      <c r="C341" s="1"/>
      <c r="F341" s="2"/>
    </row>
    <row r="342" spans="2:6" x14ac:dyDescent="0.45">
      <c r="B342" s="4"/>
      <c r="C342" s="1"/>
      <c r="F342" s="2"/>
    </row>
    <row r="343" spans="2:6" x14ac:dyDescent="0.45">
      <c r="B343" s="4"/>
      <c r="C343" s="1"/>
      <c r="F343" s="2"/>
    </row>
    <row r="344" spans="2:6" x14ac:dyDescent="0.45">
      <c r="B344" s="4"/>
      <c r="C344" s="1"/>
      <c r="F344" s="2"/>
    </row>
    <row r="345" spans="2:6" x14ac:dyDescent="0.45">
      <c r="B345" s="4"/>
      <c r="C345" s="1"/>
      <c r="F345" s="2"/>
    </row>
    <row r="346" spans="2:6" x14ac:dyDescent="0.45">
      <c r="B346" s="4"/>
      <c r="C346" s="1"/>
      <c r="F346" s="2"/>
    </row>
    <row r="347" spans="2:6" x14ac:dyDescent="0.45">
      <c r="B347" s="4"/>
      <c r="C347" s="1"/>
      <c r="F347" s="2"/>
    </row>
    <row r="348" spans="2:6" x14ac:dyDescent="0.45">
      <c r="B348" s="4"/>
      <c r="C348" s="1"/>
      <c r="F348" s="2"/>
    </row>
    <row r="349" spans="2:6" x14ac:dyDescent="0.45">
      <c r="B349" s="4"/>
      <c r="C349" s="1"/>
      <c r="F349" s="2"/>
    </row>
    <row r="350" spans="2:6" x14ac:dyDescent="0.45">
      <c r="B350" s="4"/>
      <c r="C350" s="1"/>
      <c r="F350" s="2"/>
    </row>
    <row r="351" spans="2:6" x14ac:dyDescent="0.45">
      <c r="B351" s="4"/>
      <c r="C351" s="1"/>
      <c r="F351" s="2"/>
    </row>
    <row r="352" spans="2:6" x14ac:dyDescent="0.45">
      <c r="B352" s="4"/>
      <c r="C352" s="1"/>
      <c r="F352" s="2"/>
    </row>
    <row r="353" spans="2:6" x14ac:dyDescent="0.45">
      <c r="B353" s="4"/>
      <c r="C353" s="1"/>
      <c r="F353" s="2"/>
    </row>
    <row r="354" spans="2:6" x14ac:dyDescent="0.45">
      <c r="B354" s="4"/>
      <c r="C354" s="1"/>
      <c r="F354" s="2"/>
    </row>
    <row r="355" spans="2:6" x14ac:dyDescent="0.45">
      <c r="B355" s="4"/>
      <c r="C355" s="1"/>
      <c r="F355" s="2"/>
    </row>
    <row r="356" spans="2:6" x14ac:dyDescent="0.45">
      <c r="B356" s="4"/>
      <c r="C356" s="1"/>
      <c r="F356" s="2"/>
    </row>
    <row r="357" spans="2:6" x14ac:dyDescent="0.45">
      <c r="B357" s="4"/>
      <c r="C357" s="1"/>
      <c r="F357" s="2"/>
    </row>
    <row r="358" spans="2:6" x14ac:dyDescent="0.45">
      <c r="B358" s="4"/>
      <c r="C358" s="1"/>
      <c r="F358" s="2"/>
    </row>
    <row r="359" spans="2:6" x14ac:dyDescent="0.45">
      <c r="B359" s="4"/>
      <c r="C359" s="1"/>
      <c r="F359" s="2"/>
    </row>
    <row r="360" spans="2:6" x14ac:dyDescent="0.45">
      <c r="B360" s="4"/>
      <c r="C360" s="1"/>
      <c r="F360" s="2"/>
    </row>
    <row r="361" spans="2:6" x14ac:dyDescent="0.45">
      <c r="B361" s="4"/>
      <c r="C361" s="1"/>
      <c r="F361" s="2"/>
    </row>
    <row r="362" spans="2:6" x14ac:dyDescent="0.45">
      <c r="B362" s="4"/>
      <c r="C362" s="1"/>
      <c r="F362" s="2"/>
    </row>
    <row r="363" spans="2:6" x14ac:dyDescent="0.45">
      <c r="B363" s="4"/>
      <c r="C363" s="1"/>
      <c r="F363" s="2"/>
    </row>
    <row r="364" spans="2:6" x14ac:dyDescent="0.45">
      <c r="B364" s="4"/>
      <c r="C364" s="1"/>
      <c r="F364" s="2"/>
    </row>
    <row r="365" spans="2:6" x14ac:dyDescent="0.45">
      <c r="B365" s="4"/>
      <c r="C365" s="1"/>
      <c r="F365" s="2"/>
    </row>
    <row r="366" spans="2:6" x14ac:dyDescent="0.45">
      <c r="B366" s="4"/>
      <c r="C366" s="1"/>
      <c r="F366" s="2"/>
    </row>
    <row r="367" spans="2:6" x14ac:dyDescent="0.45">
      <c r="B367" s="4"/>
      <c r="C367" s="1"/>
      <c r="F367" s="2"/>
    </row>
    <row r="368" spans="2:6" x14ac:dyDescent="0.45">
      <c r="B368" s="4"/>
      <c r="C368" s="1"/>
      <c r="F368" s="2"/>
    </row>
    <row r="369" spans="2:6" x14ac:dyDescent="0.45">
      <c r="B369" s="4"/>
      <c r="C369" s="1"/>
      <c r="F369" s="2"/>
    </row>
    <row r="370" spans="2:6" x14ac:dyDescent="0.45">
      <c r="B370" s="4"/>
      <c r="C370" s="1"/>
      <c r="F370" s="2"/>
    </row>
    <row r="371" spans="2:6" x14ac:dyDescent="0.45">
      <c r="B371" s="4"/>
      <c r="C371" s="1"/>
      <c r="F371" s="2"/>
    </row>
    <row r="372" spans="2:6" x14ac:dyDescent="0.45">
      <c r="B372" s="4"/>
      <c r="C372" s="1"/>
      <c r="F372" s="2"/>
    </row>
    <row r="373" spans="2:6" x14ac:dyDescent="0.45">
      <c r="B373" s="4"/>
      <c r="C373" s="1"/>
      <c r="F373" s="2"/>
    </row>
    <row r="374" spans="2:6" x14ac:dyDescent="0.45">
      <c r="B374" s="4"/>
      <c r="C374" s="1"/>
      <c r="F374" s="2"/>
    </row>
    <row r="375" spans="2:6" x14ac:dyDescent="0.45">
      <c r="B375" s="4"/>
      <c r="C375" s="1"/>
      <c r="F375" s="2"/>
    </row>
    <row r="376" spans="2:6" x14ac:dyDescent="0.45">
      <c r="B376" s="4"/>
      <c r="C376" s="1"/>
      <c r="F376" s="2"/>
    </row>
    <row r="377" spans="2:6" x14ac:dyDescent="0.45">
      <c r="B377" s="4"/>
      <c r="C377" s="1"/>
      <c r="F377" s="2"/>
    </row>
    <row r="378" spans="2:6" x14ac:dyDescent="0.45">
      <c r="B378" s="4"/>
      <c r="C378" s="1"/>
      <c r="F378" s="2"/>
    </row>
    <row r="379" spans="2:6" x14ac:dyDescent="0.45">
      <c r="B379" s="4"/>
      <c r="C379" s="1"/>
      <c r="F379" s="2"/>
    </row>
    <row r="380" spans="2:6" x14ac:dyDescent="0.45">
      <c r="B380" s="4"/>
      <c r="C380" s="1"/>
      <c r="F380" s="2"/>
    </row>
    <row r="381" spans="2:6" x14ac:dyDescent="0.45">
      <c r="B381" s="4"/>
      <c r="C381" s="1"/>
      <c r="F381" s="2"/>
    </row>
    <row r="382" spans="2:6" x14ac:dyDescent="0.45">
      <c r="B382" s="4"/>
      <c r="C382" s="1"/>
      <c r="F382" s="2"/>
    </row>
    <row r="383" spans="2:6" x14ac:dyDescent="0.45">
      <c r="B383" s="4"/>
      <c r="C383" s="1"/>
      <c r="F383" s="2"/>
    </row>
    <row r="384" spans="2:6" x14ac:dyDescent="0.45">
      <c r="B384" s="4"/>
      <c r="C384" s="1"/>
      <c r="F384" s="2"/>
    </row>
    <row r="385" spans="2:6" x14ac:dyDescent="0.45">
      <c r="B385" s="4"/>
      <c r="C385" s="1"/>
      <c r="F385" s="2"/>
    </row>
    <row r="386" spans="2:6" x14ac:dyDescent="0.45">
      <c r="B386" s="4"/>
      <c r="C386" s="1"/>
      <c r="F386" s="2"/>
    </row>
    <row r="387" spans="2:6" x14ac:dyDescent="0.45">
      <c r="B387" s="4"/>
      <c r="C387" s="1"/>
      <c r="F387" s="2"/>
    </row>
    <row r="388" spans="2:6" x14ac:dyDescent="0.45">
      <c r="B388" s="4"/>
      <c r="C388" s="1"/>
      <c r="F388" s="2"/>
    </row>
    <row r="389" spans="2:6" x14ac:dyDescent="0.45">
      <c r="B389" s="4"/>
      <c r="C389" s="1"/>
      <c r="F389" s="2"/>
    </row>
    <row r="390" spans="2:6" x14ac:dyDescent="0.45">
      <c r="B390" s="4"/>
      <c r="C390" s="1"/>
      <c r="F390" s="2"/>
    </row>
    <row r="391" spans="2:6" x14ac:dyDescent="0.45">
      <c r="B391" s="4"/>
      <c r="C391" s="1"/>
      <c r="F391" s="2"/>
    </row>
    <row r="392" spans="2:6" x14ac:dyDescent="0.45">
      <c r="B392" s="4"/>
      <c r="C392" s="1"/>
      <c r="F392" s="2"/>
    </row>
    <row r="393" spans="2:6" x14ac:dyDescent="0.45">
      <c r="B393" s="4"/>
      <c r="C393" s="1"/>
      <c r="F393" s="2"/>
    </row>
    <row r="394" spans="2:6" x14ac:dyDescent="0.45">
      <c r="B394" s="4"/>
      <c r="C394" s="1"/>
      <c r="F394" s="2"/>
    </row>
    <row r="395" spans="2:6" x14ac:dyDescent="0.45">
      <c r="B395" s="4"/>
      <c r="C395" s="1"/>
      <c r="F395" s="2"/>
    </row>
    <row r="396" spans="2:6" x14ac:dyDescent="0.45">
      <c r="B396" s="4"/>
      <c r="C396" s="1"/>
      <c r="F396" s="2"/>
    </row>
    <row r="397" spans="2:6" x14ac:dyDescent="0.45">
      <c r="B397" s="4"/>
      <c r="C397" s="1"/>
      <c r="F397" s="2"/>
    </row>
    <row r="398" spans="2:6" x14ac:dyDescent="0.45">
      <c r="B398" s="4"/>
      <c r="C398" s="1"/>
      <c r="F398" s="2"/>
    </row>
    <row r="399" spans="2:6" x14ac:dyDescent="0.45">
      <c r="B399" s="4"/>
      <c r="C399" s="1"/>
      <c r="F399" s="2"/>
    </row>
    <row r="400" spans="2:6" x14ac:dyDescent="0.45">
      <c r="B400" s="4"/>
      <c r="C400" s="1"/>
      <c r="F400" s="2"/>
    </row>
    <row r="401" spans="2:6" x14ac:dyDescent="0.45">
      <c r="B401" s="4"/>
      <c r="C401" s="1"/>
      <c r="F401" s="2"/>
    </row>
    <row r="402" spans="2:6" x14ac:dyDescent="0.45">
      <c r="B402" s="4"/>
      <c r="C402" s="1"/>
      <c r="F402" s="2"/>
    </row>
    <row r="403" spans="2:6" x14ac:dyDescent="0.45">
      <c r="B403" s="4"/>
      <c r="C403" s="1"/>
      <c r="F403" s="2"/>
    </row>
    <row r="404" spans="2:6" x14ac:dyDescent="0.45">
      <c r="B404" s="4"/>
      <c r="C404" s="1"/>
      <c r="F404" s="2"/>
    </row>
    <row r="405" spans="2:6" x14ac:dyDescent="0.45">
      <c r="B405" s="4"/>
      <c r="C405" s="1"/>
      <c r="F405" s="2"/>
    </row>
    <row r="406" spans="2:6" x14ac:dyDescent="0.45">
      <c r="B406" s="4"/>
      <c r="C406" s="1"/>
      <c r="F406" s="2"/>
    </row>
    <row r="407" spans="2:6" x14ac:dyDescent="0.45">
      <c r="B407" s="4"/>
      <c r="C407" s="1"/>
      <c r="F407" s="2"/>
    </row>
    <row r="408" spans="2:6" x14ac:dyDescent="0.45">
      <c r="B408" s="4"/>
      <c r="C408" s="1"/>
      <c r="F408" s="2"/>
    </row>
    <row r="409" spans="2:6" x14ac:dyDescent="0.45">
      <c r="B409" s="4"/>
      <c r="C409" s="1"/>
      <c r="F409" s="2"/>
    </row>
    <row r="410" spans="2:6" x14ac:dyDescent="0.45">
      <c r="B410" s="4"/>
      <c r="C410" s="1"/>
      <c r="F410" s="2"/>
    </row>
    <row r="411" spans="2:6" x14ac:dyDescent="0.45">
      <c r="B411" s="4"/>
      <c r="C411" s="1"/>
      <c r="F411" s="2"/>
    </row>
    <row r="412" spans="2:6" x14ac:dyDescent="0.45">
      <c r="B412" s="4"/>
      <c r="F412" s="2"/>
    </row>
    <row r="413" spans="2:6" x14ac:dyDescent="0.45">
      <c r="B413" s="4"/>
      <c r="F413" s="2"/>
    </row>
    <row r="414" spans="2:6" x14ac:dyDescent="0.45">
      <c r="B414" s="4"/>
      <c r="F414" s="2"/>
    </row>
    <row r="415" spans="2:6" x14ac:dyDescent="0.45">
      <c r="B415" s="4"/>
      <c r="F415" s="2"/>
    </row>
    <row r="416" spans="2:6" x14ac:dyDescent="0.45">
      <c r="B416" s="4"/>
      <c r="F416" s="2"/>
    </row>
    <row r="417" spans="2:6" x14ac:dyDescent="0.45">
      <c r="B417" s="4"/>
      <c r="F417" s="2"/>
    </row>
    <row r="418" spans="2:6" x14ac:dyDescent="0.45">
      <c r="B418" s="4"/>
      <c r="F418" s="2"/>
    </row>
    <row r="419" spans="2:6" x14ac:dyDescent="0.45">
      <c r="B419" s="4"/>
      <c r="F419" s="2"/>
    </row>
    <row r="420" spans="2:6" x14ac:dyDescent="0.45">
      <c r="B420" s="4"/>
      <c r="F420" s="2"/>
    </row>
    <row r="421" spans="2:6" x14ac:dyDescent="0.45">
      <c r="B421" s="4"/>
      <c r="F421" s="2"/>
    </row>
    <row r="422" spans="2:6" x14ac:dyDescent="0.45">
      <c r="B422" s="4"/>
    </row>
    <row r="423" spans="2:6" x14ac:dyDescent="0.45">
      <c r="B423" s="4"/>
    </row>
    <row r="424" spans="2:6" x14ac:dyDescent="0.45">
      <c r="B424" s="4"/>
    </row>
    <row r="425" spans="2:6" x14ac:dyDescent="0.45">
      <c r="B425" s="4"/>
    </row>
    <row r="426" spans="2:6" x14ac:dyDescent="0.45">
      <c r="B426" s="4"/>
    </row>
    <row r="427" spans="2:6" x14ac:dyDescent="0.45">
      <c r="B427" s="4"/>
    </row>
  </sheetData>
  <mergeCells count="1">
    <mergeCell ref="S275:U275"/>
  </mergeCells>
  <conditionalFormatting sqref="F335:H2211 G291:H334 H2:H290">
    <cfRule type="colorScale" priority="16">
      <colorScale>
        <cfvo type="num" val="5040"/>
        <cfvo type="num" val="11708"/>
        <cfvo type="num" val="18375"/>
        <color rgb="FF92D050"/>
        <color rgb="FFFFEB84"/>
        <color rgb="FFFF0000"/>
      </colorScale>
    </cfRule>
  </conditionalFormatting>
  <conditionalFormatting sqref="G5:G336">
    <cfRule type="colorScale" priority="15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I5:I290">
    <cfRule type="colorScale" priority="30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J5:J290">
    <cfRule type="colorScale" priority="29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L9:L290">
    <cfRule type="colorScale" priority="28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M290">
    <cfRule type="colorScale" priority="27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O13:O290">
    <cfRule type="colorScale" priority="26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3:P290">
    <cfRule type="colorScale" priority="25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W277:W287">
    <cfRule type="colorScale" priority="7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Y277:Y287">
    <cfRule type="colorScale" priority="6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Z277:Z287">
    <cfRule type="colorScale" priority="3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AB277:AB287">
    <cfRule type="colorScale" priority="5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AC277:AC287">
    <cfRule type="colorScale" priority="2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AE277:AE287">
    <cfRule type="colorScale" priority="4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AF277:AF287">
    <cfRule type="colorScale" priority="1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5"/>
  <sheetViews>
    <sheetView zoomScale="70" zoomScaleNormal="70" workbookViewId="0">
      <pane ySplit="1" topLeftCell="A263" activePane="bottomLeft" state="frozen"/>
      <selection activeCell="C1" sqref="C1"/>
      <selection pane="bottomLeft" activeCell="G282" sqref="G282:P285"/>
    </sheetView>
  </sheetViews>
  <sheetFormatPr defaultRowHeight="14.25" x14ac:dyDescent="0.45"/>
  <cols>
    <col min="1" max="1" width="26" customWidth="1"/>
    <col min="2" max="2" width="11.86328125" customWidth="1"/>
    <col min="3" max="3" width="13.1328125" customWidth="1"/>
    <col min="6" max="6" width="9.59765625" customWidth="1"/>
    <col min="7" max="7" width="11.1328125" customWidth="1"/>
    <col min="8" max="8" width="1.73046875" customWidth="1"/>
    <col min="9" max="9" width="11.1328125" customWidth="1"/>
    <col min="10" max="10" width="9.3984375" customWidth="1"/>
    <col min="11" max="11" width="1.86328125" customWidth="1"/>
    <col min="12" max="12" width="16.265625" customWidth="1"/>
    <col min="13" max="13" width="18.265625" customWidth="1"/>
    <col min="14" max="14" width="1.73046875" customWidth="1"/>
    <col min="15" max="15" width="11.1328125" customWidth="1"/>
    <col min="16" max="16" width="13.265625" customWidth="1"/>
    <col min="17" max="17" width="11.73046875" customWidth="1"/>
    <col min="21" max="21" width="11" customWidth="1"/>
    <col min="22" max="22" width="1" customWidth="1"/>
    <col min="23" max="23" width="11.265625" customWidth="1"/>
    <col min="25" max="25" width="1" customWidth="1"/>
    <col min="26" max="26" width="16.1328125" customWidth="1"/>
    <col min="27" max="27" width="17.86328125" customWidth="1"/>
    <col min="28" max="28" width="1" customWidth="1"/>
    <col min="29" max="29" width="11.3984375" customWidth="1"/>
    <col min="30" max="30" width="12.59765625" customWidth="1"/>
  </cols>
  <sheetData>
    <row r="1" spans="1:16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</row>
    <row r="2" spans="1:16" x14ac:dyDescent="0.45">
      <c r="A2" s="12" t="s">
        <v>177</v>
      </c>
      <c r="B2" s="4">
        <v>43934</v>
      </c>
      <c r="C2" s="1">
        <v>11.33</v>
      </c>
      <c r="D2">
        <f>634-38-34</f>
        <v>562</v>
      </c>
      <c r="E2">
        <v>2</v>
      </c>
      <c r="F2" s="2">
        <v>5245</v>
      </c>
      <c r="G2" s="6"/>
      <c r="I2" s="6"/>
      <c r="J2" s="6"/>
      <c r="K2" s="2"/>
      <c r="L2" s="6"/>
      <c r="M2" s="6"/>
      <c r="O2" s="6"/>
      <c r="P2" s="6"/>
    </row>
    <row r="3" spans="1:16" x14ac:dyDescent="0.45">
      <c r="A3" s="12" t="s">
        <v>12</v>
      </c>
      <c r="B3" s="4">
        <v>43941</v>
      </c>
      <c r="C3" s="1">
        <v>15</v>
      </c>
      <c r="D3">
        <f>769-43-37-37</f>
        <v>652</v>
      </c>
      <c r="E3">
        <v>2</v>
      </c>
      <c r="F3" s="2">
        <v>8888</v>
      </c>
      <c r="G3" s="2"/>
    </row>
    <row r="4" spans="1:16" x14ac:dyDescent="0.45">
      <c r="A4" s="12"/>
      <c r="B4" s="4">
        <v>43948</v>
      </c>
      <c r="C4" s="1">
        <v>12</v>
      </c>
      <c r="D4">
        <f>607-29-44-14</f>
        <v>520</v>
      </c>
      <c r="E4">
        <v>2</v>
      </c>
      <c r="F4" s="2">
        <v>7837</v>
      </c>
      <c r="G4" s="2"/>
    </row>
    <row r="5" spans="1:16" x14ac:dyDescent="0.45">
      <c r="A5" s="12"/>
      <c r="B5" s="4">
        <v>43955</v>
      </c>
      <c r="C5" s="1">
        <v>11.66</v>
      </c>
      <c r="D5">
        <f>575-30-27</f>
        <v>518</v>
      </c>
      <c r="E5">
        <v>2</v>
      </c>
      <c r="F5" s="2">
        <v>7953</v>
      </c>
      <c r="G5" s="2">
        <f>AVERAGE(F2:F5)</f>
        <v>7480.75</v>
      </c>
      <c r="I5" s="1">
        <f t="shared" ref="I5:I68" si="0">AVERAGE(C2:C5)</f>
        <v>12.497499999999999</v>
      </c>
      <c r="J5" s="2">
        <f t="shared" ref="J5:J68" si="1">AVERAGE(D2:D5)</f>
        <v>563</v>
      </c>
    </row>
    <row r="6" spans="1:16" x14ac:dyDescent="0.45">
      <c r="A6" s="12">
        <v>5040</v>
      </c>
      <c r="B6" s="4">
        <v>43962</v>
      </c>
      <c r="C6" s="1">
        <v>8.33</v>
      </c>
      <c r="D6">
        <v>334</v>
      </c>
      <c r="E6">
        <v>1</v>
      </c>
      <c r="F6" s="2">
        <v>1697</v>
      </c>
      <c r="G6" s="2">
        <f t="shared" ref="G6:G69" si="2">AVERAGE(F3:F6)</f>
        <v>6593.75</v>
      </c>
      <c r="I6" s="1">
        <f t="shared" si="0"/>
        <v>11.747499999999999</v>
      </c>
      <c r="J6" s="2">
        <f t="shared" si="1"/>
        <v>506</v>
      </c>
    </row>
    <row r="7" spans="1:16" x14ac:dyDescent="0.45">
      <c r="A7" s="12">
        <v>11708</v>
      </c>
      <c r="B7" s="4">
        <v>43969</v>
      </c>
      <c r="C7" s="1">
        <v>11.5</v>
      </c>
      <c r="D7">
        <f>442-37</f>
        <v>405</v>
      </c>
      <c r="E7">
        <v>1</v>
      </c>
      <c r="F7" s="2">
        <v>5710</v>
      </c>
      <c r="G7" s="2">
        <f t="shared" si="2"/>
        <v>5799.25</v>
      </c>
      <c r="I7" s="1">
        <f t="shared" si="0"/>
        <v>10.8725</v>
      </c>
      <c r="J7" s="2">
        <f t="shared" si="1"/>
        <v>444.25</v>
      </c>
    </row>
    <row r="8" spans="1:16" x14ac:dyDescent="0.45">
      <c r="A8" s="12">
        <v>18375</v>
      </c>
      <c r="B8" s="4">
        <v>43976</v>
      </c>
      <c r="C8" s="1">
        <v>3</v>
      </c>
      <c r="D8">
        <v>132</v>
      </c>
      <c r="E8">
        <v>1</v>
      </c>
      <c r="F8" s="2">
        <v>2500</v>
      </c>
      <c r="G8" s="2">
        <f t="shared" si="2"/>
        <v>4465</v>
      </c>
      <c r="I8" s="1">
        <f t="shared" si="0"/>
        <v>8.6225000000000005</v>
      </c>
      <c r="J8" s="2">
        <f t="shared" si="1"/>
        <v>347.25</v>
      </c>
    </row>
    <row r="9" spans="1:16" x14ac:dyDescent="0.45">
      <c r="A9" s="12"/>
      <c r="B9" s="4">
        <v>43983</v>
      </c>
      <c r="C9" s="1">
        <v>10.5</v>
      </c>
      <c r="D9">
        <v>475</v>
      </c>
      <c r="E9">
        <v>0</v>
      </c>
      <c r="F9" s="2">
        <v>3060</v>
      </c>
      <c r="G9" s="2">
        <f t="shared" si="2"/>
        <v>3241.75</v>
      </c>
      <c r="I9" s="1">
        <f t="shared" si="0"/>
        <v>8.3324999999999996</v>
      </c>
      <c r="J9" s="2">
        <f t="shared" si="1"/>
        <v>336.5</v>
      </c>
      <c r="L9" s="1">
        <f t="shared" ref="L9:L72" si="3">((C2)+(2*C3)+(3*C4)+(4*C5)+(4*C6)+(3*C7)+(2*C8)+(C9))/20</f>
        <v>10.4145</v>
      </c>
      <c r="M9" s="2">
        <f t="shared" ref="M9:M72" si="4">((D2)+(2*D3)+(3*D4)+(4*D5)+(4*D6)+(3*D7)+(2*D8)+(D9))/20</f>
        <v>439.4</v>
      </c>
    </row>
    <row r="10" spans="1:16" x14ac:dyDescent="0.45">
      <c r="A10" s="12"/>
      <c r="B10" s="4">
        <v>43990</v>
      </c>
      <c r="C10" s="1">
        <v>15</v>
      </c>
      <c r="D10">
        <v>580</v>
      </c>
      <c r="E10">
        <v>2</v>
      </c>
      <c r="F10" s="2">
        <v>10000</v>
      </c>
      <c r="G10" s="2">
        <f t="shared" si="2"/>
        <v>5317.5</v>
      </c>
      <c r="I10" s="1">
        <f t="shared" si="0"/>
        <v>10</v>
      </c>
      <c r="J10" s="2">
        <f t="shared" si="1"/>
        <v>398</v>
      </c>
      <c r="L10" s="1">
        <f t="shared" si="3"/>
        <v>9.9150000000000009</v>
      </c>
      <c r="M10" s="2">
        <f t="shared" si="4"/>
        <v>406.4</v>
      </c>
    </row>
    <row r="11" spans="1:16" x14ac:dyDescent="0.45">
      <c r="A11" s="12"/>
      <c r="B11" s="4">
        <v>43997</v>
      </c>
      <c r="C11" s="1">
        <v>7.25</v>
      </c>
      <c r="D11">
        <v>282</v>
      </c>
      <c r="E11">
        <v>0</v>
      </c>
      <c r="F11" s="2">
        <v>3750</v>
      </c>
      <c r="G11" s="2">
        <f t="shared" si="2"/>
        <v>4827.5</v>
      </c>
      <c r="I11" s="1">
        <f t="shared" si="0"/>
        <v>8.9375</v>
      </c>
      <c r="J11" s="2">
        <f t="shared" si="1"/>
        <v>367.25</v>
      </c>
      <c r="L11" s="1">
        <f t="shared" si="3"/>
        <v>9.3529999999999998</v>
      </c>
      <c r="M11" s="2">
        <f t="shared" si="4"/>
        <v>378.65</v>
      </c>
    </row>
    <row r="12" spans="1:16" x14ac:dyDescent="0.45">
      <c r="A12" s="12"/>
      <c r="B12" s="4">
        <v>44004</v>
      </c>
      <c r="C12" s="1">
        <v>13.66</v>
      </c>
      <c r="D12">
        <v>637</v>
      </c>
      <c r="E12">
        <v>0</v>
      </c>
      <c r="F12" s="2">
        <v>7316</v>
      </c>
      <c r="G12" s="2">
        <f t="shared" si="2"/>
        <v>6031.5</v>
      </c>
      <c r="I12" s="1">
        <f t="shared" si="0"/>
        <v>11.602499999999999</v>
      </c>
      <c r="J12" s="2">
        <f t="shared" si="1"/>
        <v>493.5</v>
      </c>
      <c r="L12" s="1">
        <f t="shared" si="3"/>
        <v>9.4989999999999988</v>
      </c>
      <c r="M12" s="2">
        <f t="shared" si="4"/>
        <v>388.5</v>
      </c>
    </row>
    <row r="13" spans="1:16" x14ac:dyDescent="0.45">
      <c r="A13" s="12">
        <f>720/1750</f>
        <v>0.41142857142857142</v>
      </c>
      <c r="B13" s="4">
        <v>44011</v>
      </c>
      <c r="C13" s="1">
        <v>11.25</v>
      </c>
      <c r="D13">
        <v>555</v>
      </c>
      <c r="E13">
        <v>2</v>
      </c>
      <c r="F13" s="2">
        <v>8000</v>
      </c>
      <c r="G13" s="2">
        <f t="shared" si="2"/>
        <v>7266.5</v>
      </c>
      <c r="I13" s="1">
        <f t="shared" si="0"/>
        <v>11.79</v>
      </c>
      <c r="J13" s="2">
        <f t="shared" si="1"/>
        <v>513.5</v>
      </c>
      <c r="L13" s="1">
        <f t="shared" si="3"/>
        <v>10.132499999999999</v>
      </c>
      <c r="M13" s="2">
        <f t="shared" si="4"/>
        <v>421.75</v>
      </c>
      <c r="O13" s="1">
        <f t="shared" ref="O13:O76" si="5">((C13)+(C12*2)+(C11*3)+(C10*4)+(C9*5)+(C8*6)+(C7*7)+(C6*8))/36</f>
        <v>9.387777777777778</v>
      </c>
      <c r="P13" s="2">
        <f t="shared" ref="P13:P76" si="6">((D13)+(D12*2)+(D11*3)+(D10*4)+(D9*5)+(D8*6)+(D7*7)+(D6*8))/36</f>
        <v>379.69444444444446</v>
      </c>
    </row>
    <row r="14" spans="1:16" x14ac:dyDescent="0.45">
      <c r="A14" s="12"/>
      <c r="B14" s="4">
        <v>44018</v>
      </c>
      <c r="C14" s="1">
        <v>11</v>
      </c>
      <c r="D14">
        <v>464</v>
      </c>
      <c r="E14">
        <v>1</v>
      </c>
      <c r="F14" s="2">
        <v>5519</v>
      </c>
      <c r="G14" s="2">
        <f t="shared" si="2"/>
        <v>6146.25</v>
      </c>
      <c r="I14" s="1">
        <f t="shared" si="0"/>
        <v>10.79</v>
      </c>
      <c r="J14" s="2">
        <f t="shared" si="1"/>
        <v>484.5</v>
      </c>
      <c r="L14" s="1">
        <f t="shared" si="3"/>
        <v>10.624000000000001</v>
      </c>
      <c r="M14" s="2">
        <f t="shared" si="4"/>
        <v>451.35</v>
      </c>
      <c r="O14" s="1">
        <f t="shared" si="5"/>
        <v>9.8466666666666676</v>
      </c>
      <c r="P14" s="2">
        <f t="shared" si="6"/>
        <v>403.52777777777777</v>
      </c>
    </row>
    <row r="15" spans="1:16" x14ac:dyDescent="0.45">
      <c r="A15" s="12"/>
      <c r="B15" s="4">
        <v>44025</v>
      </c>
      <c r="C15" s="1">
        <v>4.5</v>
      </c>
      <c r="D15">
        <v>181</v>
      </c>
      <c r="E15">
        <v>0</v>
      </c>
      <c r="F15" s="2">
        <v>2598</v>
      </c>
      <c r="G15" s="2">
        <f t="shared" si="2"/>
        <v>5858.25</v>
      </c>
      <c r="I15" s="1">
        <f t="shared" si="0"/>
        <v>10.102499999999999</v>
      </c>
      <c r="J15" s="2">
        <f t="shared" si="1"/>
        <v>459.25</v>
      </c>
      <c r="L15" s="1">
        <f t="shared" si="3"/>
        <v>10.644499999999999</v>
      </c>
      <c r="M15" s="2">
        <f t="shared" si="4"/>
        <v>463.6</v>
      </c>
      <c r="O15" s="1">
        <f t="shared" si="5"/>
        <v>9.4066666666666663</v>
      </c>
      <c r="P15" s="2">
        <f t="shared" si="6"/>
        <v>405.36111111111109</v>
      </c>
    </row>
    <row r="16" spans="1:16" x14ac:dyDescent="0.45">
      <c r="A16" s="12"/>
      <c r="B16" s="4">
        <v>44032</v>
      </c>
      <c r="C16" s="1">
        <v>2.75</v>
      </c>
      <c r="D16">
        <v>122</v>
      </c>
      <c r="E16">
        <v>0</v>
      </c>
      <c r="F16" s="2">
        <v>2500</v>
      </c>
      <c r="G16" s="2">
        <f t="shared" si="2"/>
        <v>4654.25</v>
      </c>
      <c r="I16" s="1">
        <f t="shared" si="0"/>
        <v>7.375</v>
      </c>
      <c r="J16" s="2">
        <f t="shared" si="1"/>
        <v>330.5</v>
      </c>
      <c r="L16" s="1">
        <f t="shared" si="3"/>
        <v>10.331999999999999</v>
      </c>
      <c r="M16" s="2">
        <f t="shared" si="4"/>
        <v>456.25</v>
      </c>
      <c r="O16" s="1">
        <f t="shared" si="5"/>
        <v>10.848611111111111</v>
      </c>
      <c r="P16" s="2">
        <f t="shared" si="6"/>
        <v>467.58333333333331</v>
      </c>
    </row>
    <row r="17" spans="1:16" x14ac:dyDescent="0.45">
      <c r="A17" s="12"/>
      <c r="B17" s="4">
        <v>44039</v>
      </c>
      <c r="C17" s="1">
        <v>12</v>
      </c>
      <c r="D17">
        <f>574-48</f>
        <v>526</v>
      </c>
      <c r="E17">
        <v>1</v>
      </c>
      <c r="F17" s="2">
        <v>6578</v>
      </c>
      <c r="G17" s="2">
        <f t="shared" si="2"/>
        <v>4298.75</v>
      </c>
      <c r="I17" s="1">
        <f t="shared" si="0"/>
        <v>7.5625</v>
      </c>
      <c r="J17" s="2">
        <f t="shared" si="1"/>
        <v>323.25</v>
      </c>
      <c r="L17" s="1">
        <f t="shared" si="3"/>
        <v>9.5240000000000009</v>
      </c>
      <c r="M17" s="2">
        <f t="shared" si="4"/>
        <v>422.2</v>
      </c>
      <c r="O17" s="1">
        <f t="shared" si="5"/>
        <v>10.665555555555557</v>
      </c>
      <c r="P17" s="2">
        <f t="shared" si="6"/>
        <v>455</v>
      </c>
    </row>
    <row r="18" spans="1:16" x14ac:dyDescent="0.45">
      <c r="A18" s="12" t="s">
        <v>206</v>
      </c>
      <c r="B18" s="4">
        <v>44046</v>
      </c>
      <c r="C18" s="1">
        <v>11.5</v>
      </c>
      <c r="D18">
        <f>644-32-42-47</f>
        <v>523</v>
      </c>
      <c r="E18">
        <v>3</v>
      </c>
      <c r="F18" s="2">
        <v>5452</v>
      </c>
      <c r="G18" s="2">
        <f t="shared" si="2"/>
        <v>4282</v>
      </c>
      <c r="I18" s="1">
        <f t="shared" si="0"/>
        <v>7.6875</v>
      </c>
      <c r="J18" s="2">
        <f t="shared" si="1"/>
        <v>338</v>
      </c>
      <c r="L18" s="1">
        <f t="shared" si="3"/>
        <v>8.7035</v>
      </c>
      <c r="M18" s="2">
        <f t="shared" si="4"/>
        <v>387.1</v>
      </c>
      <c r="O18" s="1">
        <f t="shared" si="5"/>
        <v>9.3852777777777785</v>
      </c>
      <c r="P18" s="2">
        <f t="shared" si="6"/>
        <v>417.5</v>
      </c>
    </row>
    <row r="19" spans="1:16" x14ac:dyDescent="0.45">
      <c r="A19" s="12"/>
      <c r="B19" s="4">
        <v>44053</v>
      </c>
      <c r="C19" s="1">
        <v>12.75</v>
      </c>
      <c r="D19">
        <f>626-32-41</f>
        <v>553</v>
      </c>
      <c r="E19">
        <v>2</v>
      </c>
      <c r="F19" s="2">
        <v>6640</v>
      </c>
      <c r="G19" s="2">
        <f t="shared" si="2"/>
        <v>5292.5</v>
      </c>
      <c r="I19" s="1">
        <f t="shared" si="0"/>
        <v>9.75</v>
      </c>
      <c r="J19" s="2">
        <f t="shared" si="1"/>
        <v>431</v>
      </c>
      <c r="L19" s="1">
        <f t="shared" si="3"/>
        <v>8.4954999999999998</v>
      </c>
      <c r="M19" s="2">
        <f t="shared" si="4"/>
        <v>376.4</v>
      </c>
      <c r="O19" s="1">
        <f t="shared" si="5"/>
        <v>9.9799999999999986</v>
      </c>
      <c r="P19" s="2">
        <f t="shared" si="6"/>
        <v>453.75</v>
      </c>
    </row>
    <row r="20" spans="1:16" x14ac:dyDescent="0.45">
      <c r="A20" s="12"/>
      <c r="B20" s="4">
        <v>44060</v>
      </c>
      <c r="C20" s="1">
        <v>16.66</v>
      </c>
      <c r="D20">
        <f>756-23-34</f>
        <v>699</v>
      </c>
      <c r="E20">
        <v>2</v>
      </c>
      <c r="F20" s="2">
        <v>11629</v>
      </c>
      <c r="G20" s="2">
        <f t="shared" si="2"/>
        <v>7574.75</v>
      </c>
      <c r="I20" s="1">
        <f t="shared" si="0"/>
        <v>13.227499999999999</v>
      </c>
      <c r="J20" s="2">
        <f t="shared" si="1"/>
        <v>575.25</v>
      </c>
      <c r="L20" s="1">
        <f t="shared" si="3"/>
        <v>9.1204999999999998</v>
      </c>
      <c r="M20" s="2">
        <f t="shared" si="4"/>
        <v>399.6</v>
      </c>
      <c r="O20" s="1">
        <f t="shared" si="5"/>
        <v>9.2336111111111094</v>
      </c>
      <c r="P20" s="2">
        <f t="shared" si="6"/>
        <v>412.83333333333331</v>
      </c>
    </row>
    <row r="21" spans="1:16" x14ac:dyDescent="0.45">
      <c r="A21" s="12"/>
      <c r="B21" s="4">
        <v>44067</v>
      </c>
      <c r="C21" s="1">
        <v>13.75</v>
      </c>
      <c r="D21">
        <f>754-43-48-39</f>
        <v>624</v>
      </c>
      <c r="E21">
        <v>3</v>
      </c>
      <c r="F21" s="2">
        <v>9235</v>
      </c>
      <c r="G21" s="2">
        <f t="shared" si="2"/>
        <v>8239</v>
      </c>
      <c r="I21" s="1">
        <f t="shared" si="0"/>
        <v>13.664999999999999</v>
      </c>
      <c r="J21" s="2">
        <f t="shared" si="1"/>
        <v>599.75</v>
      </c>
      <c r="L21" s="1">
        <f t="shared" si="3"/>
        <v>10.378499999999999</v>
      </c>
      <c r="M21" s="2">
        <f t="shared" si="4"/>
        <v>453.45</v>
      </c>
      <c r="O21" s="1">
        <f t="shared" si="5"/>
        <v>9.0922222222222224</v>
      </c>
      <c r="P21" s="2">
        <f t="shared" si="6"/>
        <v>392.05555555555554</v>
      </c>
    </row>
    <row r="22" spans="1:16" x14ac:dyDescent="0.45">
      <c r="A22" s="12"/>
      <c r="B22" s="4">
        <v>44074</v>
      </c>
      <c r="C22" s="1">
        <v>20.5</v>
      </c>
      <c r="D22">
        <f>1082-37-28</f>
        <v>1017</v>
      </c>
      <c r="E22">
        <v>2</v>
      </c>
      <c r="F22" s="2">
        <v>15279</v>
      </c>
      <c r="G22" s="2">
        <f t="shared" si="2"/>
        <v>10695.75</v>
      </c>
      <c r="I22" s="1">
        <f t="shared" si="0"/>
        <v>15.914999999999999</v>
      </c>
      <c r="J22" s="2">
        <f t="shared" si="1"/>
        <v>723.25</v>
      </c>
      <c r="L22" s="1">
        <f t="shared" si="3"/>
        <v>12.049000000000001</v>
      </c>
      <c r="M22" s="2">
        <f t="shared" si="4"/>
        <v>533.45000000000005</v>
      </c>
      <c r="O22" s="1">
        <f t="shared" si="5"/>
        <v>9.2702777777777783</v>
      </c>
      <c r="P22" s="2">
        <f t="shared" si="6"/>
        <v>406.86111111111109</v>
      </c>
    </row>
    <row r="23" spans="1:16" x14ac:dyDescent="0.45">
      <c r="A23" s="12"/>
      <c r="B23" s="4">
        <v>44081</v>
      </c>
      <c r="C23" s="1">
        <v>20</v>
      </c>
      <c r="D23">
        <f>1118-31-36</f>
        <v>1051</v>
      </c>
      <c r="E23">
        <v>2</v>
      </c>
      <c r="F23" s="2">
        <v>14769</v>
      </c>
      <c r="G23" s="2">
        <f t="shared" si="2"/>
        <v>12728</v>
      </c>
      <c r="I23" s="1">
        <f t="shared" si="0"/>
        <v>17.727499999999999</v>
      </c>
      <c r="J23" s="2">
        <f t="shared" si="1"/>
        <v>847.75</v>
      </c>
      <c r="L23" s="1">
        <f t="shared" si="3"/>
        <v>14.056999999999999</v>
      </c>
      <c r="M23" s="2">
        <f t="shared" si="4"/>
        <v>635.4</v>
      </c>
      <c r="O23" s="1">
        <f t="shared" si="5"/>
        <v>11.323333333333332</v>
      </c>
      <c r="P23" s="2">
        <f t="shared" si="6"/>
        <v>508.72222222222223</v>
      </c>
    </row>
    <row r="24" spans="1:16" x14ac:dyDescent="0.45">
      <c r="A24" s="12"/>
      <c r="B24" s="4">
        <v>44088</v>
      </c>
      <c r="C24" s="1">
        <v>13</v>
      </c>
      <c r="D24">
        <f>737-38-30</f>
        <v>669</v>
      </c>
      <c r="E24">
        <v>2</v>
      </c>
      <c r="F24" s="2">
        <v>9088</v>
      </c>
      <c r="G24" s="2">
        <f t="shared" si="2"/>
        <v>12092.75</v>
      </c>
      <c r="I24" s="1">
        <f t="shared" si="0"/>
        <v>16.8125</v>
      </c>
      <c r="J24" s="2">
        <f t="shared" si="1"/>
        <v>840.25</v>
      </c>
      <c r="L24" s="1">
        <f t="shared" si="3"/>
        <v>15.4695</v>
      </c>
      <c r="M24" s="2">
        <f t="shared" si="4"/>
        <v>717.25</v>
      </c>
      <c r="O24" s="1">
        <f t="shared" si="5"/>
        <v>14.05</v>
      </c>
      <c r="P24" s="2">
        <f t="shared" si="6"/>
        <v>638.88888888888891</v>
      </c>
    </row>
    <row r="25" spans="1:16" x14ac:dyDescent="0.45">
      <c r="A25" s="12"/>
      <c r="B25" s="4">
        <v>44095</v>
      </c>
      <c r="C25" s="1">
        <v>17.5</v>
      </c>
      <c r="D25">
        <f>917-31-37</f>
        <v>849</v>
      </c>
      <c r="E25">
        <v>2</v>
      </c>
      <c r="F25" s="2">
        <v>12790</v>
      </c>
      <c r="G25" s="2">
        <f t="shared" si="2"/>
        <v>12981.5</v>
      </c>
      <c r="I25" s="1">
        <f t="shared" si="0"/>
        <v>17.75</v>
      </c>
      <c r="J25" s="2">
        <f t="shared" si="1"/>
        <v>896.5</v>
      </c>
      <c r="L25" s="1">
        <f t="shared" si="3"/>
        <v>16.374000000000002</v>
      </c>
      <c r="M25" s="2">
        <f t="shared" si="4"/>
        <v>781.5</v>
      </c>
      <c r="O25" s="1">
        <f t="shared" si="5"/>
        <v>14.87388888888889</v>
      </c>
      <c r="P25" s="2">
        <f t="shared" si="6"/>
        <v>688.25</v>
      </c>
    </row>
    <row r="26" spans="1:16" x14ac:dyDescent="0.45">
      <c r="A26" s="12"/>
      <c r="B26" s="4">
        <v>44102</v>
      </c>
      <c r="C26" s="1">
        <v>11</v>
      </c>
      <c r="D26">
        <f>480-29-30</f>
        <v>421</v>
      </c>
      <c r="E26">
        <v>2</v>
      </c>
      <c r="F26" s="2">
        <v>5787</v>
      </c>
      <c r="G26" s="2">
        <f t="shared" si="2"/>
        <v>10608.5</v>
      </c>
      <c r="I26" s="1">
        <f t="shared" si="0"/>
        <v>15.375</v>
      </c>
      <c r="J26" s="2">
        <f t="shared" si="1"/>
        <v>747.5</v>
      </c>
      <c r="L26" s="1">
        <f t="shared" si="3"/>
        <v>16.716000000000001</v>
      </c>
      <c r="M26" s="2">
        <f t="shared" si="4"/>
        <v>811.05</v>
      </c>
      <c r="O26" s="1">
        <f t="shared" si="5"/>
        <v>15.795</v>
      </c>
      <c r="P26" s="2">
        <f t="shared" si="6"/>
        <v>735.44444444444446</v>
      </c>
    </row>
    <row r="27" spans="1:16" x14ac:dyDescent="0.45">
      <c r="A27" s="12"/>
      <c r="B27" s="4">
        <v>44109</v>
      </c>
      <c r="C27" s="1">
        <v>14.33</v>
      </c>
      <c r="D27">
        <v>1419</v>
      </c>
      <c r="E27">
        <v>0</v>
      </c>
      <c r="F27" s="2">
        <v>18525</v>
      </c>
      <c r="G27" s="2">
        <f t="shared" si="2"/>
        <v>11547.5</v>
      </c>
      <c r="I27" s="1">
        <f t="shared" si="0"/>
        <v>13.9575</v>
      </c>
      <c r="J27" s="2">
        <f t="shared" si="1"/>
        <v>839.5</v>
      </c>
      <c r="L27" s="1">
        <f t="shared" si="3"/>
        <v>16.324499999999997</v>
      </c>
      <c r="M27" s="2">
        <f t="shared" si="4"/>
        <v>834.3</v>
      </c>
      <c r="O27" s="1">
        <f t="shared" si="5"/>
        <v>16.482222222222223</v>
      </c>
      <c r="P27" s="2">
        <f t="shared" si="6"/>
        <v>800.02777777777783</v>
      </c>
    </row>
    <row r="28" spans="1:16" x14ac:dyDescent="0.45">
      <c r="A28" s="12"/>
      <c r="B28" s="4">
        <v>44116</v>
      </c>
      <c r="C28" s="1">
        <v>16.329999999999998</v>
      </c>
      <c r="D28">
        <f>791-32</f>
        <v>759</v>
      </c>
      <c r="E28">
        <v>1</v>
      </c>
      <c r="F28" s="2">
        <v>10755</v>
      </c>
      <c r="G28" s="2">
        <f t="shared" si="2"/>
        <v>11964.25</v>
      </c>
      <c r="I28" s="1">
        <f t="shared" si="0"/>
        <v>14.79</v>
      </c>
      <c r="J28" s="2">
        <f t="shared" si="1"/>
        <v>862</v>
      </c>
      <c r="L28" s="1">
        <f t="shared" si="3"/>
        <v>15.737</v>
      </c>
      <c r="M28" s="2">
        <f t="shared" si="4"/>
        <v>837.15</v>
      </c>
      <c r="O28" s="1">
        <f t="shared" si="5"/>
        <v>16.291388888888889</v>
      </c>
      <c r="P28" s="2">
        <f t="shared" si="6"/>
        <v>833.83333333333337</v>
      </c>
    </row>
    <row r="29" spans="1:16" x14ac:dyDescent="0.45">
      <c r="A29" s="12"/>
      <c r="B29" s="4">
        <v>44123</v>
      </c>
      <c r="C29" s="1">
        <v>14</v>
      </c>
      <c r="D29">
        <f>737-25</f>
        <v>712</v>
      </c>
      <c r="E29">
        <v>1</v>
      </c>
      <c r="F29" s="2">
        <v>6867</v>
      </c>
      <c r="G29" s="2">
        <f t="shared" si="2"/>
        <v>10483.5</v>
      </c>
      <c r="I29" s="1">
        <f t="shared" si="0"/>
        <v>13.914999999999999</v>
      </c>
      <c r="J29" s="2">
        <f t="shared" si="1"/>
        <v>827.75</v>
      </c>
      <c r="L29" s="1">
        <f t="shared" si="3"/>
        <v>15.157499999999999</v>
      </c>
      <c r="M29" s="2">
        <f t="shared" si="4"/>
        <v>834.65</v>
      </c>
      <c r="O29" s="1">
        <f t="shared" si="5"/>
        <v>16.754166666666666</v>
      </c>
      <c r="P29" s="2">
        <f t="shared" si="6"/>
        <v>886.75</v>
      </c>
    </row>
    <row r="30" spans="1:16" x14ac:dyDescent="0.45">
      <c r="A30" s="12"/>
      <c r="B30" s="4">
        <v>44130</v>
      </c>
      <c r="C30" s="1">
        <v>8</v>
      </c>
      <c r="D30">
        <v>377</v>
      </c>
      <c r="E30">
        <v>0</v>
      </c>
      <c r="F30" s="2">
        <v>4824</v>
      </c>
      <c r="G30" s="2">
        <f t="shared" si="2"/>
        <v>10242.75</v>
      </c>
      <c r="I30" s="1">
        <f t="shared" si="0"/>
        <v>13.164999999999999</v>
      </c>
      <c r="J30" s="2">
        <f t="shared" si="1"/>
        <v>816.75</v>
      </c>
      <c r="L30" s="1">
        <f t="shared" si="3"/>
        <v>14.240500000000001</v>
      </c>
      <c r="M30" s="2">
        <f t="shared" si="4"/>
        <v>818.7</v>
      </c>
      <c r="O30" s="1">
        <f t="shared" si="5"/>
        <v>15.369722222222221</v>
      </c>
      <c r="P30" s="2">
        <f t="shared" si="6"/>
        <v>834.55555555555554</v>
      </c>
    </row>
    <row r="31" spans="1:16" x14ac:dyDescent="0.45">
      <c r="A31" s="12" t="s">
        <v>13</v>
      </c>
      <c r="B31" s="4">
        <v>44137</v>
      </c>
      <c r="C31" s="1">
        <v>21.5</v>
      </c>
      <c r="D31">
        <v>1347</v>
      </c>
      <c r="E31">
        <v>0</v>
      </c>
      <c r="F31" s="2">
        <v>15786</v>
      </c>
      <c r="G31" s="2">
        <f t="shared" si="2"/>
        <v>9558</v>
      </c>
      <c r="I31" s="1">
        <f t="shared" si="0"/>
        <v>14.9575</v>
      </c>
      <c r="J31" s="2">
        <f t="shared" si="1"/>
        <v>798.75</v>
      </c>
      <c r="L31" s="1">
        <f t="shared" si="3"/>
        <v>14.157</v>
      </c>
      <c r="M31" s="2">
        <f t="shared" si="4"/>
        <v>828.95</v>
      </c>
      <c r="O31" s="1">
        <f t="shared" si="5"/>
        <v>14.138055555555557</v>
      </c>
      <c r="P31" s="2">
        <f t="shared" si="6"/>
        <v>783.02777777777783</v>
      </c>
    </row>
    <row r="32" spans="1:16" x14ac:dyDescent="0.45">
      <c r="A32" s="12"/>
      <c r="B32" s="4">
        <v>44144</v>
      </c>
      <c r="C32" s="1">
        <v>10</v>
      </c>
      <c r="D32">
        <v>426</v>
      </c>
      <c r="E32">
        <v>0</v>
      </c>
      <c r="F32" s="2">
        <v>6363</v>
      </c>
      <c r="G32" s="2">
        <f t="shared" si="2"/>
        <v>8460</v>
      </c>
      <c r="I32" s="1">
        <f t="shared" si="0"/>
        <v>13.375</v>
      </c>
      <c r="J32" s="2">
        <f t="shared" si="1"/>
        <v>715.5</v>
      </c>
      <c r="L32" s="1">
        <f t="shared" si="3"/>
        <v>14.0405</v>
      </c>
      <c r="M32" s="2">
        <f t="shared" si="4"/>
        <v>804.15</v>
      </c>
      <c r="O32" s="1">
        <f t="shared" si="5"/>
        <v>14.378611111111111</v>
      </c>
      <c r="P32" s="2">
        <f t="shared" si="6"/>
        <v>809.63888888888891</v>
      </c>
    </row>
    <row r="33" spans="1:16" x14ac:dyDescent="0.45">
      <c r="A33" s="12"/>
      <c r="B33" s="4">
        <v>44151</v>
      </c>
      <c r="C33" s="1">
        <v>13</v>
      </c>
      <c r="D33">
        <v>559</v>
      </c>
      <c r="E33">
        <v>0</v>
      </c>
      <c r="F33" s="2">
        <v>7222</v>
      </c>
      <c r="G33" s="2">
        <f t="shared" si="2"/>
        <v>8548.75</v>
      </c>
      <c r="I33" s="1">
        <f t="shared" si="0"/>
        <v>13.125</v>
      </c>
      <c r="J33" s="2">
        <f t="shared" si="1"/>
        <v>677.25</v>
      </c>
      <c r="L33" s="1">
        <f t="shared" si="3"/>
        <v>13.7075</v>
      </c>
      <c r="M33" s="2">
        <f t="shared" si="4"/>
        <v>767.2</v>
      </c>
      <c r="O33" s="1">
        <f t="shared" si="5"/>
        <v>13.494166666666667</v>
      </c>
      <c r="P33" s="2">
        <f t="shared" si="6"/>
        <v>788.19444444444446</v>
      </c>
    </row>
    <row r="34" spans="1:16" x14ac:dyDescent="0.45">
      <c r="A34" s="12"/>
      <c r="B34" s="4">
        <v>44158</v>
      </c>
      <c r="C34" s="1">
        <v>9.25</v>
      </c>
      <c r="D34">
        <v>610</v>
      </c>
      <c r="E34">
        <v>0</v>
      </c>
      <c r="F34" s="2">
        <v>7212</v>
      </c>
      <c r="G34" s="2">
        <f t="shared" si="2"/>
        <v>9145.75</v>
      </c>
      <c r="I34" s="1">
        <f t="shared" si="0"/>
        <v>13.4375</v>
      </c>
      <c r="J34" s="2">
        <f t="shared" si="1"/>
        <v>735.5</v>
      </c>
      <c r="L34" s="1">
        <f t="shared" si="3"/>
        <v>13.612</v>
      </c>
      <c r="M34" s="2">
        <f t="shared" si="4"/>
        <v>748.75</v>
      </c>
      <c r="O34" s="1">
        <f t="shared" si="5"/>
        <v>14.005555555555555</v>
      </c>
      <c r="P34" s="2">
        <f t="shared" si="6"/>
        <v>867.11111111111109</v>
      </c>
    </row>
    <row r="35" spans="1:16" x14ac:dyDescent="0.45">
      <c r="A35" s="12"/>
      <c r="B35" s="4">
        <v>44165</v>
      </c>
      <c r="C35" s="1">
        <v>1</v>
      </c>
      <c r="D35">
        <f>138-31-39-18-19</f>
        <v>31</v>
      </c>
      <c r="E35">
        <v>3</v>
      </c>
      <c r="F35" s="2">
        <v>601</v>
      </c>
      <c r="G35" s="2">
        <f t="shared" si="2"/>
        <v>5349.5</v>
      </c>
      <c r="I35" s="1">
        <f t="shared" si="0"/>
        <v>8.3125</v>
      </c>
      <c r="J35" s="2">
        <f t="shared" si="1"/>
        <v>406.5</v>
      </c>
      <c r="L35" s="1">
        <f t="shared" si="3"/>
        <v>12.641499999999999</v>
      </c>
      <c r="M35" s="2">
        <f t="shared" si="4"/>
        <v>666.7</v>
      </c>
      <c r="O35" s="1">
        <f t="shared" si="5"/>
        <v>13.406666666666666</v>
      </c>
      <c r="P35" s="2">
        <f t="shared" si="6"/>
        <v>685.69444444444446</v>
      </c>
    </row>
    <row r="36" spans="1:16" x14ac:dyDescent="0.45">
      <c r="A36" s="12"/>
      <c r="B36" s="4">
        <v>44172</v>
      </c>
      <c r="C36" s="1">
        <v>11.5</v>
      </c>
      <c r="D36">
        <f>571-42-29-47</f>
        <v>453</v>
      </c>
      <c r="E36">
        <v>3</v>
      </c>
      <c r="F36" s="2">
        <v>7000</v>
      </c>
      <c r="G36" s="2">
        <f t="shared" si="2"/>
        <v>5508.75</v>
      </c>
      <c r="I36" s="1">
        <f t="shared" si="0"/>
        <v>8.6875</v>
      </c>
      <c r="J36" s="2">
        <f t="shared" si="1"/>
        <v>413.25</v>
      </c>
      <c r="L36" s="1">
        <f t="shared" si="3"/>
        <v>11.387499999999999</v>
      </c>
      <c r="M36" s="2">
        <f t="shared" si="4"/>
        <v>589.6</v>
      </c>
      <c r="O36" s="1">
        <f t="shared" si="5"/>
        <v>12.229166666666666</v>
      </c>
      <c r="P36" s="2">
        <f t="shared" si="6"/>
        <v>642.44444444444446</v>
      </c>
    </row>
    <row r="37" spans="1:16" x14ac:dyDescent="0.45">
      <c r="A37" s="12"/>
      <c r="B37" s="4">
        <v>44179</v>
      </c>
      <c r="C37" s="1">
        <v>16</v>
      </c>
      <c r="D37">
        <f>805-27-33</f>
        <v>745</v>
      </c>
      <c r="E37">
        <v>2</v>
      </c>
      <c r="F37" s="2">
        <v>11052</v>
      </c>
      <c r="G37" s="2">
        <f t="shared" si="2"/>
        <v>6466.25</v>
      </c>
      <c r="I37" s="1">
        <f t="shared" si="0"/>
        <v>9.4375</v>
      </c>
      <c r="J37" s="2">
        <f t="shared" si="1"/>
        <v>459.75</v>
      </c>
      <c r="L37" s="1">
        <f t="shared" si="3"/>
        <v>10.6</v>
      </c>
      <c r="M37" s="2">
        <f t="shared" si="4"/>
        <v>538.45000000000005</v>
      </c>
      <c r="O37" s="1">
        <f t="shared" si="5"/>
        <v>11.625</v>
      </c>
      <c r="P37" s="2">
        <f t="shared" si="6"/>
        <v>610.55555555555554</v>
      </c>
    </row>
    <row r="38" spans="1:16" x14ac:dyDescent="0.45">
      <c r="A38" s="12"/>
      <c r="B38" s="4">
        <v>44186</v>
      </c>
      <c r="C38" s="1">
        <v>15.25</v>
      </c>
      <c r="D38">
        <f>835-28</f>
        <v>807</v>
      </c>
      <c r="E38">
        <v>1</v>
      </c>
      <c r="F38" s="2">
        <v>11562</v>
      </c>
      <c r="G38" s="2">
        <f t="shared" si="2"/>
        <v>7553.75</v>
      </c>
      <c r="I38" s="1">
        <f t="shared" si="0"/>
        <v>10.9375</v>
      </c>
      <c r="J38" s="2">
        <f t="shared" si="1"/>
        <v>509</v>
      </c>
      <c r="L38" s="1">
        <f t="shared" si="3"/>
        <v>10.1625</v>
      </c>
      <c r="M38" s="2">
        <f t="shared" si="4"/>
        <v>504.8</v>
      </c>
      <c r="O38" s="1">
        <f t="shared" si="5"/>
        <v>12.555555555555555</v>
      </c>
      <c r="P38" s="2">
        <f t="shared" si="6"/>
        <v>665.05555555555554</v>
      </c>
    </row>
    <row r="39" spans="1:16" x14ac:dyDescent="0.45">
      <c r="A39" s="12"/>
      <c r="B39" s="4">
        <v>44193</v>
      </c>
      <c r="C39" s="1">
        <v>16</v>
      </c>
      <c r="D39">
        <v>783</v>
      </c>
      <c r="E39">
        <v>0</v>
      </c>
      <c r="F39" s="2">
        <v>11466</v>
      </c>
      <c r="G39" s="2">
        <f t="shared" si="2"/>
        <v>10270</v>
      </c>
      <c r="I39" s="1">
        <f t="shared" si="0"/>
        <v>14.6875</v>
      </c>
      <c r="J39" s="2">
        <f t="shared" si="1"/>
        <v>697</v>
      </c>
      <c r="L39" s="1">
        <f t="shared" si="3"/>
        <v>10.4125</v>
      </c>
      <c r="M39" s="2">
        <f t="shared" si="4"/>
        <v>497.1</v>
      </c>
      <c r="O39" s="1">
        <f t="shared" si="5"/>
        <v>10.333333333333334</v>
      </c>
      <c r="P39" s="2">
        <f t="shared" si="6"/>
        <v>488.33333333333331</v>
      </c>
    </row>
    <row r="40" spans="1:16" x14ac:dyDescent="0.45">
      <c r="A40" s="12"/>
      <c r="B40" s="4">
        <v>44200</v>
      </c>
      <c r="C40" s="1">
        <v>14</v>
      </c>
      <c r="D40">
        <f>648-32</f>
        <v>616</v>
      </c>
      <c r="E40">
        <v>1</v>
      </c>
      <c r="F40" s="2">
        <v>9350</v>
      </c>
      <c r="G40" s="2">
        <f t="shared" si="2"/>
        <v>10857.5</v>
      </c>
      <c r="I40" s="1">
        <f t="shared" si="0"/>
        <v>15.3125</v>
      </c>
      <c r="J40" s="2">
        <f t="shared" si="1"/>
        <v>737.75</v>
      </c>
      <c r="L40" s="1">
        <f t="shared" si="3"/>
        <v>11.8125</v>
      </c>
      <c r="M40" s="2">
        <f t="shared" si="4"/>
        <v>563.35</v>
      </c>
      <c r="O40" s="1">
        <f t="shared" si="5"/>
        <v>10.777777777777779</v>
      </c>
      <c r="P40" s="2">
        <f t="shared" si="6"/>
        <v>521.55555555555554</v>
      </c>
    </row>
    <row r="41" spans="1:16" x14ac:dyDescent="0.45">
      <c r="A41" s="12" t="s">
        <v>16</v>
      </c>
      <c r="B41" s="4">
        <v>44207</v>
      </c>
      <c r="C41" s="1">
        <v>16</v>
      </c>
      <c r="D41">
        <v>951</v>
      </c>
      <c r="E41">
        <v>0</v>
      </c>
      <c r="F41" s="2">
        <v>11351</v>
      </c>
      <c r="G41" s="2">
        <f t="shared" si="2"/>
        <v>10932.25</v>
      </c>
      <c r="I41" s="1">
        <f t="shared" si="0"/>
        <v>15.3125</v>
      </c>
      <c r="J41" s="2">
        <f t="shared" si="1"/>
        <v>789.25</v>
      </c>
      <c r="L41" s="1">
        <f t="shared" si="3"/>
        <v>13.137499999999999</v>
      </c>
      <c r="M41" s="2">
        <f t="shared" si="4"/>
        <v>638.54999999999995</v>
      </c>
      <c r="O41" s="1">
        <f t="shared" si="5"/>
        <v>10.638888888888889</v>
      </c>
      <c r="P41" s="2">
        <f t="shared" si="6"/>
        <v>536.11111111111109</v>
      </c>
    </row>
    <row r="42" spans="1:16" x14ac:dyDescent="0.45">
      <c r="A42" s="12"/>
      <c r="B42" s="4">
        <v>44214</v>
      </c>
      <c r="C42" s="1">
        <v>16</v>
      </c>
      <c r="D42">
        <f>780-17</f>
        <v>763</v>
      </c>
      <c r="E42">
        <v>1</v>
      </c>
      <c r="F42" s="2">
        <v>3992</v>
      </c>
      <c r="G42" s="2">
        <f t="shared" si="2"/>
        <v>9039.75</v>
      </c>
      <c r="I42" s="1">
        <f t="shared" si="0"/>
        <v>15.5</v>
      </c>
      <c r="J42" s="2">
        <f t="shared" si="1"/>
        <v>778.25</v>
      </c>
      <c r="L42" s="1">
        <f t="shared" si="3"/>
        <v>14.35</v>
      </c>
      <c r="M42" s="2">
        <f t="shared" si="4"/>
        <v>702.25</v>
      </c>
      <c r="O42" s="1">
        <f t="shared" si="5"/>
        <v>11.520833333333334</v>
      </c>
      <c r="P42" s="2">
        <f t="shared" si="6"/>
        <v>543.58333333333337</v>
      </c>
    </row>
    <row r="43" spans="1:16" x14ac:dyDescent="0.45">
      <c r="A43" s="12"/>
      <c r="B43" s="4">
        <v>44221</v>
      </c>
      <c r="C43" s="1">
        <v>16.329999999999998</v>
      </c>
      <c r="D43">
        <f>879-22</f>
        <v>857</v>
      </c>
      <c r="E43">
        <v>1</v>
      </c>
      <c r="F43" s="2">
        <v>11447</v>
      </c>
      <c r="G43" s="2">
        <f t="shared" si="2"/>
        <v>9035</v>
      </c>
      <c r="I43" s="1">
        <f t="shared" si="0"/>
        <v>15.5825</v>
      </c>
      <c r="J43" s="2">
        <f t="shared" si="1"/>
        <v>796.75</v>
      </c>
      <c r="L43" s="1">
        <f t="shared" si="3"/>
        <v>15.279</v>
      </c>
      <c r="M43" s="2">
        <f t="shared" si="4"/>
        <v>759.8</v>
      </c>
      <c r="O43" s="1">
        <f t="shared" si="5"/>
        <v>14.661944444444442</v>
      </c>
      <c r="P43" s="2">
        <f t="shared" si="6"/>
        <v>702.66666666666663</v>
      </c>
    </row>
    <row r="44" spans="1:16" x14ac:dyDescent="0.45">
      <c r="A44" s="12"/>
      <c r="B44" s="4">
        <v>44228</v>
      </c>
      <c r="C44" s="1">
        <v>11.25</v>
      </c>
      <c r="D44">
        <v>581</v>
      </c>
      <c r="E44">
        <v>0</v>
      </c>
      <c r="F44" s="2">
        <v>7791</v>
      </c>
      <c r="G44" s="2">
        <f t="shared" si="2"/>
        <v>8645.25</v>
      </c>
      <c r="I44" s="1">
        <f t="shared" si="0"/>
        <v>14.895</v>
      </c>
      <c r="J44" s="2">
        <f t="shared" si="1"/>
        <v>788</v>
      </c>
      <c r="L44" s="1">
        <f t="shared" si="3"/>
        <v>15.320499999999999</v>
      </c>
      <c r="M44" s="2">
        <f t="shared" si="4"/>
        <v>778</v>
      </c>
      <c r="O44" s="1">
        <f t="shared" si="5"/>
        <v>15.462777777777777</v>
      </c>
      <c r="P44" s="2">
        <f t="shared" si="6"/>
        <v>771.52777777777783</v>
      </c>
    </row>
    <row r="45" spans="1:16" x14ac:dyDescent="0.45">
      <c r="A45" s="12" t="s">
        <v>17</v>
      </c>
      <c r="B45" s="4">
        <v>44235</v>
      </c>
      <c r="C45" s="1">
        <v>14.5</v>
      </c>
      <c r="D45">
        <v>821</v>
      </c>
      <c r="E45">
        <v>0</v>
      </c>
      <c r="F45" s="2">
        <v>10663</v>
      </c>
      <c r="G45" s="2">
        <f t="shared" si="2"/>
        <v>8473.25</v>
      </c>
      <c r="I45" s="1">
        <f t="shared" si="0"/>
        <v>14.52</v>
      </c>
      <c r="J45" s="2">
        <f t="shared" si="1"/>
        <v>755.5</v>
      </c>
      <c r="L45" s="1">
        <f t="shared" si="3"/>
        <v>15.162000000000001</v>
      </c>
      <c r="M45" s="2">
        <f t="shared" si="4"/>
        <v>781.55</v>
      </c>
      <c r="O45" s="1">
        <f t="shared" si="5"/>
        <v>15.221944444444444</v>
      </c>
      <c r="P45" s="2">
        <f t="shared" si="6"/>
        <v>777.61111111111109</v>
      </c>
    </row>
    <row r="46" spans="1:16" x14ac:dyDescent="0.45">
      <c r="A46" s="12"/>
      <c r="B46" s="4">
        <v>44242</v>
      </c>
      <c r="C46" s="1">
        <v>13</v>
      </c>
      <c r="D46">
        <f>514-14</f>
        <v>500</v>
      </c>
      <c r="E46">
        <v>0</v>
      </c>
      <c r="F46" s="2">
        <v>3998</v>
      </c>
      <c r="G46" s="2">
        <f t="shared" si="2"/>
        <v>8474.75</v>
      </c>
      <c r="I46" s="1">
        <f t="shared" si="0"/>
        <v>13.77</v>
      </c>
      <c r="J46" s="2">
        <f t="shared" si="1"/>
        <v>689.75</v>
      </c>
      <c r="L46" s="1">
        <f t="shared" si="3"/>
        <v>14.8535</v>
      </c>
      <c r="M46" s="2">
        <f t="shared" si="4"/>
        <v>761.65</v>
      </c>
      <c r="O46" s="1">
        <f t="shared" si="5"/>
        <v>15.085277777777776</v>
      </c>
      <c r="P46" s="2">
        <f t="shared" si="6"/>
        <v>761.38888888888891</v>
      </c>
    </row>
    <row r="47" spans="1:16" x14ac:dyDescent="0.45">
      <c r="A47" s="12" t="s">
        <v>18</v>
      </c>
      <c r="B47" s="4">
        <v>44249</v>
      </c>
      <c r="C47" s="1">
        <v>5</v>
      </c>
      <c r="D47">
        <v>149</v>
      </c>
      <c r="E47">
        <v>0</v>
      </c>
      <c r="F47" s="2">
        <v>2433</v>
      </c>
      <c r="G47" s="2">
        <f t="shared" si="2"/>
        <v>6221.25</v>
      </c>
      <c r="I47" s="1">
        <f t="shared" si="0"/>
        <v>10.9375</v>
      </c>
      <c r="J47" s="2">
        <f t="shared" si="1"/>
        <v>512.75</v>
      </c>
      <c r="L47" s="1">
        <f t="shared" si="3"/>
        <v>13.940999999999999</v>
      </c>
      <c r="M47" s="2">
        <f t="shared" si="4"/>
        <v>708.55</v>
      </c>
      <c r="O47" s="1">
        <f t="shared" si="5"/>
        <v>14.476388888888888</v>
      </c>
      <c r="P47" s="2">
        <f t="shared" si="6"/>
        <v>732.88888888888891</v>
      </c>
    </row>
    <row r="48" spans="1:16" x14ac:dyDescent="0.45">
      <c r="A48" s="12"/>
      <c r="B48" s="4">
        <v>44256</v>
      </c>
      <c r="C48" s="1">
        <v>4.66</v>
      </c>
      <c r="D48">
        <f>190-49</f>
        <v>141</v>
      </c>
      <c r="E48">
        <v>0</v>
      </c>
      <c r="F48" s="2">
        <v>784</v>
      </c>
      <c r="G48" s="2">
        <f t="shared" si="2"/>
        <v>4469.5</v>
      </c>
      <c r="I48" s="1">
        <f t="shared" si="0"/>
        <v>9.2899999999999991</v>
      </c>
      <c r="J48" s="2">
        <f t="shared" si="1"/>
        <v>402.75</v>
      </c>
      <c r="L48" s="1">
        <f t="shared" si="3"/>
        <v>12.682500000000001</v>
      </c>
      <c r="M48" s="2">
        <f t="shared" si="4"/>
        <v>629.75</v>
      </c>
      <c r="O48" s="1">
        <f t="shared" si="5"/>
        <v>14.0525</v>
      </c>
      <c r="P48" s="2">
        <f t="shared" si="6"/>
        <v>728.30555555555554</v>
      </c>
    </row>
    <row r="49" spans="1:16" x14ac:dyDescent="0.45">
      <c r="A49" s="12"/>
      <c r="B49" s="4">
        <v>44263</v>
      </c>
      <c r="C49" s="1">
        <v>6.66</v>
      </c>
      <c r="D49">
        <v>271</v>
      </c>
      <c r="E49">
        <v>0</v>
      </c>
      <c r="F49" s="2">
        <v>4369</v>
      </c>
      <c r="G49" s="2">
        <f t="shared" si="2"/>
        <v>2896</v>
      </c>
      <c r="I49" s="1">
        <f t="shared" si="0"/>
        <v>7.33</v>
      </c>
      <c r="J49" s="2">
        <f t="shared" si="1"/>
        <v>265.25</v>
      </c>
      <c r="L49" s="1">
        <f t="shared" si="3"/>
        <v>11.169499999999999</v>
      </c>
      <c r="M49" s="2">
        <f t="shared" si="4"/>
        <v>525.20000000000005</v>
      </c>
      <c r="O49" s="1">
        <f t="shared" si="5"/>
        <v>12.924722222222222</v>
      </c>
      <c r="P49" s="2">
        <f t="shared" si="6"/>
        <v>630.38888888888891</v>
      </c>
    </row>
    <row r="50" spans="1:16" x14ac:dyDescent="0.45">
      <c r="A50" s="12"/>
      <c r="B50" s="4">
        <v>44270</v>
      </c>
      <c r="C50" s="1">
        <v>15.5</v>
      </c>
      <c r="D50">
        <v>745</v>
      </c>
      <c r="E50">
        <v>0</v>
      </c>
      <c r="F50" s="2">
        <v>8769</v>
      </c>
      <c r="G50" s="2">
        <f t="shared" si="2"/>
        <v>4088.75</v>
      </c>
      <c r="I50" s="1">
        <f t="shared" si="0"/>
        <v>7.9550000000000001</v>
      </c>
      <c r="J50" s="2">
        <f t="shared" si="1"/>
        <v>326.5</v>
      </c>
      <c r="L50" s="1">
        <f t="shared" si="3"/>
        <v>9.8564999999999987</v>
      </c>
      <c r="M50" s="2">
        <f t="shared" si="4"/>
        <v>439.4</v>
      </c>
      <c r="O50" s="1">
        <f t="shared" si="5"/>
        <v>11.783055555555556</v>
      </c>
      <c r="P50" s="2">
        <f t="shared" si="6"/>
        <v>573.75</v>
      </c>
    </row>
    <row r="51" spans="1:16" x14ac:dyDescent="0.45">
      <c r="A51" s="12"/>
      <c r="B51" s="4">
        <v>44277</v>
      </c>
      <c r="C51" s="1">
        <v>7.5</v>
      </c>
      <c r="D51">
        <v>293</v>
      </c>
      <c r="E51">
        <v>0</v>
      </c>
      <c r="F51" s="2">
        <v>4674</v>
      </c>
      <c r="G51" s="2">
        <f t="shared" si="2"/>
        <v>4649</v>
      </c>
      <c r="I51" s="1">
        <f t="shared" si="0"/>
        <v>8.58</v>
      </c>
      <c r="J51" s="2">
        <f t="shared" si="1"/>
        <v>362.5</v>
      </c>
      <c r="L51" s="1">
        <f t="shared" si="3"/>
        <v>8.8185000000000002</v>
      </c>
      <c r="M51" s="2">
        <f t="shared" si="4"/>
        <v>373.95</v>
      </c>
      <c r="O51" s="1">
        <f t="shared" si="5"/>
        <v>10.322777777777778</v>
      </c>
      <c r="P51" s="2">
        <f t="shared" si="6"/>
        <v>480.55555555555554</v>
      </c>
    </row>
    <row r="52" spans="1:16" x14ac:dyDescent="0.45">
      <c r="A52" s="12"/>
      <c r="B52" s="4">
        <v>44284</v>
      </c>
      <c r="C52" s="1">
        <v>15.5</v>
      </c>
      <c r="D52">
        <f>689-40-50</f>
        <v>599</v>
      </c>
      <c r="E52">
        <v>2</v>
      </c>
      <c r="F52" s="2">
        <v>9517</v>
      </c>
      <c r="G52" s="2">
        <f t="shared" si="2"/>
        <v>6832.25</v>
      </c>
      <c r="I52" s="1">
        <f t="shared" si="0"/>
        <v>11.29</v>
      </c>
      <c r="J52" s="2">
        <f t="shared" si="1"/>
        <v>477</v>
      </c>
      <c r="L52" s="1">
        <f t="shared" si="3"/>
        <v>8.8889999999999993</v>
      </c>
      <c r="M52" s="2">
        <f t="shared" si="4"/>
        <v>366.8</v>
      </c>
      <c r="O52" s="1">
        <f t="shared" si="5"/>
        <v>10.109444444444444</v>
      </c>
      <c r="P52" s="2">
        <f t="shared" si="6"/>
        <v>449.19444444444446</v>
      </c>
    </row>
    <row r="53" spans="1:16" x14ac:dyDescent="0.45">
      <c r="A53" s="12"/>
      <c r="B53" s="4">
        <v>44291</v>
      </c>
      <c r="C53" s="1">
        <v>14</v>
      </c>
      <c r="D53">
        <f>778-40-35</f>
        <v>703</v>
      </c>
      <c r="E53">
        <v>2</v>
      </c>
      <c r="F53" s="2">
        <v>9820</v>
      </c>
      <c r="G53" s="2">
        <f t="shared" si="2"/>
        <v>8195</v>
      </c>
      <c r="I53" s="1">
        <f t="shared" si="0"/>
        <v>13.125</v>
      </c>
      <c r="J53" s="2">
        <f t="shared" si="1"/>
        <v>585</v>
      </c>
      <c r="L53" s="1">
        <f t="shared" si="3"/>
        <v>9.6560000000000006</v>
      </c>
      <c r="M53" s="2">
        <f t="shared" si="4"/>
        <v>403.25</v>
      </c>
      <c r="O53" s="1">
        <f t="shared" si="5"/>
        <v>9.16</v>
      </c>
      <c r="P53" s="2">
        <f t="shared" si="6"/>
        <v>361.22222222222223</v>
      </c>
    </row>
    <row r="54" spans="1:16" x14ac:dyDescent="0.45">
      <c r="A54" s="12"/>
      <c r="B54" s="4">
        <v>44298</v>
      </c>
      <c r="C54" s="1">
        <v>12.5</v>
      </c>
      <c r="D54">
        <f>671-36</f>
        <v>635</v>
      </c>
      <c r="E54">
        <v>1</v>
      </c>
      <c r="F54" s="2">
        <v>7100</v>
      </c>
      <c r="G54" s="2">
        <f t="shared" si="2"/>
        <v>7777.75</v>
      </c>
      <c r="I54" s="1">
        <f t="shared" si="0"/>
        <v>12.375</v>
      </c>
      <c r="J54" s="2">
        <f t="shared" si="1"/>
        <v>557.5</v>
      </c>
      <c r="L54" s="1">
        <f t="shared" si="3"/>
        <v>10.665000000000001</v>
      </c>
      <c r="M54" s="2">
        <f t="shared" si="4"/>
        <v>461.7</v>
      </c>
      <c r="O54" s="1">
        <f t="shared" si="5"/>
        <v>8.5300000000000011</v>
      </c>
      <c r="P54" s="2">
        <f t="shared" si="6"/>
        <v>348.33333333333331</v>
      </c>
    </row>
    <row r="55" spans="1:16" x14ac:dyDescent="0.45">
      <c r="A55" s="12"/>
      <c r="B55" s="4">
        <v>44305</v>
      </c>
      <c r="C55" s="1">
        <v>17</v>
      </c>
      <c r="D55">
        <f>879-35-32</f>
        <v>812</v>
      </c>
      <c r="E55">
        <v>2</v>
      </c>
      <c r="F55" s="2">
        <v>10736</v>
      </c>
      <c r="G55" s="2">
        <f t="shared" si="2"/>
        <v>9293.25</v>
      </c>
      <c r="I55" s="1">
        <f t="shared" si="0"/>
        <v>14.75</v>
      </c>
      <c r="J55" s="2">
        <f t="shared" si="1"/>
        <v>687.25</v>
      </c>
      <c r="L55" s="1">
        <f t="shared" si="3"/>
        <v>12.024000000000001</v>
      </c>
      <c r="M55" s="2">
        <f t="shared" si="4"/>
        <v>533.85</v>
      </c>
      <c r="O55" s="1">
        <f t="shared" si="5"/>
        <v>10.011111111111111</v>
      </c>
      <c r="P55" s="2">
        <f t="shared" si="6"/>
        <v>431.86111111111109</v>
      </c>
    </row>
    <row r="56" spans="1:16" x14ac:dyDescent="0.45">
      <c r="A56" s="12"/>
      <c r="B56" s="4">
        <v>44312</v>
      </c>
      <c r="C56" s="1">
        <v>17.75</v>
      </c>
      <c r="D56">
        <v>841</v>
      </c>
      <c r="E56">
        <v>0</v>
      </c>
      <c r="F56" s="2">
        <v>12165</v>
      </c>
      <c r="G56" s="2">
        <f t="shared" si="2"/>
        <v>9955.25</v>
      </c>
      <c r="I56" s="1">
        <f t="shared" si="0"/>
        <v>15.3125</v>
      </c>
      <c r="J56" s="2">
        <f t="shared" si="1"/>
        <v>747.75</v>
      </c>
      <c r="L56" s="1">
        <f t="shared" si="3"/>
        <v>13.370499999999998</v>
      </c>
      <c r="M56" s="2">
        <f t="shared" si="4"/>
        <v>610.9</v>
      </c>
      <c r="O56" s="1">
        <f t="shared" si="5"/>
        <v>11.931388888888888</v>
      </c>
      <c r="P56" s="2">
        <f t="shared" si="6"/>
        <v>536.61111111111109</v>
      </c>
    </row>
    <row r="57" spans="1:16" x14ac:dyDescent="0.45">
      <c r="A57" s="12" t="s">
        <v>207</v>
      </c>
      <c r="B57" s="4">
        <v>44319</v>
      </c>
      <c r="C57" s="1">
        <v>25</v>
      </c>
      <c r="D57">
        <f>1411-20-50</f>
        <v>1341</v>
      </c>
      <c r="E57">
        <v>2</v>
      </c>
      <c r="F57" s="2">
        <v>18201</v>
      </c>
      <c r="G57" s="2">
        <f t="shared" si="2"/>
        <v>12050.5</v>
      </c>
      <c r="I57" s="1">
        <f t="shared" si="0"/>
        <v>18.0625</v>
      </c>
      <c r="J57" s="2">
        <f t="shared" si="1"/>
        <v>907.25</v>
      </c>
      <c r="L57" s="1">
        <f t="shared" si="3"/>
        <v>14.725</v>
      </c>
      <c r="M57" s="2">
        <f t="shared" si="4"/>
        <v>696.95</v>
      </c>
      <c r="O57" s="1">
        <f t="shared" si="5"/>
        <v>13.916666666666666</v>
      </c>
      <c r="P57" s="2">
        <f t="shared" si="6"/>
        <v>642.19444444444446</v>
      </c>
    </row>
    <row r="58" spans="1:16" x14ac:dyDescent="0.45">
      <c r="A58" s="12"/>
      <c r="B58" s="4">
        <v>44326</v>
      </c>
      <c r="C58" s="1">
        <v>13.5</v>
      </c>
      <c r="D58">
        <f>828-27-49</f>
        <v>752</v>
      </c>
      <c r="E58">
        <v>2</v>
      </c>
      <c r="F58" s="2">
        <v>9275</v>
      </c>
      <c r="G58" s="2">
        <f t="shared" si="2"/>
        <v>12594.25</v>
      </c>
      <c r="I58" s="1">
        <f t="shared" si="0"/>
        <v>18.3125</v>
      </c>
      <c r="J58" s="2">
        <f t="shared" si="1"/>
        <v>936.5</v>
      </c>
      <c r="L58" s="1">
        <f t="shared" si="3"/>
        <v>15.762499999999999</v>
      </c>
      <c r="M58" s="2">
        <f t="shared" si="4"/>
        <v>767.25</v>
      </c>
      <c r="O58" s="1">
        <f t="shared" si="5"/>
        <v>13.881944444444445</v>
      </c>
      <c r="P58" s="2">
        <f t="shared" si="6"/>
        <v>642.63888888888891</v>
      </c>
    </row>
    <row r="59" spans="1:16" x14ac:dyDescent="0.45">
      <c r="A59" s="12"/>
      <c r="B59" s="4">
        <v>44333</v>
      </c>
      <c r="C59" s="1">
        <v>14</v>
      </c>
      <c r="D59">
        <v>773</v>
      </c>
      <c r="E59">
        <v>2</v>
      </c>
      <c r="F59" s="2">
        <v>8804</v>
      </c>
      <c r="G59" s="2">
        <f t="shared" si="2"/>
        <v>12111.25</v>
      </c>
      <c r="I59" s="1">
        <f t="shared" si="0"/>
        <v>17.5625</v>
      </c>
      <c r="J59" s="2">
        <f t="shared" si="1"/>
        <v>926.75</v>
      </c>
      <c r="L59" s="1">
        <f t="shared" si="3"/>
        <v>16.8</v>
      </c>
      <c r="M59" s="2">
        <f t="shared" si="4"/>
        <v>841.1</v>
      </c>
      <c r="O59" s="1">
        <f t="shared" si="5"/>
        <v>15.805555555555555</v>
      </c>
      <c r="P59" s="2">
        <f t="shared" si="6"/>
        <v>756.86111111111109</v>
      </c>
    </row>
    <row r="60" spans="1:16" x14ac:dyDescent="0.45">
      <c r="A60" s="12"/>
      <c r="B60" s="4">
        <v>44340</v>
      </c>
      <c r="C60" s="1">
        <v>17.5</v>
      </c>
      <c r="D60">
        <f>1010-25-27</f>
        <v>958</v>
      </c>
      <c r="E60">
        <v>2</v>
      </c>
      <c r="F60" s="2">
        <v>12566</v>
      </c>
      <c r="G60" s="2">
        <f t="shared" si="2"/>
        <v>12211.5</v>
      </c>
      <c r="I60" s="1">
        <f t="shared" si="0"/>
        <v>17.5</v>
      </c>
      <c r="J60" s="2">
        <f t="shared" si="1"/>
        <v>956</v>
      </c>
      <c r="L60" s="1">
        <f t="shared" si="3"/>
        <v>17.350000000000001</v>
      </c>
      <c r="M60" s="2">
        <f t="shared" si="4"/>
        <v>894.85</v>
      </c>
      <c r="O60" s="1">
        <f t="shared" si="5"/>
        <v>16.006944444444443</v>
      </c>
      <c r="P60" s="2">
        <f t="shared" si="6"/>
        <v>813.05555555555554</v>
      </c>
    </row>
    <row r="61" spans="1:16" x14ac:dyDescent="0.45">
      <c r="A61" s="12"/>
      <c r="B61" s="4">
        <v>44347</v>
      </c>
      <c r="C61" s="1">
        <v>15.75</v>
      </c>
      <c r="D61">
        <f>903-38-30</f>
        <v>835</v>
      </c>
      <c r="E61">
        <v>2</v>
      </c>
      <c r="F61" s="2">
        <v>11284</v>
      </c>
      <c r="G61" s="2">
        <f t="shared" si="2"/>
        <v>10482.25</v>
      </c>
      <c r="I61" s="1">
        <f t="shared" si="0"/>
        <v>15.1875</v>
      </c>
      <c r="J61" s="2">
        <f t="shared" si="1"/>
        <v>829.5</v>
      </c>
      <c r="L61" s="1">
        <f t="shared" si="3"/>
        <v>17.324999999999999</v>
      </c>
      <c r="M61" s="2">
        <f t="shared" si="4"/>
        <v>911.2</v>
      </c>
      <c r="O61" s="1">
        <f t="shared" si="5"/>
        <v>16.590277777777779</v>
      </c>
      <c r="P61" s="2">
        <f t="shared" si="6"/>
        <v>849.80555555555554</v>
      </c>
    </row>
    <row r="62" spans="1:16" x14ac:dyDescent="0.45">
      <c r="A62" s="12"/>
      <c r="B62" s="4">
        <v>44354</v>
      </c>
      <c r="C62" s="1">
        <v>16.66</v>
      </c>
      <c r="D62">
        <f>883-25-25</f>
        <v>833</v>
      </c>
      <c r="E62">
        <v>2</v>
      </c>
      <c r="F62" s="2">
        <v>11394</v>
      </c>
      <c r="G62" s="2">
        <f t="shared" si="2"/>
        <v>11012</v>
      </c>
      <c r="I62" s="1">
        <f t="shared" si="0"/>
        <v>15.977499999999999</v>
      </c>
      <c r="J62" s="2">
        <f t="shared" si="1"/>
        <v>849.75</v>
      </c>
      <c r="L62" s="1">
        <f t="shared" si="3"/>
        <v>16.908000000000001</v>
      </c>
      <c r="M62" s="2">
        <f t="shared" si="4"/>
        <v>899.7</v>
      </c>
      <c r="O62" s="1">
        <f t="shared" si="5"/>
        <v>17.622499999999999</v>
      </c>
      <c r="P62" s="2">
        <f t="shared" si="6"/>
        <v>907.16666666666663</v>
      </c>
    </row>
    <row r="63" spans="1:16" x14ac:dyDescent="0.45">
      <c r="A63" s="12"/>
      <c r="B63" s="4">
        <v>44361</v>
      </c>
      <c r="C63" s="1">
        <f>27.66-8</f>
        <v>19.66</v>
      </c>
      <c r="D63">
        <f>1229-20-37-200</f>
        <v>972</v>
      </c>
      <c r="E63">
        <v>2</v>
      </c>
      <c r="F63" s="2">
        <v>11315</v>
      </c>
      <c r="G63" s="2">
        <f t="shared" si="2"/>
        <v>11639.75</v>
      </c>
      <c r="I63" s="1">
        <f t="shared" si="0"/>
        <v>17.392499999999998</v>
      </c>
      <c r="J63" s="2">
        <f t="shared" si="1"/>
        <v>899.5</v>
      </c>
      <c r="L63" s="1">
        <f t="shared" si="3"/>
        <v>16.724</v>
      </c>
      <c r="M63" s="2">
        <f t="shared" si="4"/>
        <v>892.3</v>
      </c>
      <c r="O63" s="1">
        <f t="shared" si="5"/>
        <v>17.72861111111111</v>
      </c>
      <c r="P63" s="2">
        <f t="shared" si="6"/>
        <v>929.63888888888891</v>
      </c>
    </row>
    <row r="64" spans="1:16" x14ac:dyDescent="0.45">
      <c r="A64" s="12"/>
      <c r="B64" s="4">
        <v>44368</v>
      </c>
      <c r="C64" s="1">
        <v>11.5</v>
      </c>
      <c r="D64">
        <f>571-37-55</f>
        <v>479</v>
      </c>
      <c r="E64">
        <v>2</v>
      </c>
      <c r="F64" s="2">
        <v>4023</v>
      </c>
      <c r="G64" s="2">
        <f t="shared" si="2"/>
        <v>9504</v>
      </c>
      <c r="I64" s="1">
        <f t="shared" si="0"/>
        <v>15.892499999999998</v>
      </c>
      <c r="J64" s="2">
        <f t="shared" si="1"/>
        <v>779.75</v>
      </c>
      <c r="L64" s="1">
        <f t="shared" si="3"/>
        <v>16.39</v>
      </c>
      <c r="M64" s="2">
        <f t="shared" si="4"/>
        <v>862.9</v>
      </c>
      <c r="O64" s="1">
        <f t="shared" si="5"/>
        <v>17.494444444444444</v>
      </c>
      <c r="P64" s="2">
        <f t="shared" si="6"/>
        <v>935.61111111111109</v>
      </c>
    </row>
    <row r="65" spans="1:16" x14ac:dyDescent="0.45">
      <c r="A65" s="12"/>
      <c r="B65" s="4">
        <v>44375</v>
      </c>
      <c r="C65" s="1">
        <v>16.5</v>
      </c>
      <c r="D65">
        <f>846-42-29</f>
        <v>775</v>
      </c>
      <c r="E65">
        <v>2</v>
      </c>
      <c r="F65" s="2">
        <v>11144</v>
      </c>
      <c r="G65" s="2">
        <f t="shared" si="2"/>
        <v>9469</v>
      </c>
      <c r="I65" s="1">
        <f t="shared" si="0"/>
        <v>16.079999999999998</v>
      </c>
      <c r="J65" s="2">
        <f t="shared" si="1"/>
        <v>764.75</v>
      </c>
      <c r="L65" s="1">
        <f t="shared" si="3"/>
        <v>16.106000000000002</v>
      </c>
      <c r="M65" s="2">
        <f t="shared" si="4"/>
        <v>824.65</v>
      </c>
      <c r="O65" s="1">
        <f t="shared" si="5"/>
        <v>15.413055555555555</v>
      </c>
      <c r="P65" s="2">
        <f t="shared" si="6"/>
        <v>814.75</v>
      </c>
    </row>
    <row r="66" spans="1:16" x14ac:dyDescent="0.45">
      <c r="A66" s="12"/>
      <c r="B66" s="4">
        <v>44382</v>
      </c>
      <c r="C66" s="1">
        <v>13.25</v>
      </c>
      <c r="D66">
        <f>804-52-42</f>
        <v>710</v>
      </c>
      <c r="E66">
        <v>2</v>
      </c>
      <c r="F66" s="2">
        <v>8928</v>
      </c>
      <c r="G66" s="2">
        <f t="shared" si="2"/>
        <v>8852.5</v>
      </c>
      <c r="I66" s="1">
        <f t="shared" si="0"/>
        <v>15.227499999999999</v>
      </c>
      <c r="J66" s="2">
        <f t="shared" si="1"/>
        <v>734</v>
      </c>
      <c r="L66" s="1">
        <f t="shared" si="3"/>
        <v>16.113999999999997</v>
      </c>
      <c r="M66" s="2">
        <f t="shared" si="4"/>
        <v>805.55</v>
      </c>
      <c r="O66" s="1">
        <f t="shared" si="5"/>
        <v>15.880277777777779</v>
      </c>
      <c r="P66" s="2">
        <f t="shared" si="6"/>
        <v>823.61111111111109</v>
      </c>
    </row>
    <row r="67" spans="1:16" x14ac:dyDescent="0.45">
      <c r="A67" s="12"/>
      <c r="B67" s="4">
        <v>44389</v>
      </c>
      <c r="C67" s="1">
        <v>15.5</v>
      </c>
      <c r="D67">
        <f>730-42</f>
        <v>688</v>
      </c>
      <c r="E67">
        <v>1</v>
      </c>
      <c r="F67" s="2">
        <v>5278</v>
      </c>
      <c r="G67" s="2">
        <f t="shared" si="2"/>
        <v>7343.25</v>
      </c>
      <c r="I67" s="1">
        <f t="shared" si="0"/>
        <v>14.1875</v>
      </c>
      <c r="J67" s="2">
        <f t="shared" si="1"/>
        <v>663</v>
      </c>
      <c r="L67" s="1">
        <f t="shared" si="3"/>
        <v>15.756</v>
      </c>
      <c r="M67" s="2">
        <f t="shared" si="4"/>
        <v>768.2</v>
      </c>
      <c r="O67" s="1">
        <f t="shared" si="5"/>
        <v>16.278055555555554</v>
      </c>
      <c r="P67" s="2">
        <f t="shared" si="6"/>
        <v>825.44444444444446</v>
      </c>
    </row>
    <row r="68" spans="1:16" x14ac:dyDescent="0.45">
      <c r="A68" s="12"/>
      <c r="B68" s="4">
        <v>44396</v>
      </c>
      <c r="C68" s="1">
        <v>18</v>
      </c>
      <c r="D68">
        <v>894</v>
      </c>
      <c r="E68">
        <v>0</v>
      </c>
      <c r="F68" s="2">
        <v>9592</v>
      </c>
      <c r="G68" s="2">
        <f t="shared" si="2"/>
        <v>8735.5</v>
      </c>
      <c r="I68" s="1">
        <f t="shared" si="0"/>
        <v>15.8125</v>
      </c>
      <c r="J68" s="2">
        <f t="shared" si="1"/>
        <v>766.75</v>
      </c>
      <c r="L68" s="1">
        <f t="shared" si="3"/>
        <v>15.440000000000001</v>
      </c>
      <c r="M68" s="2">
        <f t="shared" si="4"/>
        <v>741.65</v>
      </c>
      <c r="O68" s="1">
        <f t="shared" si="5"/>
        <v>15.911944444444446</v>
      </c>
      <c r="P68" s="2">
        <f t="shared" si="6"/>
        <v>784.38888888888891</v>
      </c>
    </row>
    <row r="69" spans="1:16" x14ac:dyDescent="0.45">
      <c r="A69" s="12"/>
      <c r="B69" s="4">
        <v>44403</v>
      </c>
      <c r="C69" s="1">
        <v>3.5</v>
      </c>
      <c r="D69">
        <v>160</v>
      </c>
      <c r="E69">
        <v>1</v>
      </c>
      <c r="F69" s="2">
        <v>3000</v>
      </c>
      <c r="G69" s="2">
        <f t="shared" si="2"/>
        <v>6699.5</v>
      </c>
      <c r="I69" s="1">
        <f t="shared" ref="I69:I132" si="7">AVERAGE(C66:C69)</f>
        <v>12.5625</v>
      </c>
      <c r="J69" s="2">
        <f t="shared" ref="J69:J132" si="8">AVERAGE(D66:D69)</f>
        <v>613</v>
      </c>
      <c r="L69" s="1">
        <f t="shared" si="3"/>
        <v>14.774000000000001</v>
      </c>
      <c r="M69" s="2">
        <f t="shared" si="4"/>
        <v>708.3</v>
      </c>
      <c r="O69" s="1">
        <f t="shared" si="5"/>
        <v>15.594444444444443</v>
      </c>
      <c r="P69" s="2">
        <f t="shared" si="6"/>
        <v>751.91666666666663</v>
      </c>
    </row>
    <row r="70" spans="1:16" x14ac:dyDescent="0.45">
      <c r="A70" s="12"/>
      <c r="B70" s="4">
        <v>44410</v>
      </c>
      <c r="C70" s="1">
        <v>2.75</v>
      </c>
      <c r="D70">
        <v>120</v>
      </c>
      <c r="E70">
        <v>0</v>
      </c>
      <c r="F70" s="2">
        <v>2000</v>
      </c>
      <c r="G70" s="2">
        <f t="shared" ref="G70:G133" si="9">AVERAGE(F67:F70)</f>
        <v>4967.5</v>
      </c>
      <c r="I70" s="1">
        <f t="shared" si="7"/>
        <v>9.9375</v>
      </c>
      <c r="J70" s="2">
        <f t="shared" si="8"/>
        <v>465.5</v>
      </c>
      <c r="L70" s="1">
        <f t="shared" si="3"/>
        <v>13.545499999999999</v>
      </c>
      <c r="M70" s="2">
        <f t="shared" si="4"/>
        <v>648.45000000000005</v>
      </c>
      <c r="O70" s="1">
        <f t="shared" si="5"/>
        <v>14.688333333333333</v>
      </c>
      <c r="P70" s="2">
        <f t="shared" si="6"/>
        <v>700.08333333333337</v>
      </c>
    </row>
    <row r="71" spans="1:16" x14ac:dyDescent="0.45">
      <c r="A71" s="12"/>
      <c r="B71" s="4">
        <v>44417</v>
      </c>
      <c r="C71" s="1">
        <v>2.5</v>
      </c>
      <c r="D71">
        <v>125</v>
      </c>
      <c r="E71">
        <v>1</v>
      </c>
      <c r="F71" s="2">
        <v>2000</v>
      </c>
      <c r="G71" s="2">
        <f t="shared" si="9"/>
        <v>4148</v>
      </c>
      <c r="I71" s="1">
        <f t="shared" si="7"/>
        <v>6.6875</v>
      </c>
      <c r="J71" s="2">
        <f t="shared" si="8"/>
        <v>324.75</v>
      </c>
      <c r="L71" s="1">
        <f t="shared" si="3"/>
        <v>11.8375</v>
      </c>
      <c r="M71" s="2">
        <f t="shared" si="4"/>
        <v>566.6</v>
      </c>
      <c r="O71" s="1">
        <f t="shared" si="5"/>
        <v>12.638888888888889</v>
      </c>
      <c r="P71" s="2">
        <f t="shared" si="6"/>
        <v>593.83333333333337</v>
      </c>
    </row>
    <row r="72" spans="1:16" x14ac:dyDescent="0.45">
      <c r="A72" s="12"/>
      <c r="B72" s="4">
        <v>44424</v>
      </c>
      <c r="C72" s="1">
        <v>2.5</v>
      </c>
      <c r="D72">
        <v>95</v>
      </c>
      <c r="E72">
        <v>3</v>
      </c>
      <c r="F72" s="2">
        <v>2000</v>
      </c>
      <c r="G72" s="2">
        <f t="shared" si="9"/>
        <v>2250</v>
      </c>
      <c r="I72" s="1">
        <f t="shared" si="7"/>
        <v>2.8125</v>
      </c>
      <c r="J72" s="2">
        <f t="shared" si="8"/>
        <v>125</v>
      </c>
      <c r="L72" s="1">
        <f t="shared" si="3"/>
        <v>9.5625</v>
      </c>
      <c r="M72" s="2">
        <f t="shared" si="4"/>
        <v>459</v>
      </c>
      <c r="O72" s="1">
        <f t="shared" si="5"/>
        <v>12.152777777777779</v>
      </c>
      <c r="P72" s="2">
        <f t="shared" si="6"/>
        <v>586.47222222222217</v>
      </c>
    </row>
    <row r="73" spans="1:16" x14ac:dyDescent="0.45">
      <c r="A73" s="12"/>
      <c r="B73" s="4">
        <v>44431</v>
      </c>
      <c r="C73" s="1">
        <v>7</v>
      </c>
      <c r="D73">
        <v>280</v>
      </c>
      <c r="E73">
        <v>2</v>
      </c>
      <c r="F73" s="2">
        <v>5000</v>
      </c>
      <c r="G73" s="2">
        <f t="shared" si="9"/>
        <v>2750</v>
      </c>
      <c r="I73" s="1">
        <f t="shared" si="7"/>
        <v>3.6875</v>
      </c>
      <c r="J73" s="2">
        <f t="shared" si="8"/>
        <v>155</v>
      </c>
      <c r="L73" s="1">
        <f t="shared" ref="L73:L136" si="10">((C66)+(2*C67)+(3*C68)+(4*C69)+(4*C70)+(3*C71)+(2*C72)+(C73))/20</f>
        <v>7.1375000000000002</v>
      </c>
      <c r="M73" s="2">
        <f t="shared" ref="M73:M136" si="11">((D66)+(2*D67)+(3*D68)+(4*D69)+(4*D70)+(3*D71)+(2*D72)+(D73))/20</f>
        <v>336.65</v>
      </c>
      <c r="O73" s="1">
        <f t="shared" si="5"/>
        <v>10.291666666666666</v>
      </c>
      <c r="P73" s="2">
        <f t="shared" si="6"/>
        <v>499.58333333333331</v>
      </c>
    </row>
    <row r="74" spans="1:16" x14ac:dyDescent="0.45">
      <c r="A74" s="12"/>
      <c r="B74" s="4">
        <v>44438</v>
      </c>
      <c r="C74" s="1">
        <v>14.66</v>
      </c>
      <c r="D74">
        <f>795-48-10-37-41-29</f>
        <v>630</v>
      </c>
      <c r="E74">
        <v>2</v>
      </c>
      <c r="F74" s="2">
        <v>4356</v>
      </c>
      <c r="G74" s="2">
        <f t="shared" si="9"/>
        <v>3339</v>
      </c>
      <c r="I74" s="1">
        <f t="shared" si="7"/>
        <v>6.665</v>
      </c>
      <c r="J74" s="2">
        <f t="shared" si="8"/>
        <v>282.5</v>
      </c>
      <c r="L74" s="1">
        <f t="shared" si="10"/>
        <v>5.9580000000000002</v>
      </c>
      <c r="M74" s="2">
        <f t="shared" si="11"/>
        <v>270.55</v>
      </c>
      <c r="O74" s="1">
        <f t="shared" si="5"/>
        <v>9.1919444444444434</v>
      </c>
      <c r="P74" s="2">
        <f t="shared" si="6"/>
        <v>424.91666666666669</v>
      </c>
    </row>
    <row r="75" spans="1:16" x14ac:dyDescent="0.45">
      <c r="A75" s="12"/>
      <c r="B75" s="4">
        <v>44445</v>
      </c>
      <c r="C75" s="1">
        <v>15.5</v>
      </c>
      <c r="D75">
        <f>753-58-43</f>
        <v>652</v>
      </c>
      <c r="E75">
        <v>2</v>
      </c>
      <c r="F75" s="2">
        <v>1520</v>
      </c>
      <c r="G75" s="2">
        <f t="shared" si="9"/>
        <v>3219</v>
      </c>
      <c r="I75" s="1">
        <f t="shared" si="7"/>
        <v>9.9149999999999991</v>
      </c>
      <c r="J75" s="2">
        <f t="shared" si="8"/>
        <v>414.25</v>
      </c>
      <c r="L75" s="1">
        <f t="shared" si="10"/>
        <v>5.9535</v>
      </c>
      <c r="M75" s="2">
        <f t="shared" si="11"/>
        <v>260.3</v>
      </c>
      <c r="O75" s="1">
        <f t="shared" si="5"/>
        <v>7.5922222222222224</v>
      </c>
      <c r="P75" s="2">
        <f t="shared" si="6"/>
        <v>354.13888888888891</v>
      </c>
    </row>
    <row r="76" spans="1:16" x14ac:dyDescent="0.45">
      <c r="A76" s="12"/>
      <c r="B76" s="4">
        <v>44452</v>
      </c>
      <c r="C76" s="1">
        <v>15.75</v>
      </c>
      <c r="D76">
        <f>704-37-43</f>
        <v>624</v>
      </c>
      <c r="E76">
        <v>2</v>
      </c>
      <c r="F76" s="2">
        <v>10000</v>
      </c>
      <c r="G76" s="2">
        <f t="shared" si="9"/>
        <v>5219</v>
      </c>
      <c r="I76" s="1">
        <f t="shared" si="7"/>
        <v>13.227499999999999</v>
      </c>
      <c r="J76" s="2">
        <f t="shared" si="8"/>
        <v>546.5</v>
      </c>
      <c r="L76" s="1">
        <f t="shared" si="10"/>
        <v>7.2615000000000007</v>
      </c>
      <c r="M76" s="2">
        <f t="shared" si="11"/>
        <v>304.64999999999998</v>
      </c>
      <c r="O76" s="1">
        <f t="shared" si="5"/>
        <v>5.3744444444444452</v>
      </c>
      <c r="P76" s="2">
        <f t="shared" si="6"/>
        <v>230.08333333333334</v>
      </c>
    </row>
    <row r="77" spans="1:16" x14ac:dyDescent="0.45">
      <c r="A77" s="12"/>
      <c r="B77" s="4">
        <v>44459</v>
      </c>
      <c r="C77" s="1">
        <v>27.75</v>
      </c>
      <c r="D77">
        <f>1266-47</f>
        <v>1219</v>
      </c>
      <c r="E77">
        <v>1</v>
      </c>
      <c r="F77" s="2">
        <v>15673</v>
      </c>
      <c r="G77" s="2">
        <f t="shared" si="9"/>
        <v>7887.25</v>
      </c>
      <c r="I77" s="1">
        <f t="shared" si="7"/>
        <v>18.414999999999999</v>
      </c>
      <c r="J77" s="2">
        <f t="shared" si="8"/>
        <v>781.25</v>
      </c>
      <c r="L77" s="1">
        <f t="shared" si="10"/>
        <v>10.382</v>
      </c>
      <c r="M77" s="2">
        <f t="shared" si="11"/>
        <v>435.9</v>
      </c>
      <c r="O77" s="1">
        <f t="shared" ref="O77:O140" si="12">((C77)+(C76*2)+(C75*3)+(C74*4)+(C73*5)+(C72*6)+(C71*7)+(C70*8))/36</f>
        <v>7.0524999999999993</v>
      </c>
      <c r="P77" s="2">
        <f t="shared" ref="P77:P140" si="13">((D77)+(D76*2)+(D75*3)+(D74*4)+(D73*5)+(D72*6)+(D71*7)+(D70*8))/36</f>
        <v>298.55555555555554</v>
      </c>
    </row>
    <row r="78" spans="1:16" x14ac:dyDescent="0.45">
      <c r="A78" s="12"/>
      <c r="B78" s="4">
        <v>44466</v>
      </c>
      <c r="C78" s="1">
        <v>11.5</v>
      </c>
      <c r="D78">
        <v>508</v>
      </c>
      <c r="E78">
        <v>0</v>
      </c>
      <c r="F78" s="2">
        <v>2781</v>
      </c>
      <c r="G78" s="2">
        <f t="shared" si="9"/>
        <v>7493.5</v>
      </c>
      <c r="I78" s="1">
        <f t="shared" si="7"/>
        <v>17.625</v>
      </c>
      <c r="J78" s="2">
        <f t="shared" si="8"/>
        <v>750.75</v>
      </c>
      <c r="L78" s="1">
        <f t="shared" si="10"/>
        <v>13.169499999999999</v>
      </c>
      <c r="M78" s="2">
        <f t="shared" si="11"/>
        <v>555.04999999999995</v>
      </c>
      <c r="O78" s="1">
        <f t="shared" si="12"/>
        <v>9.1402777777777775</v>
      </c>
      <c r="P78" s="2">
        <f t="shared" si="13"/>
        <v>386.69444444444446</v>
      </c>
    </row>
    <row r="79" spans="1:16" x14ac:dyDescent="0.45">
      <c r="A79" s="12"/>
      <c r="B79" s="4">
        <v>44473</v>
      </c>
      <c r="C79" s="1">
        <v>14</v>
      </c>
      <c r="D79">
        <f>696-32-28</f>
        <v>636</v>
      </c>
      <c r="E79">
        <v>2</v>
      </c>
      <c r="F79" s="2">
        <v>9271</v>
      </c>
      <c r="G79" s="2">
        <f t="shared" si="9"/>
        <v>9431.25</v>
      </c>
      <c r="I79" s="1">
        <f t="shared" si="7"/>
        <v>17.25</v>
      </c>
      <c r="J79" s="2">
        <f t="shared" si="8"/>
        <v>746.75</v>
      </c>
      <c r="L79" s="1">
        <f t="shared" si="10"/>
        <v>15.2865</v>
      </c>
      <c r="M79" s="2">
        <f t="shared" si="11"/>
        <v>647.9</v>
      </c>
      <c r="O79" s="1">
        <f t="shared" si="12"/>
        <v>11.603055555555557</v>
      </c>
      <c r="P79" s="2">
        <f t="shared" si="13"/>
        <v>487.91666666666669</v>
      </c>
    </row>
    <row r="80" spans="1:16" x14ac:dyDescent="0.45">
      <c r="A80" s="12"/>
      <c r="B80" s="4">
        <v>44480</v>
      </c>
      <c r="C80" s="1">
        <v>14.5</v>
      </c>
      <c r="D80">
        <f>733-24-43</f>
        <v>666</v>
      </c>
      <c r="E80">
        <v>2</v>
      </c>
      <c r="F80" s="2">
        <v>9061</v>
      </c>
      <c r="G80" s="2">
        <f t="shared" si="9"/>
        <v>9196.5</v>
      </c>
      <c r="I80" s="1">
        <f t="shared" si="7"/>
        <v>16.9375</v>
      </c>
      <c r="J80" s="2">
        <f t="shared" si="8"/>
        <v>757.25</v>
      </c>
      <c r="L80" s="1">
        <f t="shared" si="10"/>
        <v>16.690999999999999</v>
      </c>
      <c r="M80" s="2">
        <f t="shared" si="11"/>
        <v>716.5</v>
      </c>
      <c r="O80" s="1">
        <f t="shared" si="12"/>
        <v>14.399166666666666</v>
      </c>
      <c r="P80" s="2">
        <f t="shared" si="13"/>
        <v>611.66666666666663</v>
      </c>
    </row>
    <row r="81" spans="1:16" x14ac:dyDescent="0.45">
      <c r="A81" s="12"/>
      <c r="B81" s="4">
        <v>44487</v>
      </c>
      <c r="C81" s="1">
        <v>20</v>
      </c>
      <c r="D81">
        <f>1102-39-31</f>
        <v>1032</v>
      </c>
      <c r="E81">
        <v>2</v>
      </c>
      <c r="F81" s="2">
        <v>11799</v>
      </c>
      <c r="G81" s="2">
        <f t="shared" si="9"/>
        <v>8228</v>
      </c>
      <c r="I81" s="1">
        <f t="shared" si="7"/>
        <v>15</v>
      </c>
      <c r="J81" s="2">
        <f t="shared" si="8"/>
        <v>710.5</v>
      </c>
      <c r="L81" s="1">
        <f t="shared" si="10"/>
        <v>17.045499999999997</v>
      </c>
      <c r="M81" s="2">
        <f t="shared" si="11"/>
        <v>749.3</v>
      </c>
      <c r="O81" s="1">
        <f t="shared" si="12"/>
        <v>16.55638888888889</v>
      </c>
      <c r="P81" s="2">
        <f t="shared" si="13"/>
        <v>715.19444444444446</v>
      </c>
    </row>
    <row r="82" spans="1:16" x14ac:dyDescent="0.45">
      <c r="A82" s="12"/>
      <c r="B82" s="4">
        <v>44494</v>
      </c>
      <c r="C82" s="1">
        <v>11.33</v>
      </c>
      <c r="D82">
        <v>540</v>
      </c>
      <c r="E82">
        <v>0</v>
      </c>
      <c r="F82" s="2">
        <v>6311</v>
      </c>
      <c r="G82" s="2">
        <f t="shared" si="9"/>
        <v>9110.5</v>
      </c>
      <c r="I82" s="1">
        <f t="shared" si="7"/>
        <v>14.9575</v>
      </c>
      <c r="J82" s="2">
        <f t="shared" si="8"/>
        <v>718.5</v>
      </c>
      <c r="L82" s="1">
        <f t="shared" si="10"/>
        <v>16.353999999999999</v>
      </c>
      <c r="M82" s="2">
        <f t="shared" si="11"/>
        <v>736.75</v>
      </c>
      <c r="O82" s="1">
        <f t="shared" si="12"/>
        <v>16.918888888888887</v>
      </c>
      <c r="P82" s="2">
        <f t="shared" si="13"/>
        <v>738.44444444444446</v>
      </c>
    </row>
    <row r="83" spans="1:16" x14ac:dyDescent="0.45">
      <c r="A83" s="12" t="s">
        <v>88</v>
      </c>
      <c r="B83" s="4">
        <v>44501</v>
      </c>
      <c r="C83" s="1">
        <v>23</v>
      </c>
      <c r="D83">
        <v>1431</v>
      </c>
      <c r="E83">
        <v>0</v>
      </c>
      <c r="F83" s="2">
        <v>17711</v>
      </c>
      <c r="G83" s="2">
        <f t="shared" si="9"/>
        <v>11220.5</v>
      </c>
      <c r="I83" s="1">
        <f t="shared" si="7"/>
        <v>17.2075</v>
      </c>
      <c r="J83" s="2">
        <f t="shared" si="8"/>
        <v>917.25</v>
      </c>
      <c r="L83" s="1">
        <f t="shared" si="10"/>
        <v>16.270500000000002</v>
      </c>
      <c r="M83" s="2">
        <f t="shared" si="11"/>
        <v>770.05</v>
      </c>
      <c r="O83" s="1">
        <f t="shared" si="12"/>
        <v>17.303055555555556</v>
      </c>
      <c r="P83" s="2">
        <f t="shared" si="13"/>
        <v>778.44444444444446</v>
      </c>
    </row>
    <row r="84" spans="1:16" x14ac:dyDescent="0.45">
      <c r="A84" s="12"/>
      <c r="B84" s="4">
        <v>44508</v>
      </c>
      <c r="C84" s="1">
        <v>5</v>
      </c>
      <c r="D84">
        <f>227-33-18-29</f>
        <v>147</v>
      </c>
      <c r="E84">
        <v>2</v>
      </c>
      <c r="F84" s="2">
        <v>3500</v>
      </c>
      <c r="G84" s="2">
        <f t="shared" si="9"/>
        <v>9830.25</v>
      </c>
      <c r="I84" s="1">
        <f t="shared" si="7"/>
        <v>14.8325</v>
      </c>
      <c r="J84" s="2">
        <f t="shared" si="8"/>
        <v>787.5</v>
      </c>
      <c r="L84" s="1">
        <f t="shared" si="10"/>
        <v>15.787000000000001</v>
      </c>
      <c r="M84" s="2">
        <f t="shared" si="11"/>
        <v>778.2</v>
      </c>
      <c r="O84" s="1">
        <f t="shared" si="12"/>
        <v>17.333055555555557</v>
      </c>
      <c r="P84" s="2">
        <f t="shared" si="13"/>
        <v>811.41666666666663</v>
      </c>
    </row>
    <row r="85" spans="1:16" x14ac:dyDescent="0.45">
      <c r="A85" s="12"/>
      <c r="B85" s="4">
        <v>44515</v>
      </c>
      <c r="C85" s="1">
        <v>10.5</v>
      </c>
      <c r="D85">
        <f>520-54-24-33</f>
        <v>409</v>
      </c>
      <c r="E85">
        <v>2</v>
      </c>
      <c r="F85" s="2">
        <v>7000</v>
      </c>
      <c r="G85" s="2">
        <f t="shared" si="9"/>
        <v>8630.5</v>
      </c>
      <c r="I85" s="1">
        <f t="shared" si="7"/>
        <v>12.4575</v>
      </c>
      <c r="J85" s="2">
        <f t="shared" si="8"/>
        <v>631.75</v>
      </c>
      <c r="L85" s="1">
        <f t="shared" si="10"/>
        <v>14.891</v>
      </c>
      <c r="M85" s="2">
        <f t="shared" si="11"/>
        <v>753.1</v>
      </c>
      <c r="O85" s="1">
        <f t="shared" si="12"/>
        <v>14.217222222222222</v>
      </c>
      <c r="P85" s="2">
        <f t="shared" si="13"/>
        <v>689.66666666666663</v>
      </c>
    </row>
    <row r="86" spans="1:16" x14ac:dyDescent="0.45">
      <c r="A86" s="12"/>
      <c r="B86" s="4">
        <v>44522</v>
      </c>
      <c r="C86" s="1">
        <v>19</v>
      </c>
      <c r="D86">
        <f>920-21-41</f>
        <v>858</v>
      </c>
      <c r="E86">
        <v>2</v>
      </c>
      <c r="F86" s="2">
        <v>10486</v>
      </c>
      <c r="G86" s="2">
        <f t="shared" si="9"/>
        <v>9674.25</v>
      </c>
      <c r="I86" s="1">
        <f t="shared" si="7"/>
        <v>14.375</v>
      </c>
      <c r="J86" s="2">
        <f t="shared" si="8"/>
        <v>711.25</v>
      </c>
      <c r="L86" s="1">
        <f t="shared" si="10"/>
        <v>14.766</v>
      </c>
      <c r="M86" s="2">
        <f t="shared" si="11"/>
        <v>753.25</v>
      </c>
      <c r="O86" s="1">
        <f t="shared" si="12"/>
        <v>14.920833333333333</v>
      </c>
      <c r="P86" s="2">
        <f t="shared" si="13"/>
        <v>735.63888888888891</v>
      </c>
    </row>
    <row r="87" spans="1:16" x14ac:dyDescent="0.45">
      <c r="A87" s="12"/>
      <c r="B87" s="4">
        <v>44529</v>
      </c>
      <c r="C87" s="1">
        <v>11</v>
      </c>
      <c r="D87">
        <f>569-43-32</f>
        <v>494</v>
      </c>
      <c r="E87">
        <v>2</v>
      </c>
      <c r="F87" s="2">
        <v>5310</v>
      </c>
      <c r="G87" s="2">
        <f t="shared" si="9"/>
        <v>6574</v>
      </c>
      <c r="I87" s="1">
        <f t="shared" si="7"/>
        <v>11.375</v>
      </c>
      <c r="J87" s="2">
        <f t="shared" si="8"/>
        <v>477</v>
      </c>
      <c r="L87" s="1">
        <f t="shared" si="10"/>
        <v>14.0495</v>
      </c>
      <c r="M87" s="2">
        <f t="shared" si="11"/>
        <v>704.95</v>
      </c>
      <c r="O87" s="1">
        <f t="shared" si="12"/>
        <v>14.985555555555557</v>
      </c>
      <c r="P87" s="2">
        <f t="shared" si="13"/>
        <v>749.22222222222217</v>
      </c>
    </row>
    <row r="88" spans="1:16" x14ac:dyDescent="0.45">
      <c r="A88" s="12"/>
      <c r="B88" s="4">
        <v>44536</v>
      </c>
      <c r="C88" s="1">
        <v>18.5</v>
      </c>
      <c r="D88">
        <v>722</v>
      </c>
      <c r="E88">
        <v>0</v>
      </c>
      <c r="F88" s="2">
        <v>8926</v>
      </c>
      <c r="G88" s="2">
        <f t="shared" si="9"/>
        <v>7930.5</v>
      </c>
      <c r="I88" s="1">
        <f t="shared" si="7"/>
        <v>14.75</v>
      </c>
      <c r="J88" s="2">
        <f t="shared" si="8"/>
        <v>620.75</v>
      </c>
      <c r="L88" s="1">
        <f t="shared" si="10"/>
        <v>13.557999999999998</v>
      </c>
      <c r="M88" s="2">
        <f t="shared" si="11"/>
        <v>645.65</v>
      </c>
      <c r="O88" s="1">
        <f t="shared" si="12"/>
        <v>15.050277777777776</v>
      </c>
      <c r="P88" s="2">
        <f t="shared" si="13"/>
        <v>757.69444444444446</v>
      </c>
    </row>
    <row r="89" spans="1:16" x14ac:dyDescent="0.45">
      <c r="A89" s="12"/>
      <c r="B89" s="4">
        <v>44543</v>
      </c>
      <c r="C89" s="1">
        <v>13</v>
      </c>
      <c r="D89">
        <v>543</v>
      </c>
      <c r="E89">
        <v>0</v>
      </c>
      <c r="F89" s="2">
        <v>5748</v>
      </c>
      <c r="G89" s="2">
        <f t="shared" si="9"/>
        <v>7617.5</v>
      </c>
      <c r="I89" s="1">
        <f t="shared" si="7"/>
        <v>15.375</v>
      </c>
      <c r="J89" s="2">
        <f t="shared" si="8"/>
        <v>654.25</v>
      </c>
      <c r="L89" s="1">
        <f t="shared" si="10"/>
        <v>13.666499999999999</v>
      </c>
      <c r="M89" s="2">
        <f t="shared" si="11"/>
        <v>619</v>
      </c>
      <c r="O89" s="1">
        <f t="shared" si="12"/>
        <v>13.698333333333332</v>
      </c>
      <c r="P89" s="2">
        <f t="shared" si="13"/>
        <v>671.25</v>
      </c>
    </row>
    <row r="90" spans="1:16" x14ac:dyDescent="0.45">
      <c r="A90" s="12"/>
      <c r="B90" s="4">
        <v>44550</v>
      </c>
      <c r="C90" s="1">
        <v>15.5</v>
      </c>
      <c r="D90">
        <f>808-20</f>
        <v>788</v>
      </c>
      <c r="E90">
        <v>1</v>
      </c>
      <c r="F90" s="2">
        <v>11040</v>
      </c>
      <c r="G90" s="2">
        <f t="shared" si="9"/>
        <v>7756</v>
      </c>
      <c r="I90" s="1">
        <f t="shared" si="7"/>
        <v>14.5</v>
      </c>
      <c r="J90" s="2">
        <f t="shared" si="8"/>
        <v>636.75</v>
      </c>
      <c r="L90" s="1">
        <f t="shared" si="10"/>
        <v>14.074999999999999</v>
      </c>
      <c r="M90" s="2">
        <f t="shared" si="11"/>
        <v>620</v>
      </c>
      <c r="O90" s="1">
        <f t="shared" si="12"/>
        <v>14.388888888888889</v>
      </c>
      <c r="P90" s="2">
        <f t="shared" si="13"/>
        <v>701.02777777777783</v>
      </c>
    </row>
    <row r="91" spans="1:16" x14ac:dyDescent="0.45">
      <c r="A91" s="12"/>
      <c r="B91" s="4">
        <v>44557</v>
      </c>
      <c r="C91" s="1">
        <v>13.75</v>
      </c>
      <c r="D91">
        <v>724</v>
      </c>
      <c r="E91">
        <v>0</v>
      </c>
      <c r="F91" s="2">
        <v>10250</v>
      </c>
      <c r="G91" s="2">
        <f t="shared" si="9"/>
        <v>8991</v>
      </c>
      <c r="I91" s="1">
        <f t="shared" si="7"/>
        <v>15.1875</v>
      </c>
      <c r="J91" s="2">
        <f t="shared" si="8"/>
        <v>694.25</v>
      </c>
      <c r="L91" s="1">
        <f t="shared" si="10"/>
        <v>14.237500000000001</v>
      </c>
      <c r="M91" s="2">
        <f t="shared" si="11"/>
        <v>616.6</v>
      </c>
      <c r="O91" s="1">
        <f t="shared" si="12"/>
        <v>12.229166666666666</v>
      </c>
      <c r="P91" s="2">
        <f t="shared" si="13"/>
        <v>513.16666666666663</v>
      </c>
    </row>
    <row r="92" spans="1:16" x14ac:dyDescent="0.45">
      <c r="A92" s="12" t="s">
        <v>29</v>
      </c>
      <c r="B92" s="4">
        <v>44564</v>
      </c>
      <c r="C92" s="1">
        <v>18.75</v>
      </c>
      <c r="D92">
        <v>1160</v>
      </c>
      <c r="E92">
        <v>0</v>
      </c>
      <c r="F92" s="2">
        <v>13641</v>
      </c>
      <c r="G92" s="2">
        <f t="shared" si="9"/>
        <v>10169.75</v>
      </c>
      <c r="I92" s="1">
        <f t="shared" si="7"/>
        <v>15.25</v>
      </c>
      <c r="J92" s="2">
        <f t="shared" si="8"/>
        <v>803.75</v>
      </c>
      <c r="L92" s="1">
        <f t="shared" si="10"/>
        <v>15.012499999999999</v>
      </c>
      <c r="M92" s="2">
        <f t="shared" si="11"/>
        <v>681.95</v>
      </c>
      <c r="O92" s="1">
        <f t="shared" si="12"/>
        <v>14.451388888888889</v>
      </c>
      <c r="P92" s="2">
        <f t="shared" si="13"/>
        <v>638.77777777777783</v>
      </c>
    </row>
    <row r="93" spans="1:16" x14ac:dyDescent="0.45">
      <c r="A93" s="12"/>
      <c r="B93" s="4">
        <v>44571</v>
      </c>
      <c r="C93" s="1">
        <v>12.5</v>
      </c>
      <c r="D93">
        <f>587-18</f>
        <v>569</v>
      </c>
      <c r="E93">
        <v>1</v>
      </c>
      <c r="F93" s="2">
        <v>6185</v>
      </c>
      <c r="G93" s="2">
        <f t="shared" si="9"/>
        <v>10279</v>
      </c>
      <c r="I93" s="1">
        <f t="shared" si="7"/>
        <v>15.125</v>
      </c>
      <c r="J93" s="2">
        <f t="shared" si="8"/>
        <v>810.25</v>
      </c>
      <c r="L93" s="1">
        <f t="shared" si="10"/>
        <v>15.0875</v>
      </c>
      <c r="M93" s="2">
        <f t="shared" si="11"/>
        <v>719.85</v>
      </c>
      <c r="O93" s="1">
        <f t="shared" si="12"/>
        <v>15.506944444444445</v>
      </c>
      <c r="P93" s="2">
        <f t="shared" si="13"/>
        <v>710.61111111111109</v>
      </c>
    </row>
    <row r="94" spans="1:16" x14ac:dyDescent="0.45">
      <c r="A94" s="12"/>
      <c r="B94" s="4">
        <v>44578</v>
      </c>
      <c r="C94" s="1">
        <v>13.66</v>
      </c>
      <c r="D94">
        <v>593</v>
      </c>
      <c r="E94">
        <v>0</v>
      </c>
      <c r="F94" s="2">
        <v>8657</v>
      </c>
      <c r="G94" s="2">
        <f t="shared" si="9"/>
        <v>9683.25</v>
      </c>
      <c r="I94" s="1">
        <f t="shared" si="7"/>
        <v>14.664999999999999</v>
      </c>
      <c r="J94" s="2">
        <f t="shared" si="8"/>
        <v>761.5</v>
      </c>
      <c r="L94" s="1">
        <f t="shared" si="10"/>
        <v>14.945500000000001</v>
      </c>
      <c r="M94" s="2">
        <f t="shared" si="11"/>
        <v>741.3</v>
      </c>
      <c r="O94" s="1">
        <f t="shared" si="12"/>
        <v>14.525277777777777</v>
      </c>
      <c r="P94" s="2">
        <f t="shared" si="13"/>
        <v>675.30555555555554</v>
      </c>
    </row>
    <row r="95" spans="1:16" x14ac:dyDescent="0.45">
      <c r="A95" s="12"/>
      <c r="B95" s="4">
        <v>44585</v>
      </c>
      <c r="C95" s="1">
        <v>19</v>
      </c>
      <c r="D95">
        <f>964-10-22</f>
        <v>932</v>
      </c>
      <c r="E95">
        <v>2</v>
      </c>
      <c r="F95" s="2">
        <v>13887</v>
      </c>
      <c r="G95" s="2">
        <f t="shared" si="9"/>
        <v>10592.5</v>
      </c>
      <c r="I95" s="1">
        <f t="shared" si="7"/>
        <v>15.977499999999999</v>
      </c>
      <c r="J95" s="2">
        <f t="shared" si="8"/>
        <v>813.5</v>
      </c>
      <c r="L95" s="1">
        <f t="shared" si="10"/>
        <v>15.241</v>
      </c>
      <c r="M95" s="2">
        <f t="shared" si="11"/>
        <v>776.65</v>
      </c>
      <c r="O95" s="1">
        <f t="shared" si="12"/>
        <v>15.54361111111111</v>
      </c>
      <c r="P95" s="2">
        <f t="shared" si="13"/>
        <v>733.05555555555554</v>
      </c>
    </row>
    <row r="96" spans="1:16" x14ac:dyDescent="0.45">
      <c r="A96" s="12"/>
      <c r="B96" s="4">
        <v>44592</v>
      </c>
      <c r="C96" s="1">
        <v>12.5</v>
      </c>
      <c r="D96">
        <f>620-19</f>
        <v>601</v>
      </c>
      <c r="E96">
        <v>1</v>
      </c>
      <c r="F96" s="2">
        <v>8492</v>
      </c>
      <c r="G96" s="2">
        <f t="shared" si="9"/>
        <v>9305.25</v>
      </c>
      <c r="I96" s="1">
        <f t="shared" si="7"/>
        <v>14.414999999999999</v>
      </c>
      <c r="J96" s="2">
        <f t="shared" si="8"/>
        <v>673.75</v>
      </c>
      <c r="L96" s="1">
        <f t="shared" si="10"/>
        <v>15.086500000000001</v>
      </c>
      <c r="M96" s="2">
        <f t="shared" si="11"/>
        <v>772.55</v>
      </c>
      <c r="O96" s="1">
        <f t="shared" si="12"/>
        <v>14.728611111111112</v>
      </c>
      <c r="P96" s="2">
        <f t="shared" si="13"/>
        <v>736.77777777777783</v>
      </c>
    </row>
    <row r="97" spans="1:16" x14ac:dyDescent="0.45">
      <c r="A97" s="12"/>
      <c r="B97" s="4">
        <v>44599</v>
      </c>
      <c r="C97" s="1">
        <v>10.66</v>
      </c>
      <c r="D97">
        <v>606</v>
      </c>
      <c r="E97">
        <v>0</v>
      </c>
      <c r="F97" s="2">
        <v>7861</v>
      </c>
      <c r="G97" s="2">
        <f t="shared" si="9"/>
        <v>9724.25</v>
      </c>
      <c r="I97" s="1">
        <f t="shared" si="7"/>
        <v>13.954999999999998</v>
      </c>
      <c r="J97" s="2">
        <f t="shared" si="8"/>
        <v>683</v>
      </c>
      <c r="L97" s="1">
        <f t="shared" si="10"/>
        <v>14.827500000000001</v>
      </c>
      <c r="M97" s="2">
        <f t="shared" si="11"/>
        <v>748.4</v>
      </c>
      <c r="O97" s="1">
        <f t="shared" si="12"/>
        <v>15.070833333333333</v>
      </c>
      <c r="P97" s="2">
        <f t="shared" si="13"/>
        <v>782.02777777777783</v>
      </c>
    </row>
    <row r="98" spans="1:16" x14ac:dyDescent="0.45">
      <c r="A98" s="12"/>
      <c r="B98" s="4">
        <v>44606</v>
      </c>
      <c r="C98" s="1">
        <v>10.5</v>
      </c>
      <c r="D98">
        <f>474-26</f>
        <v>448</v>
      </c>
      <c r="E98">
        <v>1</v>
      </c>
      <c r="F98" s="2">
        <v>6408</v>
      </c>
      <c r="G98" s="2">
        <f t="shared" si="9"/>
        <v>9162</v>
      </c>
      <c r="I98" s="1">
        <f t="shared" si="7"/>
        <v>13.164999999999999</v>
      </c>
      <c r="J98" s="2">
        <f t="shared" si="8"/>
        <v>646.75</v>
      </c>
      <c r="L98" s="1">
        <f t="shared" si="10"/>
        <v>14.435499999999999</v>
      </c>
      <c r="M98" s="2">
        <f t="shared" si="11"/>
        <v>715.7</v>
      </c>
      <c r="O98" s="1">
        <f t="shared" si="12"/>
        <v>14.718611111111111</v>
      </c>
      <c r="P98" s="2">
        <f t="shared" si="13"/>
        <v>763.38888888888891</v>
      </c>
    </row>
    <row r="99" spans="1:16" x14ac:dyDescent="0.45">
      <c r="A99" s="12"/>
      <c r="B99" s="4">
        <v>44613</v>
      </c>
      <c r="C99" s="1">
        <v>21</v>
      </c>
      <c r="D99">
        <f>1073-25-37</f>
        <v>1011</v>
      </c>
      <c r="E99">
        <v>2</v>
      </c>
      <c r="F99" s="2">
        <v>12875</v>
      </c>
      <c r="G99" s="2">
        <f t="shared" si="9"/>
        <v>8909</v>
      </c>
      <c r="I99" s="1">
        <f t="shared" si="7"/>
        <v>13.664999999999999</v>
      </c>
      <c r="J99" s="2">
        <f t="shared" si="8"/>
        <v>666.5</v>
      </c>
      <c r="L99" s="1">
        <f t="shared" si="10"/>
        <v>14.235500000000002</v>
      </c>
      <c r="M99" s="2">
        <f t="shared" si="11"/>
        <v>696.7</v>
      </c>
      <c r="O99" s="1">
        <f t="shared" si="12"/>
        <v>14.956666666666669</v>
      </c>
      <c r="P99" s="2">
        <f t="shared" si="13"/>
        <v>766.94444444444446</v>
      </c>
    </row>
    <row r="100" spans="1:16" x14ac:dyDescent="0.45">
      <c r="A100" s="12"/>
      <c r="B100" s="4">
        <v>44620</v>
      </c>
      <c r="C100" s="1">
        <v>19.25</v>
      </c>
      <c r="D100">
        <f>1062-32</f>
        <v>1030</v>
      </c>
      <c r="E100">
        <v>1</v>
      </c>
      <c r="F100" s="2">
        <v>11865</v>
      </c>
      <c r="G100" s="2">
        <f t="shared" si="9"/>
        <v>9752.25</v>
      </c>
      <c r="I100" s="1">
        <f t="shared" si="7"/>
        <v>15.352499999999999</v>
      </c>
      <c r="J100" s="2">
        <f t="shared" si="8"/>
        <v>773.75</v>
      </c>
      <c r="L100" s="1">
        <f t="shared" si="10"/>
        <v>14.110499999999998</v>
      </c>
      <c r="M100" s="2">
        <f t="shared" si="11"/>
        <v>688.75</v>
      </c>
      <c r="O100" s="1">
        <f t="shared" si="12"/>
        <v>14.0975</v>
      </c>
      <c r="P100" s="2">
        <f t="shared" si="13"/>
        <v>670</v>
      </c>
    </row>
    <row r="101" spans="1:16" x14ac:dyDescent="0.45">
      <c r="A101" s="12"/>
      <c r="B101" s="4">
        <v>44627</v>
      </c>
      <c r="C101" s="1">
        <v>12.5</v>
      </c>
      <c r="D101">
        <v>496</v>
      </c>
      <c r="E101">
        <v>0</v>
      </c>
      <c r="F101" s="2">
        <v>6711</v>
      </c>
      <c r="G101" s="2">
        <f t="shared" si="9"/>
        <v>9464.75</v>
      </c>
      <c r="I101" s="1">
        <f t="shared" si="7"/>
        <v>15.8125</v>
      </c>
      <c r="J101" s="2">
        <f t="shared" si="8"/>
        <v>746.25</v>
      </c>
      <c r="L101" s="1">
        <f t="shared" si="10"/>
        <v>14.39</v>
      </c>
      <c r="M101" s="2">
        <f t="shared" si="11"/>
        <v>703.25</v>
      </c>
      <c r="O101" s="1">
        <f t="shared" si="12"/>
        <v>14.627222222222223</v>
      </c>
      <c r="P101" s="2">
        <f t="shared" si="13"/>
        <v>702.36111111111109</v>
      </c>
    </row>
    <row r="102" spans="1:16" x14ac:dyDescent="0.45">
      <c r="A102" s="12" t="s">
        <v>89</v>
      </c>
      <c r="B102" s="4">
        <v>44634</v>
      </c>
      <c r="C102" s="1">
        <v>11.75</v>
      </c>
      <c r="D102">
        <v>556</v>
      </c>
      <c r="E102">
        <v>0</v>
      </c>
      <c r="F102" s="2">
        <v>6830</v>
      </c>
      <c r="G102" s="2">
        <f t="shared" si="9"/>
        <v>9570.25</v>
      </c>
      <c r="I102" s="1">
        <f t="shared" si="7"/>
        <v>16.125</v>
      </c>
      <c r="J102" s="2">
        <f t="shared" si="8"/>
        <v>773.25</v>
      </c>
      <c r="L102" s="1">
        <f t="shared" si="10"/>
        <v>14.824000000000002</v>
      </c>
      <c r="M102" s="2">
        <f t="shared" si="11"/>
        <v>721.3</v>
      </c>
      <c r="O102" s="1">
        <f t="shared" si="12"/>
        <v>14.846111111111112</v>
      </c>
      <c r="P102" s="2">
        <f t="shared" si="13"/>
        <v>728.36111111111109</v>
      </c>
    </row>
    <row r="103" spans="1:16" x14ac:dyDescent="0.45">
      <c r="A103" s="12"/>
      <c r="B103" s="4">
        <v>44641</v>
      </c>
      <c r="C103" s="1">
        <v>15</v>
      </c>
      <c r="D103">
        <f>652-15-15</f>
        <v>622</v>
      </c>
      <c r="E103">
        <v>1</v>
      </c>
      <c r="F103" s="2">
        <v>8649</v>
      </c>
      <c r="G103" s="2">
        <f t="shared" si="9"/>
        <v>8513.75</v>
      </c>
      <c r="I103" s="1">
        <f t="shared" si="7"/>
        <v>14.625</v>
      </c>
      <c r="J103" s="2">
        <f t="shared" si="8"/>
        <v>676</v>
      </c>
      <c r="L103" s="1">
        <f t="shared" si="10"/>
        <v>15.116</v>
      </c>
      <c r="M103" s="2">
        <f t="shared" si="11"/>
        <v>727.15</v>
      </c>
      <c r="O103" s="1">
        <f t="shared" si="12"/>
        <v>13.767222222222223</v>
      </c>
      <c r="P103" s="2">
        <f t="shared" si="13"/>
        <v>670.41666666666663</v>
      </c>
    </row>
    <row r="104" spans="1:16" x14ac:dyDescent="0.45">
      <c r="A104" s="12"/>
      <c r="B104" s="4">
        <v>44648</v>
      </c>
      <c r="C104" s="1">
        <v>14.25</v>
      </c>
      <c r="D104">
        <v>476</v>
      </c>
      <c r="E104">
        <v>0</v>
      </c>
      <c r="F104" s="2">
        <v>5478</v>
      </c>
      <c r="G104" s="2">
        <f t="shared" si="9"/>
        <v>6917</v>
      </c>
      <c r="I104" s="1">
        <f t="shared" si="7"/>
        <v>13.375</v>
      </c>
      <c r="J104" s="2">
        <f t="shared" si="8"/>
        <v>537.5</v>
      </c>
      <c r="L104" s="1">
        <f t="shared" si="10"/>
        <v>15.057999999999998</v>
      </c>
      <c r="M104" s="2">
        <f t="shared" si="11"/>
        <v>701.35</v>
      </c>
      <c r="O104" s="1">
        <f t="shared" si="12"/>
        <v>14.181388888888888</v>
      </c>
      <c r="P104" s="2">
        <f t="shared" si="13"/>
        <v>682.55555555555554</v>
      </c>
    </row>
    <row r="105" spans="1:16" x14ac:dyDescent="0.45">
      <c r="A105" s="12" t="s">
        <v>140</v>
      </c>
      <c r="B105" s="4">
        <v>44655</v>
      </c>
      <c r="C105" s="1">
        <v>13.5</v>
      </c>
      <c r="D105">
        <v>661</v>
      </c>
      <c r="E105">
        <v>0</v>
      </c>
      <c r="F105" s="2">
        <v>7506</v>
      </c>
      <c r="G105" s="2">
        <f t="shared" si="9"/>
        <v>7115.75</v>
      </c>
      <c r="I105" s="1">
        <f t="shared" si="7"/>
        <v>13.625</v>
      </c>
      <c r="J105" s="2">
        <f t="shared" si="8"/>
        <v>578.75</v>
      </c>
      <c r="L105" s="1">
        <f t="shared" si="10"/>
        <v>14.7125</v>
      </c>
      <c r="M105" s="2">
        <f t="shared" si="11"/>
        <v>662.35</v>
      </c>
      <c r="O105" s="1">
        <f t="shared" si="12"/>
        <v>15.083333333333334</v>
      </c>
      <c r="P105" s="2">
        <f t="shared" si="13"/>
        <v>695.11111111111109</v>
      </c>
    </row>
    <row r="106" spans="1:16" x14ac:dyDescent="0.45">
      <c r="A106" s="12"/>
      <c r="B106" s="4">
        <v>44662</v>
      </c>
      <c r="C106" s="1">
        <v>7.25</v>
      </c>
      <c r="D106">
        <f>226-9</f>
        <v>217</v>
      </c>
      <c r="E106">
        <v>0</v>
      </c>
      <c r="F106" s="2">
        <v>3923</v>
      </c>
      <c r="G106" s="2">
        <f t="shared" si="9"/>
        <v>6389</v>
      </c>
      <c r="I106" s="1">
        <f t="shared" si="7"/>
        <v>12.5</v>
      </c>
      <c r="J106" s="2">
        <f t="shared" si="8"/>
        <v>494</v>
      </c>
      <c r="L106" s="1">
        <f t="shared" si="10"/>
        <v>14.05</v>
      </c>
      <c r="M106" s="2">
        <f t="shared" si="11"/>
        <v>611.9</v>
      </c>
      <c r="O106" s="1">
        <f t="shared" si="12"/>
        <v>15.930555555555555</v>
      </c>
      <c r="P106" s="2">
        <f t="shared" si="13"/>
        <v>736.36111111111109</v>
      </c>
    </row>
    <row r="107" spans="1:16" x14ac:dyDescent="0.45">
      <c r="A107" s="12" t="s">
        <v>24</v>
      </c>
      <c r="B107" s="4">
        <v>44669</v>
      </c>
      <c r="C107" s="1">
        <v>21.5</v>
      </c>
      <c r="D107">
        <v>940</v>
      </c>
      <c r="E107">
        <v>0</v>
      </c>
      <c r="F107" s="2">
        <v>14638</v>
      </c>
      <c r="G107" s="2">
        <f t="shared" si="9"/>
        <v>7886.25</v>
      </c>
      <c r="I107" s="1">
        <f t="shared" si="7"/>
        <v>14.125</v>
      </c>
      <c r="J107" s="2">
        <f t="shared" si="8"/>
        <v>573.5</v>
      </c>
      <c r="L107" s="1">
        <f t="shared" si="10"/>
        <v>13.65</v>
      </c>
      <c r="M107" s="2">
        <f t="shared" si="11"/>
        <v>571.95000000000005</v>
      </c>
      <c r="O107" s="1">
        <f t="shared" si="12"/>
        <v>14.458333333333334</v>
      </c>
      <c r="P107" s="2">
        <f t="shared" si="13"/>
        <v>650.52777777777783</v>
      </c>
    </row>
    <row r="108" spans="1:16" x14ac:dyDescent="0.45">
      <c r="A108" s="12"/>
      <c r="B108" s="4">
        <v>44676</v>
      </c>
      <c r="C108" s="1">
        <v>20.5</v>
      </c>
      <c r="D108">
        <v>927</v>
      </c>
      <c r="E108">
        <v>0</v>
      </c>
      <c r="F108" s="2">
        <v>13703</v>
      </c>
      <c r="G108" s="2">
        <f t="shared" si="9"/>
        <v>9942.5</v>
      </c>
      <c r="I108" s="1">
        <f t="shared" si="7"/>
        <v>15.6875</v>
      </c>
      <c r="J108" s="2">
        <f t="shared" si="8"/>
        <v>686.25</v>
      </c>
      <c r="L108" s="1">
        <f t="shared" si="10"/>
        <v>13.862500000000001</v>
      </c>
      <c r="M108" s="2">
        <f t="shared" si="11"/>
        <v>574</v>
      </c>
      <c r="O108" s="1">
        <f t="shared" si="12"/>
        <v>13.409722222222221</v>
      </c>
      <c r="P108" s="2">
        <f t="shared" si="13"/>
        <v>557.61111111111109</v>
      </c>
    </row>
    <row r="109" spans="1:16" x14ac:dyDescent="0.45">
      <c r="A109" s="12"/>
      <c r="B109" s="4">
        <v>44683</v>
      </c>
      <c r="C109" s="1">
        <v>18.5</v>
      </c>
      <c r="D109">
        <v>1065</v>
      </c>
      <c r="E109">
        <v>0</v>
      </c>
      <c r="F109" s="2">
        <v>13111</v>
      </c>
      <c r="G109" s="2">
        <f t="shared" si="9"/>
        <v>11343.75</v>
      </c>
      <c r="I109" s="1">
        <f t="shared" si="7"/>
        <v>16.9375</v>
      </c>
      <c r="J109" s="2">
        <f t="shared" si="8"/>
        <v>787.25</v>
      </c>
      <c r="L109" s="1">
        <f t="shared" si="10"/>
        <v>14.574999999999999</v>
      </c>
      <c r="M109" s="2">
        <f t="shared" si="11"/>
        <v>623.95000000000005</v>
      </c>
      <c r="O109" s="1">
        <f t="shared" si="12"/>
        <v>14.027777777777779</v>
      </c>
      <c r="P109" s="2">
        <f t="shared" si="13"/>
        <v>599.16666666666663</v>
      </c>
    </row>
    <row r="110" spans="1:16" x14ac:dyDescent="0.45">
      <c r="A110" s="12"/>
      <c r="B110" s="4">
        <v>44690</v>
      </c>
      <c r="C110" s="1">
        <v>22.25</v>
      </c>
      <c r="D110">
        <v>942</v>
      </c>
      <c r="E110">
        <v>0</v>
      </c>
      <c r="F110" s="2">
        <v>15018</v>
      </c>
      <c r="G110" s="2">
        <f t="shared" si="9"/>
        <v>14117.5</v>
      </c>
      <c r="I110" s="1">
        <f t="shared" si="7"/>
        <v>20.6875</v>
      </c>
      <c r="J110" s="2">
        <f t="shared" si="8"/>
        <v>968.5</v>
      </c>
      <c r="L110" s="1">
        <f t="shared" si="10"/>
        <v>15.987500000000001</v>
      </c>
      <c r="M110" s="2">
        <f t="shared" si="11"/>
        <v>701.9</v>
      </c>
      <c r="O110" s="1">
        <f t="shared" si="12"/>
        <v>15.104166666666666</v>
      </c>
      <c r="P110" s="2">
        <f t="shared" si="13"/>
        <v>638.11111111111109</v>
      </c>
    </row>
    <row r="111" spans="1:16" x14ac:dyDescent="0.45">
      <c r="A111" s="12"/>
      <c r="B111" s="4">
        <v>44697</v>
      </c>
      <c r="C111" s="1">
        <v>17</v>
      </c>
      <c r="D111">
        <v>887</v>
      </c>
      <c r="E111">
        <v>0</v>
      </c>
      <c r="F111" s="2">
        <v>11784</v>
      </c>
      <c r="G111" s="2">
        <f t="shared" si="9"/>
        <v>13404</v>
      </c>
      <c r="I111" s="1">
        <f t="shared" si="7"/>
        <v>19.5625</v>
      </c>
      <c r="J111" s="2">
        <f t="shared" si="8"/>
        <v>955.25</v>
      </c>
      <c r="L111" s="1">
        <f t="shared" si="10"/>
        <v>17.399999999999999</v>
      </c>
      <c r="M111" s="2">
        <f t="shared" si="11"/>
        <v>794.15</v>
      </c>
      <c r="O111" s="1">
        <f t="shared" si="12"/>
        <v>15.513888888888889</v>
      </c>
      <c r="P111" s="2">
        <f t="shared" si="13"/>
        <v>669.75</v>
      </c>
    </row>
    <row r="112" spans="1:16" x14ac:dyDescent="0.45">
      <c r="A112" s="12"/>
      <c r="B112" s="4">
        <v>44704</v>
      </c>
      <c r="C112" s="1">
        <v>12.5</v>
      </c>
      <c r="D112">
        <v>588</v>
      </c>
      <c r="E112">
        <v>0</v>
      </c>
      <c r="F112" s="2">
        <v>8585</v>
      </c>
      <c r="G112" s="2">
        <f t="shared" si="9"/>
        <v>12124.5</v>
      </c>
      <c r="I112" s="1">
        <f t="shared" si="7"/>
        <v>17.5625</v>
      </c>
      <c r="J112" s="2">
        <f t="shared" si="8"/>
        <v>870.5</v>
      </c>
      <c r="L112" s="1">
        <f t="shared" si="10"/>
        <v>18.087499999999999</v>
      </c>
      <c r="M112" s="2">
        <f t="shared" si="11"/>
        <v>853.55</v>
      </c>
      <c r="O112" s="1">
        <f t="shared" si="12"/>
        <v>16.041666666666668</v>
      </c>
      <c r="P112" s="2">
        <f t="shared" si="13"/>
        <v>736.94444444444446</v>
      </c>
    </row>
    <row r="113" spans="1:16" x14ac:dyDescent="0.45">
      <c r="A113" s="12"/>
      <c r="B113" s="4">
        <v>44711</v>
      </c>
      <c r="C113" s="1">
        <v>13.75</v>
      </c>
      <c r="D113">
        <v>671</v>
      </c>
      <c r="E113">
        <v>0</v>
      </c>
      <c r="F113" s="2">
        <v>9284</v>
      </c>
      <c r="G113" s="2">
        <f t="shared" si="9"/>
        <v>11167.75</v>
      </c>
      <c r="I113" s="1">
        <f t="shared" si="7"/>
        <v>16.375</v>
      </c>
      <c r="J113" s="2">
        <f t="shared" si="8"/>
        <v>772</v>
      </c>
      <c r="L113" s="1">
        <f t="shared" si="10"/>
        <v>18.225000000000001</v>
      </c>
      <c r="M113" s="2">
        <f t="shared" si="11"/>
        <v>870.7</v>
      </c>
      <c r="O113" s="1">
        <f t="shared" si="12"/>
        <v>16.743055555555557</v>
      </c>
      <c r="P113" s="2">
        <f t="shared" si="13"/>
        <v>763.30555555555554</v>
      </c>
    </row>
    <row r="114" spans="1:16" x14ac:dyDescent="0.45">
      <c r="A114" s="12"/>
      <c r="B114" s="4">
        <v>44718</v>
      </c>
      <c r="C114" s="1">
        <v>16.25</v>
      </c>
      <c r="D114">
        <v>740</v>
      </c>
      <c r="E114">
        <v>0</v>
      </c>
      <c r="F114" s="2">
        <v>10777</v>
      </c>
      <c r="G114" s="2">
        <f t="shared" si="9"/>
        <v>10107.5</v>
      </c>
      <c r="I114" s="1">
        <f t="shared" si="7"/>
        <v>14.875</v>
      </c>
      <c r="J114" s="2">
        <f t="shared" si="8"/>
        <v>721.5</v>
      </c>
      <c r="L114" s="1">
        <f t="shared" si="10"/>
        <v>17.8125</v>
      </c>
      <c r="M114" s="2">
        <f t="shared" si="11"/>
        <v>857.55</v>
      </c>
      <c r="O114" s="1">
        <f t="shared" si="12"/>
        <v>19.083333333333332</v>
      </c>
      <c r="P114" s="2">
        <f t="shared" si="13"/>
        <v>902.86111111111109</v>
      </c>
    </row>
    <row r="115" spans="1:16" x14ac:dyDescent="0.45">
      <c r="A115" s="12"/>
      <c r="B115" s="4">
        <v>44725</v>
      </c>
      <c r="C115" s="1">
        <v>5</v>
      </c>
      <c r="D115">
        <v>174</v>
      </c>
      <c r="E115">
        <v>0</v>
      </c>
      <c r="F115" s="2">
        <v>3008</v>
      </c>
      <c r="G115" s="2">
        <f t="shared" si="9"/>
        <v>7913.5</v>
      </c>
      <c r="I115" s="1">
        <f t="shared" si="7"/>
        <v>11.875</v>
      </c>
      <c r="J115" s="2">
        <f t="shared" si="8"/>
        <v>543.25</v>
      </c>
      <c r="L115" s="1">
        <f t="shared" si="10"/>
        <v>16.05</v>
      </c>
      <c r="M115" s="2">
        <f t="shared" si="11"/>
        <v>772.5</v>
      </c>
      <c r="O115" s="1">
        <f t="shared" si="12"/>
        <v>17.798611111111111</v>
      </c>
      <c r="P115" s="2">
        <f t="shared" si="13"/>
        <v>860.47222222222217</v>
      </c>
    </row>
    <row r="116" spans="1:16" x14ac:dyDescent="0.45">
      <c r="A116" s="12"/>
      <c r="B116" s="4">
        <v>44732</v>
      </c>
      <c r="C116" s="1">
        <v>22.5</v>
      </c>
      <c r="D116">
        <v>1045</v>
      </c>
      <c r="E116">
        <v>0</v>
      </c>
      <c r="F116" s="2">
        <v>15246</v>
      </c>
      <c r="G116" s="2">
        <f t="shared" si="9"/>
        <v>9578.75</v>
      </c>
      <c r="I116" s="1">
        <f t="shared" si="7"/>
        <v>14.375</v>
      </c>
      <c r="J116" s="2">
        <f t="shared" si="8"/>
        <v>657.5</v>
      </c>
      <c r="L116" s="1">
        <f t="shared" si="10"/>
        <v>15.012499999999999</v>
      </c>
      <c r="M116" s="2">
        <f t="shared" si="11"/>
        <v>712.95</v>
      </c>
      <c r="O116" s="1">
        <f t="shared" si="12"/>
        <v>16.791666666666668</v>
      </c>
      <c r="P116" s="2">
        <f t="shared" si="13"/>
        <v>824.25</v>
      </c>
    </row>
    <row r="117" spans="1:16" x14ac:dyDescent="0.45">
      <c r="A117" s="12"/>
      <c r="B117" s="4">
        <v>44739</v>
      </c>
      <c r="C117" s="1">
        <v>17.66</v>
      </c>
      <c r="D117">
        <v>854</v>
      </c>
      <c r="E117">
        <v>0</v>
      </c>
      <c r="F117" s="2">
        <v>12167</v>
      </c>
      <c r="G117" s="2">
        <f t="shared" si="9"/>
        <v>10299.5</v>
      </c>
      <c r="I117" s="1">
        <f t="shared" si="7"/>
        <v>15.352499999999999</v>
      </c>
      <c r="J117" s="2">
        <f t="shared" si="8"/>
        <v>703.25</v>
      </c>
      <c r="L117" s="1">
        <f t="shared" si="10"/>
        <v>14.570500000000001</v>
      </c>
      <c r="M117" s="2">
        <f t="shared" si="11"/>
        <v>679.5</v>
      </c>
      <c r="O117" s="1">
        <f t="shared" si="12"/>
        <v>16.205833333333331</v>
      </c>
      <c r="P117" s="2">
        <f t="shared" si="13"/>
        <v>751.5</v>
      </c>
    </row>
    <row r="118" spans="1:16" x14ac:dyDescent="0.45">
      <c r="A118" s="12" t="s">
        <v>208</v>
      </c>
      <c r="B118" s="4">
        <v>44746</v>
      </c>
      <c r="C118" s="1">
        <v>16.5</v>
      </c>
      <c r="D118">
        <v>869</v>
      </c>
      <c r="E118">
        <v>0</v>
      </c>
      <c r="F118" s="2">
        <v>11363</v>
      </c>
      <c r="G118" s="2">
        <f t="shared" si="9"/>
        <v>10446</v>
      </c>
      <c r="I118" s="1">
        <f t="shared" si="7"/>
        <v>15.414999999999999</v>
      </c>
      <c r="J118" s="2">
        <f t="shared" si="8"/>
        <v>735.5</v>
      </c>
      <c r="L118" s="1">
        <f t="shared" si="10"/>
        <v>14.378499999999999</v>
      </c>
      <c r="M118" s="2">
        <f t="shared" si="11"/>
        <v>672.2</v>
      </c>
      <c r="O118" s="1">
        <f t="shared" si="12"/>
        <v>14.626944444444442</v>
      </c>
      <c r="P118" s="2">
        <f t="shared" si="13"/>
        <v>704.05555555555554</v>
      </c>
    </row>
    <row r="119" spans="1:16" x14ac:dyDescent="0.45">
      <c r="A119" s="12"/>
      <c r="B119" s="4">
        <v>44753</v>
      </c>
      <c r="C119" s="1">
        <v>14.66</v>
      </c>
      <c r="D119">
        <v>643</v>
      </c>
      <c r="E119">
        <v>0</v>
      </c>
      <c r="F119" s="2">
        <v>9354</v>
      </c>
      <c r="G119" s="2">
        <f t="shared" si="9"/>
        <v>12032.5</v>
      </c>
      <c r="I119" s="1">
        <f t="shared" si="7"/>
        <v>17.829999999999998</v>
      </c>
      <c r="J119" s="2">
        <f t="shared" si="8"/>
        <v>852.75</v>
      </c>
      <c r="L119" s="1">
        <f t="shared" si="10"/>
        <v>14.969500000000002</v>
      </c>
      <c r="M119" s="2">
        <f t="shared" si="11"/>
        <v>698.45</v>
      </c>
      <c r="O119" s="1">
        <f t="shared" si="12"/>
        <v>14.149722222222222</v>
      </c>
      <c r="P119" s="2">
        <f t="shared" si="13"/>
        <v>662.05555555555554</v>
      </c>
    </row>
    <row r="120" spans="1:16" x14ac:dyDescent="0.45">
      <c r="A120" s="12"/>
      <c r="B120" s="4">
        <v>44760</v>
      </c>
      <c r="C120" s="1">
        <v>19.329999999999998</v>
      </c>
      <c r="D120">
        <v>979</v>
      </c>
      <c r="E120">
        <v>0</v>
      </c>
      <c r="F120" s="2">
        <v>12659</v>
      </c>
      <c r="G120" s="2">
        <f t="shared" si="9"/>
        <v>11385.75</v>
      </c>
      <c r="I120" s="1">
        <f t="shared" si="7"/>
        <v>17.037499999999998</v>
      </c>
      <c r="J120" s="2">
        <f t="shared" si="8"/>
        <v>836.25</v>
      </c>
      <c r="L120" s="1">
        <f t="shared" si="10"/>
        <v>16.001999999999999</v>
      </c>
      <c r="M120" s="2">
        <f t="shared" si="11"/>
        <v>757.05</v>
      </c>
      <c r="O120" s="1">
        <f t="shared" si="12"/>
        <v>14.862222222222222</v>
      </c>
      <c r="P120" s="2">
        <f t="shared" si="13"/>
        <v>697.36111111111109</v>
      </c>
    </row>
    <row r="121" spans="1:16" x14ac:dyDescent="0.45">
      <c r="A121" s="12"/>
      <c r="B121" s="4">
        <v>44767</v>
      </c>
      <c r="C121" s="1">
        <v>21.5</v>
      </c>
      <c r="D121">
        <v>1078</v>
      </c>
      <c r="E121">
        <v>0</v>
      </c>
      <c r="F121" s="2">
        <v>14340</v>
      </c>
      <c r="G121" s="2">
        <f t="shared" si="9"/>
        <v>11929</v>
      </c>
      <c r="I121" s="1">
        <f t="shared" si="7"/>
        <v>17.997499999999999</v>
      </c>
      <c r="J121" s="2">
        <f t="shared" si="8"/>
        <v>892.25</v>
      </c>
      <c r="L121" s="1">
        <f t="shared" si="10"/>
        <v>16.726499999999998</v>
      </c>
      <c r="M121" s="2">
        <f t="shared" si="11"/>
        <v>804</v>
      </c>
      <c r="O121" s="1">
        <f t="shared" si="12"/>
        <v>15.512222222222224</v>
      </c>
      <c r="P121" s="2">
        <f t="shared" si="13"/>
        <v>725.52777777777783</v>
      </c>
    </row>
    <row r="122" spans="1:16" x14ac:dyDescent="0.45">
      <c r="A122" s="12"/>
      <c r="B122" s="4">
        <v>44774</v>
      </c>
      <c r="C122" s="1">
        <v>16.329999999999998</v>
      </c>
      <c r="D122">
        <v>841</v>
      </c>
      <c r="E122">
        <v>0</v>
      </c>
      <c r="F122" s="2">
        <v>10689</v>
      </c>
      <c r="G122" s="2">
        <f t="shared" si="9"/>
        <v>11760.5</v>
      </c>
      <c r="I122" s="1">
        <f t="shared" si="7"/>
        <v>17.954999999999998</v>
      </c>
      <c r="J122" s="2">
        <f t="shared" si="8"/>
        <v>885.25</v>
      </c>
      <c r="L122" s="1">
        <f t="shared" si="10"/>
        <v>17.247</v>
      </c>
      <c r="M122" s="2">
        <f t="shared" si="11"/>
        <v>840.4</v>
      </c>
      <c r="O122" s="1">
        <f t="shared" si="12"/>
        <v>15.608888888888888</v>
      </c>
      <c r="P122" s="2">
        <f t="shared" si="13"/>
        <v>741.16666666666663</v>
      </c>
    </row>
    <row r="123" spans="1:16" x14ac:dyDescent="0.45">
      <c r="A123" s="12" t="s">
        <v>209</v>
      </c>
      <c r="B123" s="4">
        <v>44781</v>
      </c>
      <c r="C123" s="1">
        <v>14.75</v>
      </c>
      <c r="D123">
        <v>716</v>
      </c>
      <c r="E123">
        <v>0</v>
      </c>
      <c r="F123" s="2">
        <v>9932</v>
      </c>
      <c r="G123" s="2">
        <f t="shared" si="9"/>
        <v>11905</v>
      </c>
      <c r="I123" s="1">
        <f t="shared" si="7"/>
        <v>17.977499999999999</v>
      </c>
      <c r="J123" s="2">
        <f t="shared" si="8"/>
        <v>903.5</v>
      </c>
      <c r="L123" s="1">
        <f t="shared" si="10"/>
        <v>17.759499999999996</v>
      </c>
      <c r="M123" s="2">
        <f t="shared" si="11"/>
        <v>874</v>
      </c>
      <c r="O123" s="1">
        <f t="shared" si="12"/>
        <v>18.476388888888888</v>
      </c>
      <c r="P123" s="2">
        <f t="shared" si="13"/>
        <v>897.63888888888891</v>
      </c>
    </row>
    <row r="124" spans="1:16" x14ac:dyDescent="0.45">
      <c r="A124" s="12"/>
      <c r="B124" s="4">
        <v>44788</v>
      </c>
      <c r="C124" s="1">
        <v>13</v>
      </c>
      <c r="D124">
        <v>786</v>
      </c>
      <c r="E124">
        <v>0</v>
      </c>
      <c r="F124" s="2">
        <v>9307</v>
      </c>
      <c r="G124" s="2">
        <f t="shared" si="9"/>
        <v>11067</v>
      </c>
      <c r="I124" s="1">
        <f t="shared" si="7"/>
        <v>16.395</v>
      </c>
      <c r="J124" s="2">
        <f t="shared" si="8"/>
        <v>855.25</v>
      </c>
      <c r="L124" s="1">
        <f t="shared" si="10"/>
        <v>17.4725</v>
      </c>
      <c r="M124" s="2">
        <f t="shared" si="11"/>
        <v>874.5</v>
      </c>
      <c r="O124" s="1">
        <f t="shared" si="12"/>
        <v>17.191111111111113</v>
      </c>
      <c r="P124" s="2">
        <f t="shared" si="13"/>
        <v>853.36111111111109</v>
      </c>
    </row>
    <row r="125" spans="1:16" x14ac:dyDescent="0.45">
      <c r="A125" s="12"/>
      <c r="B125" s="4">
        <v>44795</v>
      </c>
      <c r="C125" s="1">
        <v>17.5</v>
      </c>
      <c r="D125">
        <v>859</v>
      </c>
      <c r="E125">
        <v>0</v>
      </c>
      <c r="F125" s="2">
        <v>12436</v>
      </c>
      <c r="G125" s="2">
        <f t="shared" si="9"/>
        <v>10591</v>
      </c>
      <c r="I125" s="1">
        <f t="shared" si="7"/>
        <v>15.395</v>
      </c>
      <c r="J125" s="2">
        <f t="shared" si="8"/>
        <v>800.5</v>
      </c>
      <c r="L125" s="1">
        <f t="shared" si="10"/>
        <v>17.143999999999998</v>
      </c>
      <c r="M125" s="2">
        <f t="shared" si="11"/>
        <v>867.35</v>
      </c>
      <c r="O125" s="1">
        <f t="shared" si="12"/>
        <v>16.976944444444442</v>
      </c>
      <c r="P125" s="2">
        <f t="shared" si="13"/>
        <v>851.66666666666663</v>
      </c>
    </row>
    <row r="126" spans="1:16" x14ac:dyDescent="0.45">
      <c r="A126" s="12"/>
      <c r="B126" s="4">
        <v>44802</v>
      </c>
      <c r="C126" s="1">
        <v>11.5</v>
      </c>
      <c r="D126">
        <v>694</v>
      </c>
      <c r="E126">
        <v>0</v>
      </c>
      <c r="F126" s="2">
        <v>7512</v>
      </c>
      <c r="G126" s="2">
        <f t="shared" si="9"/>
        <v>9796.75</v>
      </c>
      <c r="I126" s="1">
        <f t="shared" si="7"/>
        <v>14.1875</v>
      </c>
      <c r="J126" s="2">
        <f t="shared" si="8"/>
        <v>763.75</v>
      </c>
      <c r="L126" s="1">
        <f t="shared" si="10"/>
        <v>16.381999999999998</v>
      </c>
      <c r="M126" s="2">
        <f t="shared" si="11"/>
        <v>841.65</v>
      </c>
      <c r="O126" s="1">
        <f t="shared" si="12"/>
        <v>16.881666666666668</v>
      </c>
      <c r="P126" s="2">
        <f t="shared" si="13"/>
        <v>841.77777777777783</v>
      </c>
    </row>
    <row r="127" spans="1:16" x14ac:dyDescent="0.45">
      <c r="A127" s="12"/>
      <c r="B127" s="4">
        <v>44809</v>
      </c>
      <c r="C127" s="1">
        <v>10.75</v>
      </c>
      <c r="D127">
        <v>619</v>
      </c>
      <c r="E127">
        <v>0</v>
      </c>
      <c r="F127" s="2">
        <v>8026</v>
      </c>
      <c r="G127" s="2">
        <f t="shared" si="9"/>
        <v>9320.25</v>
      </c>
      <c r="I127" s="1">
        <f t="shared" si="7"/>
        <v>13.1875</v>
      </c>
      <c r="J127" s="2">
        <f t="shared" si="8"/>
        <v>739.5</v>
      </c>
      <c r="L127" s="1">
        <f t="shared" si="10"/>
        <v>15.4285</v>
      </c>
      <c r="M127" s="2">
        <f t="shared" si="11"/>
        <v>812.5</v>
      </c>
      <c r="O127" s="1">
        <f t="shared" si="12"/>
        <v>17.086666666666666</v>
      </c>
      <c r="P127" s="2">
        <f t="shared" si="13"/>
        <v>881.44444444444446</v>
      </c>
    </row>
    <row r="128" spans="1:16" x14ac:dyDescent="0.45">
      <c r="A128" s="12"/>
      <c r="B128" s="4">
        <v>44816</v>
      </c>
      <c r="C128" s="1">
        <v>9.5</v>
      </c>
      <c r="D128">
        <v>418</v>
      </c>
      <c r="E128">
        <v>0</v>
      </c>
      <c r="F128" s="2">
        <v>5076</v>
      </c>
      <c r="G128" s="2">
        <f t="shared" si="9"/>
        <v>8262.5</v>
      </c>
      <c r="I128" s="1">
        <f t="shared" si="7"/>
        <v>12.3125</v>
      </c>
      <c r="J128" s="2">
        <f t="shared" si="8"/>
        <v>647.5</v>
      </c>
      <c r="L128" s="1">
        <f t="shared" si="10"/>
        <v>14.295499999999999</v>
      </c>
      <c r="M128" s="2">
        <f t="shared" si="11"/>
        <v>761.3</v>
      </c>
      <c r="O128" s="1">
        <f t="shared" si="12"/>
        <v>15.980833333333331</v>
      </c>
      <c r="P128" s="2">
        <f t="shared" si="13"/>
        <v>830.86111111111109</v>
      </c>
    </row>
    <row r="129" spans="1:16" x14ac:dyDescent="0.45">
      <c r="A129" s="12"/>
      <c r="B129" s="4">
        <v>44823</v>
      </c>
      <c r="C129" s="1">
        <v>14.5</v>
      </c>
      <c r="D129">
        <v>721</v>
      </c>
      <c r="E129">
        <v>0</v>
      </c>
      <c r="F129" s="2">
        <v>10446</v>
      </c>
      <c r="G129" s="2">
        <f t="shared" si="9"/>
        <v>7765</v>
      </c>
      <c r="I129" s="1">
        <f t="shared" si="7"/>
        <v>11.5625</v>
      </c>
      <c r="J129" s="2">
        <f t="shared" si="8"/>
        <v>613</v>
      </c>
      <c r="L129" s="1">
        <f t="shared" si="10"/>
        <v>13.328999999999999</v>
      </c>
      <c r="M129" s="2">
        <f t="shared" si="11"/>
        <v>712.85</v>
      </c>
      <c r="O129" s="1">
        <f t="shared" si="12"/>
        <v>14.198333333333332</v>
      </c>
      <c r="P129" s="2">
        <f t="shared" si="13"/>
        <v>748.36111111111109</v>
      </c>
    </row>
    <row r="130" spans="1:16" x14ac:dyDescent="0.45">
      <c r="A130" s="12"/>
      <c r="B130" s="4">
        <v>44830</v>
      </c>
      <c r="C130" s="1">
        <v>9.5</v>
      </c>
      <c r="D130">
        <v>409</v>
      </c>
      <c r="E130">
        <v>0</v>
      </c>
      <c r="F130" s="2">
        <v>6469</v>
      </c>
      <c r="G130" s="2">
        <f t="shared" si="9"/>
        <v>7504.25</v>
      </c>
      <c r="I130" s="1">
        <f t="shared" si="7"/>
        <v>11.0625</v>
      </c>
      <c r="J130" s="2">
        <f t="shared" si="8"/>
        <v>541.75</v>
      </c>
      <c r="L130" s="1">
        <f t="shared" si="10"/>
        <v>12.4625</v>
      </c>
      <c r="M130" s="2">
        <f t="shared" si="11"/>
        <v>661.1</v>
      </c>
      <c r="O130" s="1">
        <f t="shared" si="12"/>
        <v>13.375</v>
      </c>
      <c r="P130" s="2">
        <f t="shared" si="13"/>
        <v>706.52777777777783</v>
      </c>
    </row>
    <row r="131" spans="1:16" x14ac:dyDescent="0.45">
      <c r="A131" s="12"/>
      <c r="B131" s="4">
        <v>44837</v>
      </c>
      <c r="C131" s="1">
        <f>7+49/60</f>
        <v>7.8166666666666664</v>
      </c>
      <c r="D131">
        <v>311</v>
      </c>
      <c r="E131">
        <v>0</v>
      </c>
      <c r="F131" s="2">
        <v>4820</v>
      </c>
      <c r="G131" s="2">
        <f t="shared" si="9"/>
        <v>6702.75</v>
      </c>
      <c r="I131" s="1">
        <f t="shared" si="7"/>
        <v>10.329166666666666</v>
      </c>
      <c r="J131" s="2">
        <f t="shared" si="8"/>
        <v>464.75</v>
      </c>
      <c r="L131" s="1">
        <f t="shared" si="10"/>
        <v>11.690833333333334</v>
      </c>
      <c r="M131" s="2">
        <f t="shared" si="11"/>
        <v>601.29999999999995</v>
      </c>
      <c r="O131" s="1">
        <f t="shared" si="12"/>
        <v>12.710185185185185</v>
      </c>
      <c r="P131" s="2">
        <f t="shared" si="13"/>
        <v>681.22222222222217</v>
      </c>
    </row>
    <row r="132" spans="1:16" x14ac:dyDescent="0.45">
      <c r="A132" s="12"/>
      <c r="B132" s="4">
        <v>44844</v>
      </c>
      <c r="C132" s="1">
        <v>17.5</v>
      </c>
      <c r="D132">
        <v>897</v>
      </c>
      <c r="E132">
        <v>0</v>
      </c>
      <c r="F132" s="2">
        <v>12301</v>
      </c>
      <c r="G132" s="2">
        <f t="shared" si="9"/>
        <v>8509</v>
      </c>
      <c r="I132" s="1">
        <f t="shared" si="7"/>
        <v>12.329166666666666</v>
      </c>
      <c r="J132" s="2">
        <f t="shared" si="8"/>
        <v>584.5</v>
      </c>
      <c r="L132" s="1">
        <f t="shared" si="10"/>
        <v>11.519166666666667</v>
      </c>
      <c r="M132" s="2">
        <f t="shared" si="11"/>
        <v>570.29999999999995</v>
      </c>
      <c r="O132" s="1">
        <f t="shared" si="12"/>
        <v>12.559259259259258</v>
      </c>
      <c r="P132" s="2">
        <f t="shared" si="13"/>
        <v>643.44444444444446</v>
      </c>
    </row>
    <row r="133" spans="1:16" x14ac:dyDescent="0.45">
      <c r="A133" s="12"/>
      <c r="B133" s="4">
        <v>44851</v>
      </c>
      <c r="C133" s="1">
        <f>9+23/60</f>
        <v>9.3833333333333329</v>
      </c>
      <c r="D133">
        <v>510</v>
      </c>
      <c r="E133">
        <v>0</v>
      </c>
      <c r="F133" s="2">
        <v>6261</v>
      </c>
      <c r="G133" s="2">
        <f t="shared" si="9"/>
        <v>7462.75</v>
      </c>
      <c r="I133" s="1">
        <f t="shared" ref="I133:I196" si="14">AVERAGE(C130:C133)</f>
        <v>11.049999999999999</v>
      </c>
      <c r="J133" s="2">
        <f t="shared" ref="J133:J196" si="15">AVERAGE(D130:D133)</f>
        <v>531.75</v>
      </c>
      <c r="L133" s="1">
        <f t="shared" si="10"/>
        <v>11.266666666666666</v>
      </c>
      <c r="M133" s="2">
        <f t="shared" si="11"/>
        <v>547.15</v>
      </c>
      <c r="O133" s="1">
        <f t="shared" si="12"/>
        <v>11.18287037037037</v>
      </c>
      <c r="P133" s="2">
        <f t="shared" si="13"/>
        <v>579.75</v>
      </c>
    </row>
    <row r="134" spans="1:16" x14ac:dyDescent="0.45">
      <c r="A134" s="12"/>
      <c r="B134" s="4">
        <v>44858</v>
      </c>
      <c r="C134" s="1">
        <v>10.75</v>
      </c>
      <c r="D134">
        <v>502</v>
      </c>
      <c r="E134">
        <v>0</v>
      </c>
      <c r="F134" s="2">
        <v>6827</v>
      </c>
      <c r="G134" s="2">
        <f t="shared" ref="G134:G197" si="16">AVERAGE(F131:F134)</f>
        <v>7552.25</v>
      </c>
      <c r="I134" s="1">
        <f t="shared" si="14"/>
        <v>11.362500000000001</v>
      </c>
      <c r="J134" s="2">
        <f t="shared" si="15"/>
        <v>555</v>
      </c>
      <c r="L134" s="1">
        <f t="shared" si="10"/>
        <v>11.226666666666665</v>
      </c>
      <c r="M134" s="2">
        <f t="shared" si="11"/>
        <v>535.54999999999995</v>
      </c>
      <c r="O134" s="1">
        <f t="shared" si="12"/>
        <v>11.11898148148148</v>
      </c>
      <c r="P134" s="2">
        <f t="shared" si="13"/>
        <v>547.38888888888891</v>
      </c>
    </row>
    <row r="135" spans="1:16" x14ac:dyDescent="0.45">
      <c r="A135" s="12"/>
      <c r="B135" s="4">
        <v>44865</v>
      </c>
      <c r="C135" s="1">
        <v>24</v>
      </c>
      <c r="D135">
        <v>1447</v>
      </c>
      <c r="E135">
        <v>0</v>
      </c>
      <c r="F135" s="2">
        <v>6206</v>
      </c>
      <c r="G135" s="2">
        <f t="shared" si="16"/>
        <v>7898.75</v>
      </c>
      <c r="I135" s="1">
        <f t="shared" si="14"/>
        <v>15.408333333333333</v>
      </c>
      <c r="J135" s="2">
        <f t="shared" si="15"/>
        <v>839</v>
      </c>
      <c r="L135" s="1">
        <f t="shared" si="10"/>
        <v>12.095833333333333</v>
      </c>
      <c r="M135" s="2">
        <f t="shared" si="11"/>
        <v>595</v>
      </c>
      <c r="O135" s="1">
        <f t="shared" si="12"/>
        <v>11.589814814814815</v>
      </c>
      <c r="P135" s="2">
        <f t="shared" si="13"/>
        <v>554.69444444444446</v>
      </c>
    </row>
    <row r="136" spans="1:16" x14ac:dyDescent="0.45">
      <c r="A136" s="12"/>
      <c r="B136" s="4">
        <v>44872</v>
      </c>
      <c r="C136" s="1">
        <v>0</v>
      </c>
      <c r="D136">
        <v>0</v>
      </c>
      <c r="E136">
        <v>0</v>
      </c>
      <c r="F136" s="2">
        <v>0</v>
      </c>
      <c r="G136" s="2">
        <f t="shared" si="16"/>
        <v>4823.5</v>
      </c>
      <c r="I136" s="1">
        <f t="shared" si="14"/>
        <v>11.033333333333333</v>
      </c>
      <c r="J136" s="2">
        <f t="shared" si="15"/>
        <v>614.75</v>
      </c>
      <c r="L136" s="1">
        <f t="shared" si="10"/>
        <v>12.236666666666668</v>
      </c>
      <c r="M136" s="2">
        <f t="shared" si="11"/>
        <v>625</v>
      </c>
      <c r="O136" s="1">
        <f t="shared" si="12"/>
        <v>12.074537037037038</v>
      </c>
      <c r="P136" s="2">
        <f t="shared" si="13"/>
        <v>595.05555555555554</v>
      </c>
    </row>
    <row r="137" spans="1:16" x14ac:dyDescent="0.45">
      <c r="A137" s="12"/>
      <c r="B137" s="4">
        <v>44879</v>
      </c>
      <c r="C137" s="1">
        <f>6+37/60</f>
        <v>6.6166666666666671</v>
      </c>
      <c r="D137">
        <v>209</v>
      </c>
      <c r="E137">
        <v>1</v>
      </c>
      <c r="F137" s="2">
        <v>2714</v>
      </c>
      <c r="G137" s="2">
        <f t="shared" si="16"/>
        <v>3936.75</v>
      </c>
      <c r="I137" s="1">
        <f t="shared" si="14"/>
        <v>10.341666666666667</v>
      </c>
      <c r="J137" s="2">
        <f t="shared" si="15"/>
        <v>539.5</v>
      </c>
      <c r="L137" s="1">
        <f t="shared" ref="L137:L200" si="17">((C130)+(2*C131)+(3*C132)+(4*C133)+(4*C134)+(3*C135)+(2*C136)+(C137))/20</f>
        <v>11.839166666666667</v>
      </c>
      <c r="M137" s="2">
        <f t="shared" ref="M137:M200" si="18">((D130)+(2*D131)+(3*D132)+(4*D133)+(4*D134)+(3*D135)+(2*D136)+(D137))/20</f>
        <v>616</v>
      </c>
      <c r="O137" s="1">
        <f t="shared" si="12"/>
        <v>11.229166666666666</v>
      </c>
      <c r="P137" s="2">
        <f t="shared" si="13"/>
        <v>553.86111111111109</v>
      </c>
    </row>
    <row r="138" spans="1:16" x14ac:dyDescent="0.45">
      <c r="A138" s="12"/>
      <c r="B138" s="4">
        <v>44886</v>
      </c>
      <c r="C138" s="1">
        <v>9.33</v>
      </c>
      <c r="D138">
        <v>318</v>
      </c>
      <c r="E138">
        <v>2</v>
      </c>
      <c r="F138" s="2">
        <v>6080</v>
      </c>
      <c r="G138" s="2">
        <f t="shared" si="16"/>
        <v>3750</v>
      </c>
      <c r="I138" s="1">
        <f t="shared" si="14"/>
        <v>9.9866666666666664</v>
      </c>
      <c r="J138" s="2">
        <f t="shared" si="15"/>
        <v>493.5</v>
      </c>
      <c r="L138" s="1">
        <f t="shared" si="17"/>
        <v>11.6265</v>
      </c>
      <c r="M138" s="2">
        <f t="shared" si="18"/>
        <v>608.35</v>
      </c>
      <c r="O138" s="1">
        <f t="shared" si="12"/>
        <v>11.490185185185185</v>
      </c>
      <c r="P138" s="2">
        <f t="shared" si="13"/>
        <v>579.47222222222217</v>
      </c>
    </row>
    <row r="139" spans="1:16" x14ac:dyDescent="0.45">
      <c r="A139" s="12"/>
      <c r="B139" s="4">
        <v>44893</v>
      </c>
      <c r="C139" s="1">
        <v>12.75</v>
      </c>
      <c r="D139">
        <v>446</v>
      </c>
      <c r="E139">
        <v>1</v>
      </c>
      <c r="F139" s="2">
        <v>8123</v>
      </c>
      <c r="G139" s="2">
        <f t="shared" si="16"/>
        <v>4229.25</v>
      </c>
      <c r="I139" s="1">
        <f t="shared" si="14"/>
        <v>7.1741666666666664</v>
      </c>
      <c r="J139" s="2">
        <f t="shared" si="15"/>
        <v>243.25</v>
      </c>
      <c r="L139" s="1">
        <f t="shared" si="17"/>
        <v>10.788833333333333</v>
      </c>
      <c r="M139" s="2">
        <f t="shared" si="18"/>
        <v>546</v>
      </c>
      <c r="O139" s="1">
        <f t="shared" si="12"/>
        <v>12.262314814814815</v>
      </c>
      <c r="P139" s="2">
        <f t="shared" si="13"/>
        <v>630.61111111111109</v>
      </c>
    </row>
    <row r="140" spans="1:16" x14ac:dyDescent="0.45">
      <c r="A140" s="12"/>
      <c r="B140" s="4">
        <v>44900</v>
      </c>
      <c r="C140" s="1">
        <v>11.75</v>
      </c>
      <c r="D140">
        <v>467</v>
      </c>
      <c r="E140">
        <v>1</v>
      </c>
      <c r="F140" s="2">
        <v>5053</v>
      </c>
      <c r="G140" s="2">
        <f t="shared" si="16"/>
        <v>5492.5</v>
      </c>
      <c r="I140" s="1">
        <f t="shared" si="14"/>
        <v>10.111666666666666</v>
      </c>
      <c r="J140" s="2">
        <f t="shared" si="15"/>
        <v>360</v>
      </c>
      <c r="L140" s="1">
        <f t="shared" si="17"/>
        <v>9.7294999999999998</v>
      </c>
      <c r="M140" s="2">
        <f t="shared" si="18"/>
        <v>450.2</v>
      </c>
      <c r="O140" s="1">
        <f t="shared" si="12"/>
        <v>10.722870370370371</v>
      </c>
      <c r="P140" s="2">
        <f t="shared" si="13"/>
        <v>539.58333333333337</v>
      </c>
    </row>
    <row r="141" spans="1:16" x14ac:dyDescent="0.45">
      <c r="A141" s="12"/>
      <c r="B141" s="4">
        <v>44907</v>
      </c>
      <c r="C141" s="1">
        <f>14+23/60</f>
        <v>14.383333333333333</v>
      </c>
      <c r="D141">
        <v>708</v>
      </c>
      <c r="E141">
        <v>1</v>
      </c>
      <c r="F141" s="2">
        <v>3062</v>
      </c>
      <c r="G141" s="2">
        <f t="shared" si="16"/>
        <v>5579.5</v>
      </c>
      <c r="I141" s="1">
        <f t="shared" si="14"/>
        <v>12.053333333333333</v>
      </c>
      <c r="J141" s="2">
        <f t="shared" si="15"/>
        <v>484.75</v>
      </c>
      <c r="L141" s="1">
        <f t="shared" si="17"/>
        <v>9.9334999999999987</v>
      </c>
      <c r="M141" s="2">
        <f t="shared" si="18"/>
        <v>424.2</v>
      </c>
      <c r="O141" s="1">
        <f t="shared" ref="O141:O204" si="19">((C141)+(C140*2)+(C139*3)+(C138*4)+(C137*5)+(C136*6)+(C135*7)+(C134*8))/36</f>
        <v>11.126018518518517</v>
      </c>
      <c r="P141" s="2">
        <f t="shared" ref="P141:P204" si="20">((D141)+(D140*2)+(D139*3)+(D138*4)+(D137*5)+(D136*6)+(D135*7)+(D134*8))/36</f>
        <v>540.05555555555554</v>
      </c>
    </row>
    <row r="142" spans="1:16" x14ac:dyDescent="0.45">
      <c r="A142" s="12"/>
      <c r="B142" s="4">
        <v>44914</v>
      </c>
      <c r="C142" s="1">
        <f>3+5/60</f>
        <v>3.0833333333333335</v>
      </c>
      <c r="D142">
        <v>75</v>
      </c>
      <c r="E142">
        <v>1</v>
      </c>
      <c r="F142" s="2">
        <v>1722</v>
      </c>
      <c r="G142" s="2">
        <f t="shared" si="16"/>
        <v>4490</v>
      </c>
      <c r="I142" s="1">
        <f t="shared" si="14"/>
        <v>10.491666666666667</v>
      </c>
      <c r="J142" s="2">
        <f t="shared" si="15"/>
        <v>424</v>
      </c>
      <c r="L142" s="1">
        <f t="shared" si="17"/>
        <v>9.9634999999999998</v>
      </c>
      <c r="M142" s="2">
        <f t="shared" si="18"/>
        <v>401.1</v>
      </c>
      <c r="O142" s="1">
        <f t="shared" si="19"/>
        <v>11.012499999999999</v>
      </c>
      <c r="P142" s="2">
        <f t="shared" si="20"/>
        <v>530.44444444444446</v>
      </c>
    </row>
    <row r="143" spans="1:16" x14ac:dyDescent="0.45">
      <c r="A143" s="12"/>
      <c r="B143" s="4">
        <v>44921</v>
      </c>
      <c r="C143" s="1">
        <f>9+10/60</f>
        <v>9.1666666666666661</v>
      </c>
      <c r="D143">
        <v>337</v>
      </c>
      <c r="E143">
        <v>1</v>
      </c>
      <c r="F143" s="2">
        <v>6122</v>
      </c>
      <c r="G143" s="2">
        <f t="shared" si="16"/>
        <v>3989.75</v>
      </c>
      <c r="I143" s="1">
        <f t="shared" si="14"/>
        <v>9.5958333333333332</v>
      </c>
      <c r="J143" s="2">
        <f t="shared" si="15"/>
        <v>396.75</v>
      </c>
      <c r="L143" s="1">
        <f t="shared" si="17"/>
        <v>9.8853333333333318</v>
      </c>
      <c r="M143" s="2">
        <f t="shared" si="18"/>
        <v>381.75</v>
      </c>
      <c r="O143" s="1">
        <f t="shared" si="19"/>
        <v>7.5425000000000004</v>
      </c>
      <c r="P143" s="2">
        <f t="shared" si="20"/>
        <v>280</v>
      </c>
    </row>
    <row r="144" spans="1:16" x14ac:dyDescent="0.45">
      <c r="A144" s="12"/>
      <c r="B144" s="4">
        <v>44928</v>
      </c>
      <c r="C144" s="1">
        <v>14.5</v>
      </c>
      <c r="D144">
        <v>1059</v>
      </c>
      <c r="E144">
        <v>1</v>
      </c>
      <c r="F144" s="2">
        <v>14029</v>
      </c>
      <c r="G144" s="2">
        <f t="shared" si="16"/>
        <v>6233.75</v>
      </c>
      <c r="I144" s="1">
        <f t="shared" si="14"/>
        <v>10.283333333333333</v>
      </c>
      <c r="J144" s="2">
        <f t="shared" si="15"/>
        <v>544.75</v>
      </c>
      <c r="L144" s="1">
        <f t="shared" si="17"/>
        <v>10.507166666666667</v>
      </c>
      <c r="M144" s="2">
        <f t="shared" si="18"/>
        <v>442.05</v>
      </c>
      <c r="O144" s="1">
        <f t="shared" si="19"/>
        <v>9.8086111111111123</v>
      </c>
      <c r="P144" s="2">
        <f t="shared" si="20"/>
        <v>380.52777777777777</v>
      </c>
    </row>
    <row r="145" spans="1:16" x14ac:dyDescent="0.45">
      <c r="A145" s="12"/>
      <c r="B145" s="4">
        <v>44935</v>
      </c>
      <c r="C145" s="1">
        <f>14+5/60</f>
        <v>14.083333333333334</v>
      </c>
      <c r="D145">
        <v>592</v>
      </c>
      <c r="E145">
        <v>0</v>
      </c>
      <c r="F145" s="2">
        <v>8332</v>
      </c>
      <c r="G145" s="2">
        <f t="shared" si="16"/>
        <v>7551.25</v>
      </c>
      <c r="I145" s="1">
        <f t="shared" si="14"/>
        <v>10.208333333333334</v>
      </c>
      <c r="J145" s="2">
        <f t="shared" si="15"/>
        <v>515.75</v>
      </c>
      <c r="L145" s="1">
        <f t="shared" si="17"/>
        <v>10.5265</v>
      </c>
      <c r="M145" s="2">
        <f t="shared" si="18"/>
        <v>473.2</v>
      </c>
      <c r="O145" s="1">
        <f t="shared" si="19"/>
        <v>10.811759259259258</v>
      </c>
      <c r="P145" s="2">
        <f t="shared" si="20"/>
        <v>445.25</v>
      </c>
    </row>
    <row r="146" spans="1:16" x14ac:dyDescent="0.45">
      <c r="A146" s="12"/>
      <c r="B146" s="4">
        <v>44942</v>
      </c>
      <c r="C146" s="1">
        <v>3.75</v>
      </c>
      <c r="D146">
        <v>87</v>
      </c>
      <c r="E146">
        <v>0</v>
      </c>
      <c r="F146" s="2">
        <v>1983</v>
      </c>
      <c r="G146" s="2">
        <f t="shared" si="16"/>
        <v>7616.5</v>
      </c>
      <c r="I146" s="1">
        <f t="shared" si="14"/>
        <v>10.375</v>
      </c>
      <c r="J146" s="2">
        <f t="shared" si="15"/>
        <v>518.75</v>
      </c>
      <c r="L146" s="1">
        <f t="shared" si="17"/>
        <v>10.190833333333334</v>
      </c>
      <c r="M146" s="2">
        <f t="shared" si="18"/>
        <v>480</v>
      </c>
      <c r="O146" s="1">
        <f t="shared" si="19"/>
        <v>11.056944444444445</v>
      </c>
      <c r="P146" s="2">
        <f t="shared" si="20"/>
        <v>479.33333333333331</v>
      </c>
    </row>
    <row r="147" spans="1:16" x14ac:dyDescent="0.45">
      <c r="A147" s="12"/>
      <c r="B147" s="4">
        <v>44949</v>
      </c>
      <c r="C147" s="1">
        <f>13+54/60</f>
        <v>13.9</v>
      </c>
      <c r="D147">
        <v>520</v>
      </c>
      <c r="E147">
        <v>2</v>
      </c>
      <c r="F147" s="2">
        <v>9378</v>
      </c>
      <c r="G147" s="2">
        <f t="shared" si="16"/>
        <v>8430.5</v>
      </c>
      <c r="I147" s="1">
        <f t="shared" si="14"/>
        <v>11.558333333333334</v>
      </c>
      <c r="J147" s="2">
        <f t="shared" si="15"/>
        <v>564.5</v>
      </c>
      <c r="L147" s="1">
        <f t="shared" si="17"/>
        <v>10.404166666666667</v>
      </c>
      <c r="M147" s="2">
        <f t="shared" si="18"/>
        <v>508.1</v>
      </c>
      <c r="O147" s="1">
        <f t="shared" si="19"/>
        <v>10.574074074074074</v>
      </c>
      <c r="P147" s="2">
        <f t="shared" si="20"/>
        <v>487.02777777777777</v>
      </c>
    </row>
    <row r="148" spans="1:16" x14ac:dyDescent="0.45">
      <c r="A148" s="12"/>
      <c r="B148" s="4">
        <v>44956</v>
      </c>
      <c r="C148" s="1">
        <f>15+22/60</f>
        <v>15.366666666666667</v>
      </c>
      <c r="D148">
        <v>572</v>
      </c>
      <c r="E148">
        <v>2</v>
      </c>
      <c r="F148" s="2">
        <v>10522</v>
      </c>
      <c r="G148" s="2">
        <f t="shared" si="16"/>
        <v>7553.75</v>
      </c>
      <c r="I148" s="1">
        <f t="shared" si="14"/>
        <v>11.775</v>
      </c>
      <c r="J148" s="2">
        <f t="shared" si="15"/>
        <v>442.75</v>
      </c>
      <c r="L148" s="1">
        <f t="shared" si="17"/>
        <v>10.84</v>
      </c>
      <c r="M148" s="2">
        <f t="shared" si="18"/>
        <v>517.29999999999995</v>
      </c>
      <c r="O148" s="1">
        <f t="shared" si="19"/>
        <v>10.413888888888888</v>
      </c>
      <c r="P148" s="2">
        <f t="shared" si="20"/>
        <v>492.97222222222223</v>
      </c>
    </row>
    <row r="149" spans="1:16" x14ac:dyDescent="0.45">
      <c r="A149" s="12"/>
      <c r="B149" s="4">
        <v>44963</v>
      </c>
      <c r="C149" s="1">
        <f>16+24/60</f>
        <v>16.399999999999999</v>
      </c>
      <c r="D149">
        <v>641</v>
      </c>
      <c r="E149">
        <v>2</v>
      </c>
      <c r="F149" s="2">
        <v>10273</v>
      </c>
      <c r="G149" s="2">
        <f t="shared" si="16"/>
        <v>8039</v>
      </c>
      <c r="I149" s="1">
        <f t="shared" si="14"/>
        <v>12.354166666666666</v>
      </c>
      <c r="J149" s="2">
        <f t="shared" si="15"/>
        <v>455</v>
      </c>
      <c r="L149" s="1">
        <f t="shared" si="17"/>
        <v>11.254166666666666</v>
      </c>
      <c r="M149" s="2">
        <f t="shared" si="18"/>
        <v>499.35</v>
      </c>
      <c r="O149" s="1">
        <f t="shared" si="19"/>
        <v>9.7245370370370363</v>
      </c>
      <c r="P149" s="2">
        <f t="shared" si="20"/>
        <v>443.5</v>
      </c>
    </row>
    <row r="150" spans="1:16" x14ac:dyDescent="0.45">
      <c r="A150" s="12"/>
      <c r="B150" s="4">
        <v>44970</v>
      </c>
      <c r="C150" s="1">
        <v>13.4</v>
      </c>
      <c r="D150">
        <v>563</v>
      </c>
      <c r="E150">
        <v>2</v>
      </c>
      <c r="F150" s="2">
        <v>7760</v>
      </c>
      <c r="G150" s="2">
        <f t="shared" si="16"/>
        <v>9483.25</v>
      </c>
      <c r="I150" s="1">
        <f t="shared" si="14"/>
        <v>14.766666666666666</v>
      </c>
      <c r="J150" s="2">
        <f t="shared" si="15"/>
        <v>574</v>
      </c>
      <c r="L150" s="1">
        <f t="shared" si="17"/>
        <v>12.165833333333332</v>
      </c>
      <c r="M150" s="2">
        <f t="shared" si="18"/>
        <v>511</v>
      </c>
      <c r="O150" s="1">
        <f t="shared" si="19"/>
        <v>11.832870370370369</v>
      </c>
      <c r="P150" s="2">
        <f t="shared" si="20"/>
        <v>548.25</v>
      </c>
    </row>
    <row r="151" spans="1:16" x14ac:dyDescent="0.45">
      <c r="A151" s="12"/>
      <c r="B151" s="4">
        <v>44977</v>
      </c>
      <c r="C151" s="1">
        <v>16.5</v>
      </c>
      <c r="D151">
        <v>782</v>
      </c>
      <c r="E151">
        <v>3</v>
      </c>
      <c r="F151" s="2">
        <v>11051</v>
      </c>
      <c r="G151" s="2">
        <f t="shared" si="16"/>
        <v>9901.5</v>
      </c>
      <c r="I151" s="1">
        <f t="shared" si="14"/>
        <v>15.416666666666666</v>
      </c>
      <c r="J151" s="2">
        <f t="shared" si="15"/>
        <v>639.5</v>
      </c>
      <c r="L151" s="1">
        <f t="shared" si="17"/>
        <v>13.174166666666668</v>
      </c>
      <c r="M151" s="2">
        <f t="shared" si="18"/>
        <v>535.15</v>
      </c>
      <c r="O151" s="1">
        <f t="shared" si="19"/>
        <v>12.793055555555556</v>
      </c>
      <c r="P151" s="2">
        <f t="shared" si="20"/>
        <v>607.13888888888891</v>
      </c>
    </row>
    <row r="152" spans="1:16" x14ac:dyDescent="0.45">
      <c r="A152" s="12"/>
      <c r="B152" s="4">
        <v>44984</v>
      </c>
      <c r="C152" s="1">
        <v>16.329999999999998</v>
      </c>
      <c r="D152">
        <v>796</v>
      </c>
      <c r="E152">
        <v>2</v>
      </c>
      <c r="F152" s="2">
        <v>12200</v>
      </c>
      <c r="G152" s="2">
        <f t="shared" si="16"/>
        <v>10321</v>
      </c>
      <c r="I152" s="1">
        <f t="shared" si="14"/>
        <v>15.657499999999999</v>
      </c>
      <c r="J152" s="2">
        <f t="shared" si="15"/>
        <v>695.5</v>
      </c>
      <c r="L152" s="1">
        <f t="shared" si="17"/>
        <v>13.994</v>
      </c>
      <c r="M152" s="2">
        <f t="shared" si="18"/>
        <v>561.35</v>
      </c>
      <c r="O152" s="1">
        <f t="shared" si="19"/>
        <v>12.61888888888889</v>
      </c>
      <c r="P152" s="2">
        <f t="shared" si="20"/>
        <v>498.27777777777777</v>
      </c>
    </row>
    <row r="153" spans="1:16" x14ac:dyDescent="0.45">
      <c r="A153" s="12"/>
      <c r="B153" s="4">
        <v>44991</v>
      </c>
      <c r="C153" s="1">
        <v>11.5</v>
      </c>
      <c r="D153">
        <v>519</v>
      </c>
      <c r="E153">
        <v>1</v>
      </c>
      <c r="F153" s="2">
        <v>5266</v>
      </c>
      <c r="G153" s="2">
        <f t="shared" si="16"/>
        <v>9069.25</v>
      </c>
      <c r="I153" s="1">
        <f t="shared" si="14"/>
        <v>14.432499999999999</v>
      </c>
      <c r="J153" s="2">
        <f t="shared" si="15"/>
        <v>665</v>
      </c>
      <c r="L153" s="1">
        <f t="shared" si="17"/>
        <v>14.525499999999999</v>
      </c>
      <c r="M153" s="2">
        <f t="shared" si="18"/>
        <v>605.79999999999995</v>
      </c>
      <c r="O153" s="1">
        <f t="shared" si="19"/>
        <v>12.465555555555556</v>
      </c>
      <c r="P153" s="2">
        <f t="shared" si="20"/>
        <v>491.16666666666669</v>
      </c>
    </row>
    <row r="154" spans="1:16" x14ac:dyDescent="0.45">
      <c r="A154" s="12" t="s">
        <v>101</v>
      </c>
      <c r="B154" s="4">
        <v>44998</v>
      </c>
      <c r="C154" s="1">
        <v>9.1</v>
      </c>
      <c r="D154">
        <v>223</v>
      </c>
      <c r="E154">
        <v>1</v>
      </c>
      <c r="F154" s="2">
        <v>3452</v>
      </c>
      <c r="G154" s="2">
        <f t="shared" si="16"/>
        <v>7992.25</v>
      </c>
      <c r="I154" s="1">
        <f t="shared" si="14"/>
        <v>13.3575</v>
      </c>
      <c r="J154" s="2">
        <f t="shared" si="15"/>
        <v>580</v>
      </c>
      <c r="L154" s="1">
        <f t="shared" si="17"/>
        <v>14.726166666666668</v>
      </c>
      <c r="M154" s="2">
        <f t="shared" si="18"/>
        <v>630.79999999999995</v>
      </c>
      <c r="O154" s="1">
        <f t="shared" si="19"/>
        <v>14.757129629629629</v>
      </c>
      <c r="P154" s="2">
        <f t="shared" si="20"/>
        <v>600.05555555555554</v>
      </c>
    </row>
    <row r="155" spans="1:16" x14ac:dyDescent="0.45">
      <c r="A155" s="12" t="s">
        <v>102</v>
      </c>
      <c r="B155" s="4">
        <v>45005</v>
      </c>
      <c r="C155" s="1">
        <v>20.5</v>
      </c>
      <c r="D155">
        <v>834</v>
      </c>
      <c r="E155">
        <v>1</v>
      </c>
      <c r="F155" s="2">
        <v>6884</v>
      </c>
      <c r="G155" s="2">
        <f t="shared" si="16"/>
        <v>6950.5</v>
      </c>
      <c r="I155" s="1">
        <f t="shared" si="14"/>
        <v>14.3575</v>
      </c>
      <c r="J155" s="2">
        <f t="shared" si="15"/>
        <v>593</v>
      </c>
      <c r="L155" s="1">
        <f t="shared" si="17"/>
        <v>14.644333333333332</v>
      </c>
      <c r="M155" s="2">
        <f t="shared" si="18"/>
        <v>634.6</v>
      </c>
      <c r="O155" s="1">
        <f t="shared" si="19"/>
        <v>14.976481481481478</v>
      </c>
      <c r="P155" s="2">
        <f t="shared" si="20"/>
        <v>621.44444444444446</v>
      </c>
    </row>
    <row r="156" spans="1:16" x14ac:dyDescent="0.45">
      <c r="A156" s="12"/>
      <c r="B156" s="4">
        <v>45012</v>
      </c>
      <c r="C156" s="1">
        <f>15+26/60</f>
        <v>15.433333333333334</v>
      </c>
      <c r="D156">
        <v>909</v>
      </c>
      <c r="E156">
        <v>0</v>
      </c>
      <c r="F156" s="2">
        <v>9201</v>
      </c>
      <c r="G156" s="2">
        <f t="shared" si="16"/>
        <v>6200.75</v>
      </c>
      <c r="I156" s="1">
        <f t="shared" si="14"/>
        <v>14.133333333333333</v>
      </c>
      <c r="J156" s="2">
        <f t="shared" si="15"/>
        <v>621.25</v>
      </c>
      <c r="L156" s="1">
        <f t="shared" si="17"/>
        <v>14.387666666666666</v>
      </c>
      <c r="M156" s="2">
        <f t="shared" si="18"/>
        <v>630.95000000000005</v>
      </c>
      <c r="O156" s="1">
        <f t="shared" si="19"/>
        <v>14.871759259259258</v>
      </c>
      <c r="P156" s="2">
        <f t="shared" si="20"/>
        <v>640.63888888888891</v>
      </c>
    </row>
    <row r="157" spans="1:16" x14ac:dyDescent="0.45">
      <c r="A157" s="12" t="s">
        <v>210</v>
      </c>
      <c r="B157" s="4">
        <v>45019</v>
      </c>
      <c r="C157" s="1">
        <f>6+38/60</f>
        <v>6.6333333333333329</v>
      </c>
      <c r="D157">
        <v>283</v>
      </c>
      <c r="E157">
        <v>1</v>
      </c>
      <c r="F157" s="2">
        <v>5041</v>
      </c>
      <c r="G157" s="2">
        <f t="shared" si="16"/>
        <v>6144.5</v>
      </c>
      <c r="I157" s="1">
        <f t="shared" si="14"/>
        <v>12.916666666666666</v>
      </c>
      <c r="J157" s="2">
        <f t="shared" si="15"/>
        <v>562.25</v>
      </c>
      <c r="L157" s="1">
        <f t="shared" si="17"/>
        <v>13.839499999999997</v>
      </c>
      <c r="M157" s="2">
        <f t="shared" si="18"/>
        <v>604.29999999999995</v>
      </c>
      <c r="O157" s="1">
        <f t="shared" si="19"/>
        <v>14.266111111111112</v>
      </c>
      <c r="P157" s="2">
        <f t="shared" si="20"/>
        <v>634.55555555555554</v>
      </c>
    </row>
    <row r="158" spans="1:16" x14ac:dyDescent="0.45">
      <c r="A158" s="12"/>
      <c r="B158" s="4">
        <v>45026</v>
      </c>
      <c r="C158" s="1">
        <f>18+37/60</f>
        <v>18.616666666666667</v>
      </c>
      <c r="D158">
        <v>774</v>
      </c>
      <c r="E158">
        <v>2</v>
      </c>
      <c r="F158" s="2">
        <v>13871</v>
      </c>
      <c r="G158" s="2">
        <f t="shared" si="16"/>
        <v>8749.25</v>
      </c>
      <c r="I158" s="1">
        <f t="shared" si="14"/>
        <v>15.295833333333334</v>
      </c>
      <c r="J158" s="2">
        <f t="shared" si="15"/>
        <v>700</v>
      </c>
      <c r="L158" s="1">
        <f t="shared" si="17"/>
        <v>14.012166666666667</v>
      </c>
      <c r="M158" s="2">
        <f t="shared" si="18"/>
        <v>611.29999999999995</v>
      </c>
      <c r="O158" s="1">
        <f t="shared" si="19"/>
        <v>14.472037037037037</v>
      </c>
      <c r="P158" s="2">
        <f t="shared" si="20"/>
        <v>651.66666666666663</v>
      </c>
    </row>
    <row r="159" spans="1:16" x14ac:dyDescent="0.45">
      <c r="A159" s="12"/>
      <c r="B159" s="4">
        <v>45033</v>
      </c>
      <c r="C159" s="1">
        <f>23+5/60</f>
        <v>23.083333333333332</v>
      </c>
      <c r="D159">
        <v>1116</v>
      </c>
      <c r="E159">
        <v>2</v>
      </c>
      <c r="F159" s="2">
        <v>16705</v>
      </c>
      <c r="G159" s="2">
        <f t="shared" si="16"/>
        <v>11204.5</v>
      </c>
      <c r="I159" s="1">
        <f t="shared" si="14"/>
        <v>15.941666666666666</v>
      </c>
      <c r="J159" s="2">
        <f t="shared" si="15"/>
        <v>770.5</v>
      </c>
      <c r="L159" s="1">
        <f t="shared" si="17"/>
        <v>14.529</v>
      </c>
      <c r="M159" s="2">
        <f t="shared" si="18"/>
        <v>649.4</v>
      </c>
      <c r="O159" s="1">
        <f t="shared" si="19"/>
        <v>14.171944444444442</v>
      </c>
      <c r="P159" s="2">
        <f t="shared" si="20"/>
        <v>629.38888888888891</v>
      </c>
    </row>
    <row r="160" spans="1:16" x14ac:dyDescent="0.45">
      <c r="A160" s="12"/>
      <c r="B160" s="4">
        <v>45040</v>
      </c>
      <c r="C160" s="1">
        <f>21+56/60</f>
        <v>21.933333333333334</v>
      </c>
      <c r="D160">
        <v>1216</v>
      </c>
      <c r="E160">
        <v>2</v>
      </c>
      <c r="F160" s="2">
        <v>16527</v>
      </c>
      <c r="G160" s="2">
        <f t="shared" si="16"/>
        <v>13036</v>
      </c>
      <c r="I160" s="1">
        <f t="shared" si="14"/>
        <v>17.566666666666666</v>
      </c>
      <c r="J160" s="2">
        <f t="shared" si="15"/>
        <v>847.25</v>
      </c>
      <c r="L160" s="1">
        <f t="shared" si="17"/>
        <v>15.170833333333334</v>
      </c>
      <c r="M160" s="2">
        <f t="shared" si="18"/>
        <v>700.25</v>
      </c>
      <c r="O160" s="1">
        <f t="shared" si="19"/>
        <v>14.065277777777776</v>
      </c>
      <c r="P160" s="2">
        <f t="shared" si="20"/>
        <v>615.66666666666663</v>
      </c>
    </row>
    <row r="161" spans="1:16" x14ac:dyDescent="0.45">
      <c r="A161" s="12"/>
      <c r="B161" s="4">
        <v>45047</v>
      </c>
      <c r="C161" s="1">
        <v>22.5</v>
      </c>
      <c r="D161">
        <v>1069</v>
      </c>
      <c r="E161">
        <v>2</v>
      </c>
      <c r="F161" s="2">
        <v>16009</v>
      </c>
      <c r="G161" s="2">
        <f t="shared" si="16"/>
        <v>15778</v>
      </c>
      <c r="I161" s="1">
        <f t="shared" si="14"/>
        <v>21.533333333333335</v>
      </c>
      <c r="J161" s="2">
        <f t="shared" si="15"/>
        <v>1043.75</v>
      </c>
      <c r="L161" s="1">
        <f t="shared" si="17"/>
        <v>16.650833333333331</v>
      </c>
      <c r="M161" s="2">
        <f t="shared" si="18"/>
        <v>784.75</v>
      </c>
      <c r="O161" s="1">
        <f t="shared" si="19"/>
        <v>15.337499999999999</v>
      </c>
      <c r="P161" s="2">
        <f t="shared" si="20"/>
        <v>678.77777777777783</v>
      </c>
    </row>
    <row r="162" spans="1:16" x14ac:dyDescent="0.45">
      <c r="A162" s="12"/>
      <c r="B162" s="4">
        <v>45054</v>
      </c>
      <c r="C162" s="1">
        <v>14.5</v>
      </c>
      <c r="D162">
        <v>833</v>
      </c>
      <c r="E162">
        <v>1</v>
      </c>
      <c r="F162" s="2">
        <v>10534</v>
      </c>
      <c r="G162" s="2">
        <f t="shared" si="16"/>
        <v>14943.75</v>
      </c>
      <c r="I162" s="1">
        <f t="shared" si="14"/>
        <v>20.504166666666666</v>
      </c>
      <c r="J162" s="2">
        <f t="shared" si="15"/>
        <v>1058.5</v>
      </c>
      <c r="L162" s="1">
        <f t="shared" si="17"/>
        <v>18.168333333333333</v>
      </c>
      <c r="M162" s="2">
        <f t="shared" si="18"/>
        <v>884</v>
      </c>
      <c r="O162" s="1">
        <f t="shared" si="19"/>
        <v>17.293055555555558</v>
      </c>
      <c r="P162" s="2">
        <f t="shared" si="20"/>
        <v>824.61111111111109</v>
      </c>
    </row>
    <row r="163" spans="1:16" x14ac:dyDescent="0.45">
      <c r="A163" s="12"/>
      <c r="B163" s="4">
        <v>45061</v>
      </c>
      <c r="C163" s="1">
        <f>20+15/60</f>
        <v>20.25</v>
      </c>
      <c r="D163">
        <v>1065</v>
      </c>
      <c r="E163">
        <v>2</v>
      </c>
      <c r="F163" s="2">
        <v>15285</v>
      </c>
      <c r="G163" s="2">
        <f t="shared" si="16"/>
        <v>14588.75</v>
      </c>
      <c r="I163" s="1">
        <f t="shared" si="14"/>
        <v>19.795833333333334</v>
      </c>
      <c r="J163" s="2">
        <f t="shared" si="15"/>
        <v>1045.75</v>
      </c>
      <c r="L163" s="1">
        <f t="shared" si="17"/>
        <v>19.068333333333335</v>
      </c>
      <c r="M163" s="2">
        <f t="shared" si="18"/>
        <v>953.15</v>
      </c>
      <c r="O163" s="1">
        <f t="shared" si="19"/>
        <v>16.708333333333332</v>
      </c>
      <c r="P163" s="2">
        <f t="shared" si="20"/>
        <v>841.08333333333337</v>
      </c>
    </row>
    <row r="164" spans="1:16" x14ac:dyDescent="0.45">
      <c r="A164" s="12"/>
      <c r="B164" s="4">
        <v>45068</v>
      </c>
      <c r="C164" s="1">
        <f>16+46/60</f>
        <v>16.766666666666666</v>
      </c>
      <c r="D164">
        <v>814</v>
      </c>
      <c r="E164">
        <v>2</v>
      </c>
      <c r="F164" s="2">
        <v>12570</v>
      </c>
      <c r="G164" s="2">
        <f t="shared" si="16"/>
        <v>13599.5</v>
      </c>
      <c r="I164" s="1">
        <f t="shared" si="14"/>
        <v>18.504166666666666</v>
      </c>
      <c r="J164" s="2">
        <f t="shared" si="15"/>
        <v>945.25</v>
      </c>
      <c r="L164" s="1">
        <f t="shared" si="17"/>
        <v>19.580833333333334</v>
      </c>
      <c r="M164" s="2">
        <f t="shared" si="18"/>
        <v>988.1</v>
      </c>
      <c r="O164" s="1">
        <f t="shared" si="19"/>
        <v>17.286574074074071</v>
      </c>
      <c r="P164" s="2">
        <f t="shared" si="20"/>
        <v>838.25</v>
      </c>
    </row>
    <row r="165" spans="1:16" x14ac:dyDescent="0.45">
      <c r="A165" s="12"/>
      <c r="B165" s="4">
        <v>45075</v>
      </c>
      <c r="C165" s="1">
        <v>20.5</v>
      </c>
      <c r="D165">
        <v>1057</v>
      </c>
      <c r="E165">
        <v>2</v>
      </c>
      <c r="F165" s="2">
        <v>15065</v>
      </c>
      <c r="G165" s="2">
        <f t="shared" si="16"/>
        <v>13363.5</v>
      </c>
      <c r="I165" s="1">
        <f t="shared" si="14"/>
        <v>18.004166666666666</v>
      </c>
      <c r="J165" s="2">
        <f t="shared" si="15"/>
        <v>942.25</v>
      </c>
      <c r="L165" s="1">
        <f t="shared" si="17"/>
        <v>19.668333333333333</v>
      </c>
      <c r="M165" s="2">
        <f t="shared" si="18"/>
        <v>1007.1</v>
      </c>
      <c r="O165" s="1">
        <f t="shared" si="19"/>
        <v>20.205555555555559</v>
      </c>
      <c r="P165" s="2">
        <f t="shared" si="20"/>
        <v>996.02777777777783</v>
      </c>
    </row>
    <row r="166" spans="1:16" x14ac:dyDescent="0.45">
      <c r="A166" s="12"/>
      <c r="B166" s="4">
        <v>45082</v>
      </c>
      <c r="C166" s="1">
        <v>20.5</v>
      </c>
      <c r="D166">
        <v>766</v>
      </c>
      <c r="E166">
        <v>2</v>
      </c>
      <c r="F166" s="2">
        <v>12494</v>
      </c>
      <c r="G166" s="2">
        <f t="shared" si="16"/>
        <v>13853.5</v>
      </c>
      <c r="I166" s="1">
        <f t="shared" si="14"/>
        <v>19.504166666666666</v>
      </c>
      <c r="J166" s="2">
        <f t="shared" si="15"/>
        <v>925.5</v>
      </c>
      <c r="L166" s="1">
        <f t="shared" si="17"/>
        <v>19.262499999999999</v>
      </c>
      <c r="M166" s="2">
        <f t="shared" si="18"/>
        <v>983.45</v>
      </c>
      <c r="O166" s="1">
        <f t="shared" si="19"/>
        <v>20.513888888888889</v>
      </c>
      <c r="P166" s="2">
        <f t="shared" si="20"/>
        <v>1044.4722222222222</v>
      </c>
    </row>
    <row r="167" spans="1:16" x14ac:dyDescent="0.45">
      <c r="A167" s="12"/>
      <c r="B167" s="4">
        <v>45089</v>
      </c>
      <c r="C167" s="1">
        <v>16.5</v>
      </c>
      <c r="D167">
        <v>719</v>
      </c>
      <c r="E167">
        <v>1</v>
      </c>
      <c r="F167" s="2">
        <v>11164</v>
      </c>
      <c r="G167" s="2">
        <f t="shared" si="16"/>
        <v>12823.25</v>
      </c>
      <c r="I167" s="1">
        <f t="shared" si="14"/>
        <v>18.566666666666666</v>
      </c>
      <c r="J167" s="2">
        <f t="shared" si="15"/>
        <v>839</v>
      </c>
      <c r="L167" s="1">
        <f t="shared" si="17"/>
        <v>18.875</v>
      </c>
      <c r="M167" s="2">
        <f t="shared" si="18"/>
        <v>939.55</v>
      </c>
      <c r="O167" s="1">
        <f t="shared" si="19"/>
        <v>19.646759259259259</v>
      </c>
      <c r="P167" s="2">
        <f t="shared" si="20"/>
        <v>1005.8888888888889</v>
      </c>
    </row>
    <row r="168" spans="1:16" x14ac:dyDescent="0.45">
      <c r="A168" s="12"/>
      <c r="B168" s="4">
        <v>45096</v>
      </c>
      <c r="C168" s="1">
        <f>20+5/60</f>
        <v>20.083333333333332</v>
      </c>
      <c r="D168">
        <v>1012</v>
      </c>
      <c r="E168">
        <v>2</v>
      </c>
      <c r="F168" s="2">
        <v>15177</v>
      </c>
      <c r="G168" s="2">
        <f t="shared" si="16"/>
        <v>13475</v>
      </c>
      <c r="I168" s="1">
        <f t="shared" si="14"/>
        <v>19.395833333333332</v>
      </c>
      <c r="J168" s="2">
        <f t="shared" si="15"/>
        <v>888.5</v>
      </c>
      <c r="L168" s="1">
        <f t="shared" si="17"/>
        <v>18.794999999999998</v>
      </c>
      <c r="M168" s="2">
        <f t="shared" si="18"/>
        <v>908.1</v>
      </c>
      <c r="O168" s="1">
        <f t="shared" si="19"/>
        <v>18.983796296296294</v>
      </c>
      <c r="P168" s="2">
        <f t="shared" si="20"/>
        <v>939.41666666666663</v>
      </c>
    </row>
    <row r="169" spans="1:16" x14ac:dyDescent="0.45">
      <c r="A169" s="12"/>
      <c r="B169" s="4">
        <v>45103</v>
      </c>
      <c r="C169" s="1">
        <v>20</v>
      </c>
      <c r="D169">
        <v>1057</v>
      </c>
      <c r="E169">
        <v>2</v>
      </c>
      <c r="F169" s="2">
        <v>14322</v>
      </c>
      <c r="G169" s="2">
        <f t="shared" si="16"/>
        <v>13289.25</v>
      </c>
      <c r="I169" s="1">
        <f t="shared" si="14"/>
        <v>19.270833333333332</v>
      </c>
      <c r="J169" s="2">
        <f t="shared" si="15"/>
        <v>888.5</v>
      </c>
      <c r="L169" s="1">
        <f t="shared" si="17"/>
        <v>18.948333333333334</v>
      </c>
      <c r="M169" s="2">
        <f t="shared" si="18"/>
        <v>896.75</v>
      </c>
      <c r="O169" s="1">
        <f t="shared" si="19"/>
        <v>18.125462962962963</v>
      </c>
      <c r="P169" s="2">
        <f t="shared" si="20"/>
        <v>905.27777777777783</v>
      </c>
    </row>
    <row r="170" spans="1:16" x14ac:dyDescent="0.45">
      <c r="A170" s="12"/>
      <c r="B170" s="4">
        <v>45110</v>
      </c>
      <c r="C170" s="1">
        <f>19+18/60</f>
        <v>19.3</v>
      </c>
      <c r="D170">
        <v>978</v>
      </c>
      <c r="E170">
        <v>2</v>
      </c>
      <c r="F170" s="2">
        <v>13585</v>
      </c>
      <c r="G170" s="2">
        <f t="shared" si="16"/>
        <v>13562</v>
      </c>
      <c r="I170" s="1">
        <f t="shared" si="14"/>
        <v>18.970833333333331</v>
      </c>
      <c r="J170" s="2">
        <f t="shared" si="15"/>
        <v>941.5</v>
      </c>
      <c r="L170" s="1">
        <f t="shared" si="17"/>
        <v>19.141666666666666</v>
      </c>
      <c r="M170" s="2">
        <f t="shared" si="18"/>
        <v>896.6</v>
      </c>
      <c r="O170" s="1">
        <f t="shared" si="19"/>
        <v>19.17824074074074</v>
      </c>
      <c r="P170" s="2">
        <f t="shared" si="20"/>
        <v>927.61111111111109</v>
      </c>
    </row>
    <row r="171" spans="1:16" x14ac:dyDescent="0.45">
      <c r="A171" s="12"/>
      <c r="B171" s="4">
        <v>45117</v>
      </c>
      <c r="C171" s="1">
        <f>22+8/60</f>
        <v>22.133333333333333</v>
      </c>
      <c r="D171">
        <v>1077</v>
      </c>
      <c r="E171">
        <v>2</v>
      </c>
      <c r="F171" s="2">
        <v>15638</v>
      </c>
      <c r="G171" s="2">
        <f t="shared" si="16"/>
        <v>14680.5</v>
      </c>
      <c r="I171" s="1">
        <f t="shared" si="14"/>
        <v>20.379166666666663</v>
      </c>
      <c r="J171" s="2">
        <f t="shared" si="15"/>
        <v>1031</v>
      </c>
      <c r="L171" s="1">
        <f t="shared" si="17"/>
        <v>19.316666666666666</v>
      </c>
      <c r="M171" s="2">
        <f t="shared" si="18"/>
        <v>917.7</v>
      </c>
      <c r="O171" s="1">
        <f t="shared" si="19"/>
        <v>19.005555555555553</v>
      </c>
      <c r="P171" s="2">
        <f t="shared" si="20"/>
        <v>898.72222222222217</v>
      </c>
    </row>
    <row r="172" spans="1:16" x14ac:dyDescent="0.45">
      <c r="A172" s="12" t="s">
        <v>109</v>
      </c>
      <c r="B172" s="4">
        <v>45124</v>
      </c>
      <c r="C172" s="1">
        <v>16</v>
      </c>
      <c r="D172">
        <v>737</v>
      </c>
      <c r="E172">
        <v>1</v>
      </c>
      <c r="F172" s="2">
        <v>8967</v>
      </c>
      <c r="G172" s="2">
        <f t="shared" si="16"/>
        <v>13128</v>
      </c>
      <c r="I172" s="1">
        <f t="shared" si="14"/>
        <v>19.358333333333334</v>
      </c>
      <c r="J172" s="2">
        <f t="shared" si="15"/>
        <v>962.25</v>
      </c>
      <c r="L172" s="1">
        <f t="shared" si="17"/>
        <v>19.475000000000001</v>
      </c>
      <c r="M172" s="2">
        <f t="shared" si="18"/>
        <v>942.35</v>
      </c>
      <c r="O172" s="1">
        <f t="shared" si="19"/>
        <v>19.585648148148149</v>
      </c>
      <c r="P172" s="2">
        <f t="shared" si="20"/>
        <v>923.47222222222217</v>
      </c>
    </row>
    <row r="173" spans="1:16" x14ac:dyDescent="0.45">
      <c r="A173" s="12"/>
      <c r="B173" s="4">
        <v>45131</v>
      </c>
      <c r="C173" s="1">
        <f>9+34/60</f>
        <v>9.5666666666666664</v>
      </c>
      <c r="D173">
        <v>326</v>
      </c>
      <c r="E173">
        <v>1</v>
      </c>
      <c r="F173" s="2">
        <v>5525</v>
      </c>
      <c r="G173" s="2">
        <f t="shared" si="16"/>
        <v>10928.75</v>
      </c>
      <c r="I173" s="1">
        <f t="shared" si="14"/>
        <v>16.75</v>
      </c>
      <c r="J173" s="2">
        <f t="shared" si="15"/>
        <v>779.5</v>
      </c>
      <c r="L173" s="1">
        <f t="shared" si="17"/>
        <v>18.945833333333333</v>
      </c>
      <c r="M173" s="2">
        <f t="shared" si="18"/>
        <v>920.55</v>
      </c>
      <c r="O173" s="1">
        <f t="shared" si="19"/>
        <v>19.032407407407408</v>
      </c>
      <c r="P173" s="2">
        <f t="shared" si="20"/>
        <v>873.91666666666663</v>
      </c>
    </row>
    <row r="174" spans="1:16" x14ac:dyDescent="0.45">
      <c r="A174" s="12"/>
      <c r="B174" s="4">
        <v>45138</v>
      </c>
      <c r="C174" s="1">
        <f>24+6/60</f>
        <v>24.1</v>
      </c>
      <c r="D174">
        <v>1020</v>
      </c>
      <c r="E174">
        <v>3</v>
      </c>
      <c r="F174" s="2">
        <v>16723</v>
      </c>
      <c r="G174" s="2">
        <f t="shared" si="16"/>
        <v>11713.25</v>
      </c>
      <c r="I174" s="1">
        <f t="shared" si="14"/>
        <v>17.950000000000003</v>
      </c>
      <c r="J174" s="2">
        <f t="shared" si="15"/>
        <v>790</v>
      </c>
      <c r="L174" s="1">
        <f t="shared" si="17"/>
        <v>18.681666666666665</v>
      </c>
      <c r="M174" s="2">
        <f t="shared" si="18"/>
        <v>900.85</v>
      </c>
      <c r="O174" s="1">
        <f t="shared" si="19"/>
        <v>18.579166666666666</v>
      </c>
      <c r="P174" s="2">
        <f t="shared" si="20"/>
        <v>896.08333333333337</v>
      </c>
    </row>
    <row r="175" spans="1:16" x14ac:dyDescent="0.45">
      <c r="A175" s="12"/>
      <c r="B175" s="4">
        <v>45145</v>
      </c>
      <c r="C175" s="1">
        <v>24.33</v>
      </c>
      <c r="D175">
        <v>1073</v>
      </c>
      <c r="E175" s="2">
        <v>2</v>
      </c>
      <c r="F175" s="2">
        <v>15984</v>
      </c>
      <c r="G175" s="2">
        <f t="shared" si="16"/>
        <v>11799.75</v>
      </c>
      <c r="I175" s="1">
        <f t="shared" si="14"/>
        <v>18.499166666666667</v>
      </c>
      <c r="J175" s="2">
        <f t="shared" si="15"/>
        <v>789</v>
      </c>
      <c r="L175" s="1">
        <f t="shared" si="17"/>
        <v>18.58733333333333</v>
      </c>
      <c r="M175" s="2">
        <f t="shared" si="18"/>
        <v>870.35</v>
      </c>
      <c r="O175" s="1">
        <f t="shared" si="19"/>
        <v>19.232314814814814</v>
      </c>
      <c r="P175" s="2">
        <f t="shared" si="20"/>
        <v>938.52777777777783</v>
      </c>
    </row>
    <row r="176" spans="1:16" x14ac:dyDescent="0.45">
      <c r="A176" s="12"/>
      <c r="B176" s="4">
        <v>45152</v>
      </c>
      <c r="C176" s="1">
        <f>20+38/60</f>
        <v>20.633333333333333</v>
      </c>
      <c r="D176" s="2">
        <v>1165</v>
      </c>
      <c r="E176" s="2">
        <v>1</v>
      </c>
      <c r="F176" s="2">
        <v>14970</v>
      </c>
      <c r="G176" s="2">
        <f t="shared" si="16"/>
        <v>13300.5</v>
      </c>
      <c r="I176" s="1">
        <f t="shared" si="14"/>
        <v>19.657499999999999</v>
      </c>
      <c r="J176" s="2">
        <f t="shared" si="15"/>
        <v>896</v>
      </c>
      <c r="L176" s="1">
        <f t="shared" si="17"/>
        <v>18.443000000000001</v>
      </c>
      <c r="M176" s="2">
        <f t="shared" si="18"/>
        <v>843.35</v>
      </c>
      <c r="O176" s="1">
        <f t="shared" si="19"/>
        <v>19.104444444444443</v>
      </c>
      <c r="P176" s="2">
        <f t="shared" si="20"/>
        <v>920.11111111111109</v>
      </c>
    </row>
    <row r="177" spans="1:16" x14ac:dyDescent="0.45">
      <c r="A177" s="13" t="s">
        <v>211</v>
      </c>
      <c r="B177" s="4">
        <v>45159</v>
      </c>
      <c r="C177" s="1">
        <f>20+52/60</f>
        <v>20.866666666666667</v>
      </c>
      <c r="D177" s="2">
        <v>1352</v>
      </c>
      <c r="E177" s="2">
        <v>0</v>
      </c>
      <c r="F177" s="2">
        <v>18156</v>
      </c>
      <c r="G177" s="2">
        <f t="shared" si="16"/>
        <v>16458.25</v>
      </c>
      <c r="I177" s="1">
        <f t="shared" si="14"/>
        <v>22.482500000000002</v>
      </c>
      <c r="J177" s="2">
        <f t="shared" si="15"/>
        <v>1152.5</v>
      </c>
      <c r="L177" s="1">
        <f t="shared" si="17"/>
        <v>19.067833333333333</v>
      </c>
      <c r="M177" s="2">
        <f t="shared" si="18"/>
        <v>881.4</v>
      </c>
      <c r="O177" s="1">
        <f t="shared" si="19"/>
        <v>19.019166666666663</v>
      </c>
      <c r="P177" s="2">
        <f t="shared" si="20"/>
        <v>899.88888888888891</v>
      </c>
    </row>
    <row r="178" spans="1:16" x14ac:dyDescent="0.45">
      <c r="A178" s="12"/>
      <c r="B178" s="4">
        <v>45166</v>
      </c>
      <c r="C178" s="1">
        <f>15+12/60</f>
        <v>15.2</v>
      </c>
      <c r="D178" s="2">
        <v>876</v>
      </c>
      <c r="E178" s="2">
        <v>0</v>
      </c>
      <c r="F178" s="2">
        <v>12272</v>
      </c>
      <c r="G178" s="2">
        <f t="shared" si="16"/>
        <v>15345.5</v>
      </c>
      <c r="I178" s="1">
        <f t="shared" si="14"/>
        <v>20.2575</v>
      </c>
      <c r="J178" s="2">
        <f t="shared" si="15"/>
        <v>1116.5</v>
      </c>
      <c r="L178" s="1">
        <f t="shared" si="17"/>
        <v>19.769333333333332</v>
      </c>
      <c r="M178" s="2">
        <f t="shared" si="18"/>
        <v>948.8</v>
      </c>
      <c r="O178" s="1">
        <f t="shared" si="19"/>
        <v>18.975555555555552</v>
      </c>
      <c r="P178" s="2">
        <f t="shared" si="20"/>
        <v>894.38888888888891</v>
      </c>
    </row>
    <row r="179" spans="1:16" x14ac:dyDescent="0.45">
      <c r="A179" s="12"/>
      <c r="B179" s="4">
        <v>45173</v>
      </c>
      <c r="C179" s="1">
        <f>19+27/60</f>
        <v>19.45</v>
      </c>
      <c r="D179" s="2">
        <v>996</v>
      </c>
      <c r="E179" s="2">
        <v>2</v>
      </c>
      <c r="F179" s="2">
        <v>14103</v>
      </c>
      <c r="G179" s="2">
        <f t="shared" si="16"/>
        <v>14875.25</v>
      </c>
      <c r="I179" s="1">
        <f t="shared" si="14"/>
        <v>19.037500000000001</v>
      </c>
      <c r="J179" s="2">
        <f t="shared" si="15"/>
        <v>1097.25</v>
      </c>
      <c r="L179" s="1">
        <f t="shared" si="17"/>
        <v>19.98683333333333</v>
      </c>
      <c r="M179" s="2">
        <f t="shared" si="18"/>
        <v>1010.25</v>
      </c>
      <c r="O179" s="1">
        <f t="shared" si="19"/>
        <v>18.227777777777778</v>
      </c>
      <c r="P179" s="2">
        <f t="shared" si="20"/>
        <v>864.63888888888891</v>
      </c>
    </row>
    <row r="180" spans="1:16" x14ac:dyDescent="0.45">
      <c r="A180" s="12"/>
      <c r="B180" s="4">
        <v>45180</v>
      </c>
      <c r="C180" s="1">
        <f>16+21/60</f>
        <v>16.350000000000001</v>
      </c>
      <c r="D180" s="2">
        <v>941</v>
      </c>
      <c r="E180" s="2">
        <v>0</v>
      </c>
      <c r="F180" s="2">
        <v>12712</v>
      </c>
      <c r="G180" s="2">
        <f t="shared" si="16"/>
        <v>14310.75</v>
      </c>
      <c r="I180" s="1">
        <f t="shared" si="14"/>
        <v>17.966666666666669</v>
      </c>
      <c r="J180" s="2">
        <f t="shared" si="15"/>
        <v>1041.25</v>
      </c>
      <c r="L180" s="1">
        <f t="shared" si="17"/>
        <v>19.880333333333333</v>
      </c>
      <c r="M180" s="2">
        <f t="shared" si="18"/>
        <v>1060.7</v>
      </c>
      <c r="O180" s="1">
        <f t="shared" si="19"/>
        <v>18.852685185185187</v>
      </c>
      <c r="P180" s="2">
        <f t="shared" si="20"/>
        <v>916.11111111111109</v>
      </c>
    </row>
    <row r="181" spans="1:16" x14ac:dyDescent="0.45">
      <c r="A181" s="12"/>
      <c r="B181" s="4">
        <v>45187</v>
      </c>
      <c r="C181" s="1">
        <f>19+29/60</f>
        <v>19.483333333333334</v>
      </c>
      <c r="D181" s="2">
        <v>1244</v>
      </c>
      <c r="E181" s="2">
        <v>0</v>
      </c>
      <c r="F181" s="2">
        <v>15781</v>
      </c>
      <c r="G181" s="2">
        <f t="shared" si="16"/>
        <v>13717</v>
      </c>
      <c r="I181" s="1">
        <f t="shared" si="14"/>
        <v>17.620833333333334</v>
      </c>
      <c r="J181" s="2">
        <f t="shared" si="15"/>
        <v>1014.25</v>
      </c>
      <c r="L181" s="1">
        <f t="shared" si="17"/>
        <v>19.472999999999999</v>
      </c>
      <c r="M181" s="2">
        <f t="shared" si="18"/>
        <v>1084.3499999999999</v>
      </c>
      <c r="O181" s="1">
        <f t="shared" si="19"/>
        <v>21.182685185185182</v>
      </c>
      <c r="P181" s="2">
        <f t="shared" si="20"/>
        <v>1084.4166666666667</v>
      </c>
    </row>
    <row r="182" spans="1:16" x14ac:dyDescent="0.45">
      <c r="A182" s="12"/>
      <c r="B182" s="10">
        <v>45194</v>
      </c>
      <c r="C182" s="1">
        <f>12+58/60</f>
        <v>12.966666666666667</v>
      </c>
      <c r="D182" s="1">
        <v>563</v>
      </c>
      <c r="E182" s="2">
        <v>1</v>
      </c>
      <c r="F182" s="2">
        <v>7648</v>
      </c>
      <c r="G182" s="2">
        <f t="shared" si="16"/>
        <v>12561</v>
      </c>
      <c r="I182" s="1">
        <f t="shared" si="14"/>
        <v>17.0625</v>
      </c>
      <c r="J182" s="2">
        <f t="shared" si="15"/>
        <v>936</v>
      </c>
      <c r="L182" s="1">
        <f t="shared" si="17"/>
        <v>18.389000000000003</v>
      </c>
      <c r="M182" s="2">
        <f t="shared" si="18"/>
        <v>1041.05</v>
      </c>
      <c r="O182" s="1">
        <f t="shared" si="19"/>
        <v>19.9737962962963</v>
      </c>
      <c r="P182" s="2">
        <f t="shared" si="20"/>
        <v>1085.8055555555557</v>
      </c>
    </row>
    <row r="183" spans="1:16" x14ac:dyDescent="0.45">
      <c r="A183" s="12" t="s">
        <v>113</v>
      </c>
      <c r="B183" s="10">
        <v>45201</v>
      </c>
      <c r="C183" s="1">
        <f>18+34/60</f>
        <v>18.566666666666666</v>
      </c>
      <c r="D183" s="2">
        <v>924</v>
      </c>
      <c r="E183" s="2">
        <v>0</v>
      </c>
      <c r="F183" s="2">
        <v>12775</v>
      </c>
      <c r="G183" s="2">
        <f t="shared" si="16"/>
        <v>12229</v>
      </c>
      <c r="I183" s="1">
        <f t="shared" si="14"/>
        <v>16.841666666666669</v>
      </c>
      <c r="J183" s="2">
        <f t="shared" si="15"/>
        <v>918</v>
      </c>
      <c r="L183" s="1">
        <f t="shared" si="17"/>
        <v>17.705833333333334</v>
      </c>
      <c r="M183" s="2">
        <f t="shared" si="18"/>
        <v>1001.35</v>
      </c>
      <c r="O183" s="1">
        <f t="shared" si="19"/>
        <v>18.553703703703704</v>
      </c>
      <c r="P183" s="2">
        <f t="shared" si="20"/>
        <v>1071.2777777777778</v>
      </c>
    </row>
    <row r="184" spans="1:16" x14ac:dyDescent="0.45">
      <c r="A184" s="12"/>
      <c r="B184" s="10">
        <v>45208</v>
      </c>
      <c r="C184" s="1">
        <f>4+36/60</f>
        <v>4.5999999999999996</v>
      </c>
      <c r="D184" s="2">
        <v>286</v>
      </c>
      <c r="E184" s="2">
        <v>0</v>
      </c>
      <c r="F184" s="2">
        <v>3535</v>
      </c>
      <c r="G184" s="2">
        <f t="shared" si="16"/>
        <v>9934.75</v>
      </c>
      <c r="I184" s="1">
        <f t="shared" si="14"/>
        <v>13.904166666666667</v>
      </c>
      <c r="J184" s="2">
        <f t="shared" si="15"/>
        <v>754.25</v>
      </c>
      <c r="L184" s="1">
        <f t="shared" si="17"/>
        <v>16.679166666666667</v>
      </c>
      <c r="M184" s="2">
        <f t="shared" si="18"/>
        <v>932.75</v>
      </c>
      <c r="O184" s="1">
        <f t="shared" si="19"/>
        <v>17.509722222222219</v>
      </c>
      <c r="P184" s="2">
        <f t="shared" si="20"/>
        <v>1011.8888888888889</v>
      </c>
    </row>
    <row r="185" spans="1:16" x14ac:dyDescent="0.45">
      <c r="A185" s="12"/>
      <c r="B185" s="10">
        <v>45215</v>
      </c>
      <c r="C185" s="1">
        <v>0</v>
      </c>
      <c r="D185" s="2">
        <v>0</v>
      </c>
      <c r="E185" s="2">
        <v>0</v>
      </c>
      <c r="F185" s="2">
        <v>0</v>
      </c>
      <c r="G185" s="2">
        <f t="shared" si="16"/>
        <v>5989.5</v>
      </c>
      <c r="I185" s="1">
        <f t="shared" si="14"/>
        <v>9.0333333333333332</v>
      </c>
      <c r="J185" s="2">
        <f t="shared" si="15"/>
        <v>443.25</v>
      </c>
      <c r="L185" s="1">
        <f t="shared" si="17"/>
        <v>14.892500000000002</v>
      </c>
      <c r="M185" s="2">
        <f t="shared" si="18"/>
        <v>813.15</v>
      </c>
      <c r="O185" s="1">
        <f t="shared" si="19"/>
        <v>15.834259259259262</v>
      </c>
      <c r="P185" s="2">
        <f t="shared" si="20"/>
        <v>873.38888888888891</v>
      </c>
    </row>
    <row r="186" spans="1:16" x14ac:dyDescent="0.45">
      <c r="A186" s="12"/>
      <c r="B186" s="4">
        <v>45222</v>
      </c>
      <c r="C186" s="1">
        <f>13+56/60</f>
        <v>13.933333333333334</v>
      </c>
      <c r="D186" s="2">
        <v>588</v>
      </c>
      <c r="E186" s="2">
        <v>1</v>
      </c>
      <c r="F186" s="2">
        <v>2428</v>
      </c>
      <c r="G186" s="2">
        <f t="shared" si="16"/>
        <v>4684.5</v>
      </c>
      <c r="I186" s="1">
        <f t="shared" si="14"/>
        <v>9.2749999999999986</v>
      </c>
      <c r="J186" s="2">
        <f t="shared" si="15"/>
        <v>449.5</v>
      </c>
      <c r="L186" s="1">
        <f t="shared" si="17"/>
        <v>13.223333333333334</v>
      </c>
      <c r="M186" s="2">
        <f t="shared" si="18"/>
        <v>700.2</v>
      </c>
      <c r="O186" s="1">
        <f t="shared" si="19"/>
        <v>15.382870370370373</v>
      </c>
      <c r="P186" s="2">
        <f t="shared" si="20"/>
        <v>832.66666666666663</v>
      </c>
    </row>
    <row r="187" spans="1:16" x14ac:dyDescent="0.45">
      <c r="A187" s="12"/>
      <c r="B187" s="4">
        <v>45229</v>
      </c>
      <c r="C187" s="1">
        <f>12+56/60</f>
        <v>12.933333333333334</v>
      </c>
      <c r="D187" s="2">
        <v>522</v>
      </c>
      <c r="E187" s="2">
        <v>2</v>
      </c>
      <c r="F187" s="2">
        <v>8996</v>
      </c>
      <c r="G187" s="2">
        <f t="shared" si="16"/>
        <v>3739.75</v>
      </c>
      <c r="I187" s="1">
        <f t="shared" si="14"/>
        <v>7.8666666666666663</v>
      </c>
      <c r="J187" s="2">
        <f t="shared" si="15"/>
        <v>349</v>
      </c>
      <c r="L187" s="1">
        <f t="shared" si="17"/>
        <v>11.384166666666669</v>
      </c>
      <c r="M187" s="2">
        <f t="shared" si="18"/>
        <v>582.79999999999995</v>
      </c>
      <c r="O187" s="1">
        <f t="shared" si="19"/>
        <v>13.806018518518519</v>
      </c>
      <c r="P187" s="2">
        <f t="shared" si="20"/>
        <v>752.11111111111109</v>
      </c>
    </row>
    <row r="188" spans="1:16" x14ac:dyDescent="0.45">
      <c r="A188" s="12"/>
      <c r="B188" s="4">
        <v>45236</v>
      </c>
      <c r="C188" s="1">
        <f>18+33/60</f>
        <v>18.55</v>
      </c>
      <c r="D188" s="2">
        <v>823</v>
      </c>
      <c r="E188" s="2">
        <v>2</v>
      </c>
      <c r="F188" s="2">
        <v>12076</v>
      </c>
      <c r="G188" s="2">
        <f t="shared" si="16"/>
        <v>5875</v>
      </c>
      <c r="I188" s="1">
        <f t="shared" si="14"/>
        <v>11.354166666666668</v>
      </c>
      <c r="J188" s="2">
        <f t="shared" si="15"/>
        <v>483.25</v>
      </c>
      <c r="L188" s="1">
        <f t="shared" si="17"/>
        <v>10.286666666666667</v>
      </c>
      <c r="M188" s="2">
        <f t="shared" si="18"/>
        <v>495.85</v>
      </c>
      <c r="O188" s="1">
        <f t="shared" si="19"/>
        <v>12.979166666666666</v>
      </c>
      <c r="P188" s="2">
        <f t="shared" si="20"/>
        <v>680.5</v>
      </c>
    </row>
    <row r="189" spans="1:16" x14ac:dyDescent="0.45">
      <c r="A189" s="12"/>
      <c r="B189" s="4">
        <v>45243</v>
      </c>
      <c r="C189" s="1">
        <f>19+18/60</f>
        <v>19.3</v>
      </c>
      <c r="D189" s="2">
        <v>866</v>
      </c>
      <c r="E189" s="2">
        <v>2</v>
      </c>
      <c r="F189" s="2">
        <v>14083</v>
      </c>
      <c r="G189" s="2">
        <f t="shared" si="16"/>
        <v>9395.75</v>
      </c>
      <c r="I189" s="1">
        <f t="shared" si="14"/>
        <v>16.179166666666667</v>
      </c>
      <c r="J189" s="2">
        <f t="shared" si="15"/>
        <v>699.75</v>
      </c>
      <c r="L189" s="1">
        <f t="shared" si="17"/>
        <v>10.741666666666667</v>
      </c>
      <c r="M189" s="2">
        <f t="shared" si="18"/>
        <v>484.95</v>
      </c>
      <c r="O189" s="1">
        <f t="shared" si="19"/>
        <v>11.450925925925926</v>
      </c>
      <c r="P189" s="2">
        <f t="shared" si="20"/>
        <v>531.05555555555554</v>
      </c>
    </row>
    <row r="190" spans="1:16" x14ac:dyDescent="0.45">
      <c r="A190" s="12"/>
      <c r="B190" s="10">
        <v>45250</v>
      </c>
      <c r="C190" s="1">
        <f>15+29/60</f>
        <v>15.483333333333333</v>
      </c>
      <c r="D190" s="2">
        <v>651</v>
      </c>
      <c r="E190" s="2">
        <v>2</v>
      </c>
      <c r="F190" s="2">
        <v>10038</v>
      </c>
      <c r="G190" s="2">
        <f t="shared" si="16"/>
        <v>11298.25</v>
      </c>
      <c r="I190" s="1">
        <f t="shared" si="14"/>
        <v>16.566666666666666</v>
      </c>
      <c r="J190" s="2">
        <f t="shared" si="15"/>
        <v>715.5</v>
      </c>
      <c r="L190" s="1">
        <f t="shared" si="17"/>
        <v>12.248333333333333</v>
      </c>
      <c r="M190" s="2">
        <f t="shared" si="18"/>
        <v>539.4</v>
      </c>
      <c r="O190" s="1">
        <f t="shared" si="19"/>
        <v>11.440740740740742</v>
      </c>
      <c r="P190" s="2">
        <f t="shared" si="20"/>
        <v>535.38888888888891</v>
      </c>
    </row>
    <row r="191" spans="1:16" x14ac:dyDescent="0.45">
      <c r="A191" s="12"/>
      <c r="B191" s="10">
        <v>45257</v>
      </c>
      <c r="C191" s="1">
        <f>23+30/60</f>
        <v>23.5</v>
      </c>
      <c r="D191" s="2">
        <v>1052</v>
      </c>
      <c r="E191" s="2">
        <v>2</v>
      </c>
      <c r="F191" s="2">
        <v>11078</v>
      </c>
      <c r="G191" s="2">
        <f t="shared" si="16"/>
        <v>11818.75</v>
      </c>
      <c r="I191" s="1">
        <f t="shared" si="14"/>
        <v>19.208333333333336</v>
      </c>
      <c r="J191" s="2">
        <f t="shared" si="15"/>
        <v>848</v>
      </c>
      <c r="L191" s="1">
        <f t="shared" si="17"/>
        <v>14.234999999999999</v>
      </c>
      <c r="M191" s="2">
        <f t="shared" si="18"/>
        <v>619.1</v>
      </c>
      <c r="O191" s="1">
        <f t="shared" si="19"/>
        <v>10.32314814814815</v>
      </c>
      <c r="P191" s="2">
        <f t="shared" si="20"/>
        <v>463.05555555555554</v>
      </c>
    </row>
    <row r="192" spans="1:16" x14ac:dyDescent="0.45">
      <c r="A192" s="12"/>
      <c r="B192" s="10">
        <v>45264</v>
      </c>
      <c r="C192" s="1">
        <f>19+21/60</f>
        <v>19.350000000000001</v>
      </c>
      <c r="D192" s="2">
        <v>739</v>
      </c>
      <c r="E192" s="2">
        <v>2</v>
      </c>
      <c r="F192" s="2">
        <v>8041</v>
      </c>
      <c r="G192" s="2">
        <f t="shared" si="16"/>
        <v>10810</v>
      </c>
      <c r="I192" s="1">
        <f t="shared" si="14"/>
        <v>19.408333333333331</v>
      </c>
      <c r="J192" s="2">
        <f t="shared" si="15"/>
        <v>827</v>
      </c>
      <c r="L192" s="1">
        <f t="shared" si="17"/>
        <v>16.543333333333333</v>
      </c>
      <c r="M192" s="2">
        <f t="shared" si="18"/>
        <v>714.7</v>
      </c>
      <c r="O192" s="1">
        <f t="shared" si="19"/>
        <v>12.718981481481482</v>
      </c>
      <c r="P192" s="2">
        <f t="shared" si="20"/>
        <v>545.08333333333337</v>
      </c>
    </row>
    <row r="193" spans="1:16" x14ac:dyDescent="0.45">
      <c r="A193" s="12"/>
      <c r="B193" s="10">
        <v>45271</v>
      </c>
      <c r="C193" s="1">
        <f>20+13/60</f>
        <v>20.216666666666665</v>
      </c>
      <c r="D193" s="2">
        <v>793</v>
      </c>
      <c r="E193" s="2">
        <v>2</v>
      </c>
      <c r="F193" s="2">
        <v>13283</v>
      </c>
      <c r="G193" s="2">
        <f t="shared" si="16"/>
        <v>10610</v>
      </c>
      <c r="I193" s="1">
        <f t="shared" si="14"/>
        <v>19.637499999999999</v>
      </c>
      <c r="J193" s="2">
        <f t="shared" si="15"/>
        <v>808.75</v>
      </c>
      <c r="L193" s="1">
        <f t="shared" si="17"/>
        <v>18.2</v>
      </c>
      <c r="M193" s="2">
        <f t="shared" si="18"/>
        <v>779.8</v>
      </c>
      <c r="O193" s="1">
        <f t="shared" si="19"/>
        <v>16.698611111111113</v>
      </c>
      <c r="P193" s="2">
        <f t="shared" si="20"/>
        <v>712.69444444444446</v>
      </c>
    </row>
    <row r="194" spans="1:16" x14ac:dyDescent="0.45">
      <c r="A194" s="12"/>
      <c r="B194" s="4">
        <v>45278</v>
      </c>
      <c r="C194" s="1">
        <f>19+48/60</f>
        <v>19.8</v>
      </c>
      <c r="D194" s="2">
        <v>876</v>
      </c>
      <c r="E194" s="2">
        <v>2</v>
      </c>
      <c r="F194" s="2">
        <v>11660</v>
      </c>
      <c r="G194" s="2">
        <f t="shared" si="16"/>
        <v>11015.5</v>
      </c>
      <c r="I194" s="1">
        <f t="shared" si="14"/>
        <v>20.716666666666665</v>
      </c>
      <c r="J194" s="2">
        <f t="shared" si="15"/>
        <v>865</v>
      </c>
      <c r="L194" s="1">
        <f t="shared" si="17"/>
        <v>19.107500000000002</v>
      </c>
      <c r="M194" s="2">
        <f t="shared" si="18"/>
        <v>812.85</v>
      </c>
      <c r="O194" s="1">
        <f t="shared" si="19"/>
        <v>17.74490740740741</v>
      </c>
      <c r="P194" s="2">
        <f t="shared" si="20"/>
        <v>757.63888888888891</v>
      </c>
    </row>
    <row r="195" spans="1:16" x14ac:dyDescent="0.45">
      <c r="A195" s="12"/>
      <c r="B195" s="4">
        <v>45285</v>
      </c>
      <c r="C195" s="1">
        <f>16+10/60</f>
        <v>16.166666666666668</v>
      </c>
      <c r="D195" s="2">
        <v>643</v>
      </c>
      <c r="E195" s="2">
        <v>2</v>
      </c>
      <c r="F195" s="2">
        <v>10608</v>
      </c>
      <c r="G195" s="2">
        <f t="shared" si="16"/>
        <v>10898</v>
      </c>
      <c r="I195" s="1">
        <f t="shared" si="14"/>
        <v>18.883333333333333</v>
      </c>
      <c r="J195" s="2">
        <f t="shared" si="15"/>
        <v>762.75</v>
      </c>
      <c r="L195" s="1">
        <f t="shared" si="17"/>
        <v>19.570833333333333</v>
      </c>
      <c r="M195" s="2">
        <f t="shared" si="18"/>
        <v>822.3</v>
      </c>
      <c r="O195" s="1">
        <f t="shared" si="19"/>
        <v>19.103240740740738</v>
      </c>
      <c r="P195" s="2">
        <f t="shared" si="20"/>
        <v>820.61111111111109</v>
      </c>
    </row>
    <row r="196" spans="1:16" x14ac:dyDescent="0.45">
      <c r="A196" s="12"/>
      <c r="B196" s="4">
        <v>45292</v>
      </c>
      <c r="C196" s="1">
        <f>21+59/60</f>
        <v>21.983333333333334</v>
      </c>
      <c r="D196" s="2">
        <v>1070</v>
      </c>
      <c r="E196" s="2">
        <v>2</v>
      </c>
      <c r="F196" s="2">
        <v>16011</v>
      </c>
      <c r="G196" s="2">
        <f t="shared" si="16"/>
        <v>12890.5</v>
      </c>
      <c r="I196" s="1">
        <f t="shared" si="14"/>
        <v>19.541666666666668</v>
      </c>
      <c r="J196" s="2">
        <f t="shared" si="15"/>
        <v>845.5</v>
      </c>
      <c r="L196" s="1">
        <f t="shared" si="17"/>
        <v>19.637500000000003</v>
      </c>
      <c r="M196" s="2">
        <f t="shared" si="18"/>
        <v>821.8</v>
      </c>
      <c r="O196" s="1">
        <f t="shared" si="19"/>
        <v>19.308796296296297</v>
      </c>
      <c r="P196" s="2">
        <f t="shared" si="20"/>
        <v>823.55555555555554</v>
      </c>
    </row>
    <row r="197" spans="1:16" x14ac:dyDescent="0.45">
      <c r="A197" s="12" t="s">
        <v>186</v>
      </c>
      <c r="B197" s="4">
        <v>45299</v>
      </c>
      <c r="C197" s="1">
        <f>25+15/60</f>
        <v>25.25</v>
      </c>
      <c r="D197" s="2">
        <v>1505</v>
      </c>
      <c r="E197" s="2">
        <v>0</v>
      </c>
      <c r="F197" s="2">
        <v>19424</v>
      </c>
      <c r="G197" s="2">
        <f t="shared" si="16"/>
        <v>14425.75</v>
      </c>
      <c r="I197" s="1">
        <f t="shared" ref="I197:I234" si="21">AVERAGE(C194:C197)</f>
        <v>20.8</v>
      </c>
      <c r="J197" s="2">
        <f t="shared" ref="J197:J234" si="22">AVERAGE(D194:D197)</f>
        <v>1023.5</v>
      </c>
      <c r="L197" s="1">
        <f t="shared" si="17"/>
        <v>19.915833333333332</v>
      </c>
      <c r="M197" s="2">
        <f t="shared" si="18"/>
        <v>861.1</v>
      </c>
      <c r="O197" s="1">
        <f t="shared" si="19"/>
        <v>19.512962962962963</v>
      </c>
      <c r="P197" s="2">
        <f t="shared" si="20"/>
        <v>834.69444444444446</v>
      </c>
    </row>
    <row r="198" spans="1:16" x14ac:dyDescent="0.45">
      <c r="A198" s="12"/>
      <c r="B198" s="10">
        <v>45306</v>
      </c>
      <c r="C198" s="1">
        <f>10+55/60</f>
        <v>10.916666666666666</v>
      </c>
      <c r="D198" s="2">
        <v>512</v>
      </c>
      <c r="E198" s="2">
        <v>2</v>
      </c>
      <c r="F198" s="2">
        <v>7819</v>
      </c>
      <c r="G198" s="2">
        <f t="shared" ref="G198:G261" si="23">AVERAGE(F195:F198)</f>
        <v>13465.5</v>
      </c>
      <c r="I198" s="1">
        <f t="shared" si="21"/>
        <v>18.579166666666669</v>
      </c>
      <c r="J198" s="2">
        <f t="shared" si="22"/>
        <v>932.5</v>
      </c>
      <c r="L198" s="1">
        <f t="shared" si="17"/>
        <v>19.704166666666669</v>
      </c>
      <c r="M198" s="2">
        <f t="shared" si="18"/>
        <v>885.85</v>
      </c>
      <c r="O198" s="1">
        <f t="shared" si="19"/>
        <v>20.438425925925927</v>
      </c>
      <c r="P198" s="2">
        <f t="shared" si="20"/>
        <v>889.75</v>
      </c>
    </row>
    <row r="199" spans="1:16" x14ac:dyDescent="0.45">
      <c r="A199" s="12"/>
      <c r="B199" s="10">
        <v>45313</v>
      </c>
      <c r="C199" s="1">
        <f>15+48/60</f>
        <v>15.8</v>
      </c>
      <c r="D199" s="2">
        <v>724</v>
      </c>
      <c r="E199" s="2">
        <v>2</v>
      </c>
      <c r="F199" s="2">
        <v>9829</v>
      </c>
      <c r="G199" s="2">
        <f t="shared" si="23"/>
        <v>13270.75</v>
      </c>
      <c r="I199" s="1">
        <f t="shared" si="21"/>
        <v>18.487500000000001</v>
      </c>
      <c r="J199" s="2">
        <f t="shared" si="22"/>
        <v>952.75</v>
      </c>
      <c r="L199" s="1">
        <f t="shared" si="17"/>
        <v>19.258333333333333</v>
      </c>
      <c r="M199" s="2">
        <f t="shared" si="18"/>
        <v>903.4</v>
      </c>
      <c r="O199" s="1">
        <f t="shared" si="19"/>
        <v>19.368518518518517</v>
      </c>
      <c r="P199" s="2">
        <f t="shared" si="20"/>
        <v>846.58333333333337</v>
      </c>
    </row>
    <row r="200" spans="1:16" x14ac:dyDescent="0.45">
      <c r="A200" s="12" t="s">
        <v>57</v>
      </c>
      <c r="B200" s="10">
        <v>45320</v>
      </c>
      <c r="C200" s="1">
        <f>19+29/60</f>
        <v>19.483333333333334</v>
      </c>
      <c r="D200" s="2">
        <v>763</v>
      </c>
      <c r="E200" s="2">
        <v>1</v>
      </c>
      <c r="F200" s="2">
        <v>10987</v>
      </c>
      <c r="G200" s="2">
        <f t="shared" si="23"/>
        <v>12014.75</v>
      </c>
      <c r="I200" s="1">
        <f t="shared" si="21"/>
        <v>17.862500000000001</v>
      </c>
      <c r="J200" s="2">
        <f t="shared" si="22"/>
        <v>876</v>
      </c>
      <c r="L200" s="1">
        <f t="shared" si="17"/>
        <v>19.054166666666667</v>
      </c>
      <c r="M200" s="2">
        <f t="shared" si="18"/>
        <v>926.05</v>
      </c>
      <c r="O200" s="1">
        <f t="shared" si="19"/>
        <v>19.224537037037038</v>
      </c>
      <c r="P200" s="2">
        <f t="shared" si="20"/>
        <v>873.63888888888891</v>
      </c>
    </row>
    <row r="201" spans="1:16" x14ac:dyDescent="0.45">
      <c r="A201" s="12"/>
      <c r="B201" s="10">
        <v>45327</v>
      </c>
      <c r="C201" s="1">
        <f>12+44/60</f>
        <v>12.733333333333333</v>
      </c>
      <c r="D201" s="2">
        <v>656</v>
      </c>
      <c r="E201" s="2">
        <v>2</v>
      </c>
      <c r="F201" s="2">
        <v>9485</v>
      </c>
      <c r="G201" s="2">
        <f t="shared" si="23"/>
        <v>9530</v>
      </c>
      <c r="I201" s="1">
        <f t="shared" si="21"/>
        <v>14.733333333333334</v>
      </c>
      <c r="J201" s="2">
        <f t="shared" si="22"/>
        <v>663.75</v>
      </c>
      <c r="L201" s="1">
        <f t="shared" ref="L201:L234" si="24">((C194)+(2*C195)+(3*C196)+(4*C197)+(4*C198)+(3*C199)+(2*C200)+(C201))/20</f>
        <v>18.092500000000001</v>
      </c>
      <c r="M201" s="2">
        <f t="shared" ref="M201:M234" si="25">((D194)+(2*D195)+(3*D196)+(4*D197)+(4*D198)+(3*D199)+(2*D200)+(D201))/20</f>
        <v>889.7</v>
      </c>
      <c r="O201" s="1">
        <f t="shared" si="19"/>
        <v>18.68009259259259</v>
      </c>
      <c r="P201" s="2">
        <f t="shared" si="20"/>
        <v>884.88888888888891</v>
      </c>
    </row>
    <row r="202" spans="1:16" x14ac:dyDescent="0.45">
      <c r="A202" s="12" t="s">
        <v>212</v>
      </c>
      <c r="B202" s="4">
        <v>45334</v>
      </c>
      <c r="C202" s="1">
        <f>21+49/60</f>
        <v>21.816666666666666</v>
      </c>
      <c r="D202" s="2">
        <v>1170</v>
      </c>
      <c r="E202" s="2">
        <v>2</v>
      </c>
      <c r="F202" s="2">
        <v>10223</v>
      </c>
      <c r="G202" s="2">
        <f t="shared" si="23"/>
        <v>10131</v>
      </c>
      <c r="I202" s="1">
        <f t="shared" si="21"/>
        <v>17.458333333333332</v>
      </c>
      <c r="J202" s="2">
        <f t="shared" si="22"/>
        <v>828.25</v>
      </c>
      <c r="L202" s="1">
        <f t="shared" si="24"/>
        <v>17.424166666666665</v>
      </c>
      <c r="M202" s="2">
        <f t="shared" si="25"/>
        <v>850.65</v>
      </c>
      <c r="O202" s="1">
        <f t="shared" si="19"/>
        <v>18.284259259259258</v>
      </c>
      <c r="P202" s="2">
        <f t="shared" si="20"/>
        <v>885.86111111111109</v>
      </c>
    </row>
    <row r="203" spans="1:16" x14ac:dyDescent="0.45">
      <c r="A203" s="12"/>
      <c r="B203" s="4">
        <v>45341</v>
      </c>
      <c r="C203" s="1">
        <f>21+1/60</f>
        <v>21.016666666666666</v>
      </c>
      <c r="D203" s="2">
        <v>931</v>
      </c>
      <c r="E203" s="2">
        <v>2</v>
      </c>
      <c r="F203" s="2">
        <v>15633</v>
      </c>
      <c r="G203" s="2">
        <f t="shared" si="23"/>
        <v>11582</v>
      </c>
      <c r="I203" s="1">
        <f t="shared" si="21"/>
        <v>18.762499999999999</v>
      </c>
      <c r="J203" s="2">
        <f t="shared" si="22"/>
        <v>880</v>
      </c>
      <c r="L203" s="1">
        <f t="shared" si="24"/>
        <v>17.460833333333333</v>
      </c>
      <c r="M203" s="2">
        <f t="shared" si="25"/>
        <v>840.15</v>
      </c>
      <c r="O203" s="1">
        <f t="shared" si="19"/>
        <v>18.830555555555556</v>
      </c>
      <c r="P203" s="2">
        <f t="shared" si="20"/>
        <v>946.61111111111109</v>
      </c>
    </row>
    <row r="204" spans="1:16" x14ac:dyDescent="0.45">
      <c r="A204" s="12"/>
      <c r="B204" s="4">
        <v>45348</v>
      </c>
      <c r="C204" s="1">
        <f>20+41/60</f>
        <v>20.683333333333334</v>
      </c>
      <c r="D204" s="2">
        <v>990</v>
      </c>
      <c r="E204" s="2">
        <v>2</v>
      </c>
      <c r="F204" s="2">
        <v>14817</v>
      </c>
      <c r="G204" s="2">
        <f t="shared" si="23"/>
        <v>12539.5</v>
      </c>
      <c r="I204" s="1">
        <f t="shared" si="21"/>
        <v>19.0625</v>
      </c>
      <c r="J204" s="2">
        <f t="shared" si="22"/>
        <v>936.75</v>
      </c>
      <c r="L204" s="1">
        <f t="shared" si="24"/>
        <v>17.575833333333335</v>
      </c>
      <c r="M204" s="2">
        <f t="shared" si="25"/>
        <v>836.95</v>
      </c>
      <c r="O204" s="1">
        <f t="shared" si="19"/>
        <v>18.048148148148147</v>
      </c>
      <c r="P204" s="2">
        <f t="shared" si="20"/>
        <v>910.25</v>
      </c>
    </row>
    <row r="205" spans="1:16" x14ac:dyDescent="0.45">
      <c r="A205" s="12"/>
      <c r="B205" s="4">
        <v>45355</v>
      </c>
      <c r="C205" s="1">
        <f>16+30/60</f>
        <v>16.5</v>
      </c>
      <c r="D205" s="2">
        <v>719</v>
      </c>
      <c r="E205" s="2">
        <v>2</v>
      </c>
      <c r="F205" s="2">
        <v>11345</v>
      </c>
      <c r="G205" s="2">
        <f t="shared" si="23"/>
        <v>13004.5</v>
      </c>
      <c r="I205" s="1">
        <f t="shared" si="21"/>
        <v>20.004166666666666</v>
      </c>
      <c r="J205" s="2">
        <f t="shared" si="22"/>
        <v>952.5</v>
      </c>
      <c r="L205" s="1">
        <f t="shared" si="24"/>
        <v>18.00416666666667</v>
      </c>
      <c r="M205" s="2">
        <f t="shared" si="25"/>
        <v>852.25</v>
      </c>
      <c r="O205" s="1">
        <f t="shared" ref="O205:O234" si="26">((C205)+(C204*2)+(C203*3)+(C202*4)+(C201*5)+(C200*6)+(C199*7)+(C198*8))/36</f>
        <v>16.296759259259261</v>
      </c>
      <c r="P205" s="2">
        <f t="shared" ref="P205:P234" si="27">((D205)+(D204*2)+(D203*3)+(D202*4)+(D201*5)+(D200*6)+(D199*7)+(D198*8))/36</f>
        <v>755.38888888888891</v>
      </c>
    </row>
    <row r="206" spans="1:16" x14ac:dyDescent="0.45">
      <c r="A206" s="12" t="s">
        <v>213</v>
      </c>
      <c r="B206" s="10">
        <v>45362</v>
      </c>
      <c r="C206" s="1">
        <f>12+52/60</f>
        <v>12.866666666666667</v>
      </c>
      <c r="D206" s="2">
        <v>551</v>
      </c>
      <c r="E206" s="8">
        <v>2</v>
      </c>
      <c r="F206" s="2">
        <v>7238</v>
      </c>
      <c r="G206" s="2">
        <f t="shared" si="23"/>
        <v>12258.25</v>
      </c>
      <c r="I206" s="1">
        <f t="shared" si="21"/>
        <v>17.766666666666666</v>
      </c>
      <c r="J206" s="2">
        <f t="shared" si="22"/>
        <v>797.75</v>
      </c>
      <c r="L206" s="1">
        <f t="shared" si="24"/>
        <v>18.610833333333336</v>
      </c>
      <c r="M206" s="2">
        <f t="shared" si="25"/>
        <v>879.05</v>
      </c>
      <c r="O206" s="1">
        <f t="shared" si="26"/>
        <v>17.784722222222218</v>
      </c>
      <c r="P206" s="2">
        <f t="shared" si="27"/>
        <v>822.27777777777783</v>
      </c>
    </row>
    <row r="207" spans="1:16" x14ac:dyDescent="0.45">
      <c r="A207" s="12" t="s">
        <v>187</v>
      </c>
      <c r="B207" s="10">
        <v>45369</v>
      </c>
      <c r="C207" s="1">
        <f>3+45/60</f>
        <v>3.75</v>
      </c>
      <c r="D207" s="2">
        <v>108</v>
      </c>
      <c r="E207" s="2">
        <v>1</v>
      </c>
      <c r="F207" s="2">
        <v>2201</v>
      </c>
      <c r="G207" s="2">
        <f t="shared" si="23"/>
        <v>8900.25</v>
      </c>
      <c r="I207" s="1">
        <f t="shared" si="21"/>
        <v>13.450000000000001</v>
      </c>
      <c r="J207" s="2">
        <f t="shared" si="22"/>
        <v>592</v>
      </c>
      <c r="L207" s="1">
        <f t="shared" si="24"/>
        <v>17.809166666666666</v>
      </c>
      <c r="M207" s="2">
        <f t="shared" si="25"/>
        <v>831.8</v>
      </c>
      <c r="O207" s="1">
        <f t="shared" si="26"/>
        <v>17.852777777777778</v>
      </c>
      <c r="P207" s="2">
        <f t="shared" si="27"/>
        <v>824.94444444444446</v>
      </c>
    </row>
    <row r="208" spans="1:16" x14ac:dyDescent="0.45">
      <c r="A208" s="12"/>
      <c r="B208" s="10">
        <v>45376</v>
      </c>
      <c r="C208" s="1">
        <f>16+47/60</f>
        <v>16.783333333333335</v>
      </c>
      <c r="D208" s="2">
        <v>760</v>
      </c>
      <c r="E208" s="2">
        <v>2</v>
      </c>
      <c r="F208" s="2">
        <v>11540</v>
      </c>
      <c r="G208" s="2">
        <f t="shared" si="23"/>
        <v>8081</v>
      </c>
      <c r="I208" s="1">
        <f t="shared" si="21"/>
        <v>12.475000000000001</v>
      </c>
      <c r="J208" s="2">
        <f t="shared" si="22"/>
        <v>534.5</v>
      </c>
      <c r="L208" s="1">
        <f t="shared" si="24"/>
        <v>16.551666666666669</v>
      </c>
      <c r="M208" s="2">
        <f t="shared" si="25"/>
        <v>762.7</v>
      </c>
      <c r="O208" s="1">
        <f t="shared" si="26"/>
        <v>17.027314814814815</v>
      </c>
      <c r="P208" s="2">
        <f t="shared" si="27"/>
        <v>818.86111111111109</v>
      </c>
    </row>
    <row r="209" spans="1:16" x14ac:dyDescent="0.45">
      <c r="A209" s="12"/>
      <c r="B209" s="10">
        <v>45383</v>
      </c>
      <c r="C209" s="1">
        <f>21+35/60</f>
        <v>21.583333333333332</v>
      </c>
      <c r="D209" s="2">
        <v>998</v>
      </c>
      <c r="E209" s="2">
        <v>2</v>
      </c>
      <c r="F209" s="2">
        <v>15541</v>
      </c>
      <c r="G209" s="2">
        <f t="shared" si="23"/>
        <v>9130</v>
      </c>
      <c r="I209" s="1">
        <f t="shared" si="21"/>
        <v>13.745833333333334</v>
      </c>
      <c r="J209" s="2">
        <f t="shared" si="22"/>
        <v>604.25</v>
      </c>
      <c r="L209" s="1">
        <f t="shared" si="24"/>
        <v>15.488333333333333</v>
      </c>
      <c r="M209" s="2">
        <f t="shared" si="25"/>
        <v>696.2</v>
      </c>
      <c r="O209" s="1">
        <f t="shared" si="26"/>
        <v>17.947685185185186</v>
      </c>
      <c r="P209" s="2">
        <f t="shared" si="27"/>
        <v>846.05555555555554</v>
      </c>
    </row>
    <row r="210" spans="1:16" x14ac:dyDescent="0.45">
      <c r="A210" s="12"/>
      <c r="B210" s="4">
        <v>45390</v>
      </c>
      <c r="C210" s="1">
        <f>23+5/60</f>
        <v>23.083333333333332</v>
      </c>
      <c r="D210" s="2">
        <v>1069</v>
      </c>
      <c r="E210" s="2">
        <v>2</v>
      </c>
      <c r="F210" s="2">
        <v>16190</v>
      </c>
      <c r="G210" s="2">
        <f t="shared" si="23"/>
        <v>11368</v>
      </c>
      <c r="I210" s="1">
        <f t="shared" si="21"/>
        <v>16.3</v>
      </c>
      <c r="J210" s="2">
        <f t="shared" si="22"/>
        <v>733.75</v>
      </c>
      <c r="L210" s="1">
        <f t="shared" si="24"/>
        <v>14.747499999999999</v>
      </c>
      <c r="M210" s="2">
        <f t="shared" si="25"/>
        <v>652.45000000000005</v>
      </c>
      <c r="O210" s="1">
        <f t="shared" si="26"/>
        <v>16.884722222222223</v>
      </c>
      <c r="P210" s="2">
        <f t="shared" si="27"/>
        <v>756.22222222222217</v>
      </c>
    </row>
    <row r="211" spans="1:16" x14ac:dyDescent="0.45">
      <c r="B211" s="4">
        <v>45397</v>
      </c>
      <c r="C211" s="1">
        <f>15+59/60</f>
        <v>15.983333333333333</v>
      </c>
      <c r="D211" s="2">
        <v>767</v>
      </c>
      <c r="E211" s="2">
        <v>2</v>
      </c>
      <c r="F211" s="2">
        <v>10883</v>
      </c>
      <c r="G211" s="2">
        <f t="shared" si="23"/>
        <v>13538.5</v>
      </c>
      <c r="I211" s="1">
        <f t="shared" si="21"/>
        <v>19.358333333333334</v>
      </c>
      <c r="J211" s="2">
        <f t="shared" si="22"/>
        <v>898.5</v>
      </c>
      <c r="L211" s="1">
        <f t="shared" si="24"/>
        <v>15.065833333333336</v>
      </c>
      <c r="M211" s="2">
        <f t="shared" si="25"/>
        <v>672.6</v>
      </c>
      <c r="O211" s="1">
        <f t="shared" si="26"/>
        <v>15.859722222222224</v>
      </c>
      <c r="P211" s="2">
        <f t="shared" si="27"/>
        <v>714.94444444444446</v>
      </c>
    </row>
    <row r="212" spans="1:16" x14ac:dyDescent="0.45">
      <c r="B212" s="4">
        <v>45404</v>
      </c>
      <c r="C212" s="1">
        <f>22+40/60</f>
        <v>22.666666666666668</v>
      </c>
      <c r="D212" s="2">
        <v>1000</v>
      </c>
      <c r="E212" s="17">
        <v>2</v>
      </c>
      <c r="F212" s="17">
        <v>16466</v>
      </c>
      <c r="G212" s="2">
        <f t="shared" si="23"/>
        <v>14770</v>
      </c>
      <c r="I212" s="1">
        <f t="shared" si="21"/>
        <v>20.829166666666666</v>
      </c>
      <c r="J212" s="2">
        <f t="shared" si="22"/>
        <v>958.5</v>
      </c>
      <c r="L212" s="1">
        <f t="shared" si="24"/>
        <v>16.541666666666664</v>
      </c>
      <c r="M212" s="2">
        <f t="shared" si="25"/>
        <v>745.9</v>
      </c>
      <c r="O212" s="1">
        <f t="shared" si="26"/>
        <v>14.96388888888889</v>
      </c>
      <c r="P212" s="2">
        <f t="shared" si="27"/>
        <v>660.83333333333337</v>
      </c>
    </row>
    <row r="213" spans="1:16" x14ac:dyDescent="0.45">
      <c r="B213" s="4">
        <v>45411</v>
      </c>
      <c r="C213" s="1">
        <f>17+4/60</f>
        <v>17.066666666666666</v>
      </c>
      <c r="D213" s="2">
        <v>884</v>
      </c>
      <c r="E213" s="16">
        <v>2</v>
      </c>
      <c r="F213" s="17">
        <v>12586</v>
      </c>
      <c r="G213" s="2">
        <f t="shared" si="23"/>
        <v>14031.25</v>
      </c>
      <c r="I213" s="1">
        <f t="shared" si="21"/>
        <v>19.7</v>
      </c>
      <c r="J213" s="2">
        <f t="shared" si="22"/>
        <v>930</v>
      </c>
      <c r="L213" s="1">
        <f t="shared" si="24"/>
        <v>17.986666666666665</v>
      </c>
      <c r="M213" s="2">
        <f t="shared" si="25"/>
        <v>825</v>
      </c>
      <c r="O213" s="1">
        <f t="shared" si="26"/>
        <v>15.013425925925926</v>
      </c>
      <c r="P213" s="2">
        <f t="shared" si="27"/>
        <v>671.52777777777783</v>
      </c>
    </row>
    <row r="214" spans="1:16" x14ac:dyDescent="0.45">
      <c r="B214" s="4">
        <v>45418</v>
      </c>
      <c r="C214" s="1">
        <f>20+16/60</f>
        <v>20.266666666666666</v>
      </c>
      <c r="D214" s="2">
        <v>1100</v>
      </c>
      <c r="E214" s="17">
        <v>2</v>
      </c>
      <c r="F214" s="17">
        <v>14758</v>
      </c>
      <c r="G214" s="2">
        <f t="shared" si="23"/>
        <v>13673.25</v>
      </c>
      <c r="I214" s="1">
        <f t="shared" si="21"/>
        <v>18.995833333333334</v>
      </c>
      <c r="J214" s="2">
        <f t="shared" si="22"/>
        <v>937.75</v>
      </c>
      <c r="L214" s="1">
        <f t="shared" si="24"/>
        <v>19.036666666666665</v>
      </c>
      <c r="M214" s="2">
        <f t="shared" si="25"/>
        <v>891.7</v>
      </c>
      <c r="O214" s="1">
        <f t="shared" si="26"/>
        <v>16.075925925925926</v>
      </c>
      <c r="P214" s="2">
        <f t="shared" si="27"/>
        <v>734.80555555555554</v>
      </c>
    </row>
    <row r="215" spans="1:16" x14ac:dyDescent="0.45">
      <c r="B215" s="4">
        <v>45425</v>
      </c>
      <c r="C215" s="1">
        <f>19+49/60</f>
        <v>19.816666666666666</v>
      </c>
      <c r="D215" s="12">
        <v>912</v>
      </c>
      <c r="E215" s="2">
        <v>2</v>
      </c>
      <c r="F215" s="2">
        <v>14832</v>
      </c>
      <c r="G215" s="2">
        <f t="shared" si="23"/>
        <v>14660.5</v>
      </c>
      <c r="I215" s="1">
        <f t="shared" si="21"/>
        <v>19.954166666666666</v>
      </c>
      <c r="J215" s="2">
        <f t="shared" si="22"/>
        <v>974</v>
      </c>
      <c r="L215" s="1">
        <f t="shared" si="24"/>
        <v>19.767499999999998</v>
      </c>
      <c r="M215" s="2">
        <f t="shared" si="25"/>
        <v>939.75</v>
      </c>
      <c r="O215" s="1">
        <f t="shared" si="26"/>
        <v>19.610648148148147</v>
      </c>
      <c r="P215" s="2">
        <f t="shared" si="27"/>
        <v>918.86111111111109</v>
      </c>
    </row>
    <row r="216" spans="1:16" x14ac:dyDescent="0.45">
      <c r="B216" s="4">
        <v>45432</v>
      </c>
      <c r="C216" s="1">
        <f>18+32/60</f>
        <v>18.533333333333335</v>
      </c>
      <c r="D216" s="11">
        <v>821</v>
      </c>
      <c r="E216" s="2">
        <v>2</v>
      </c>
      <c r="F216" s="2">
        <v>13737</v>
      </c>
      <c r="G216" s="2">
        <f t="shared" si="23"/>
        <v>13978.25</v>
      </c>
      <c r="I216" s="1">
        <f t="shared" si="21"/>
        <v>18.920833333333331</v>
      </c>
      <c r="J216" s="2">
        <f t="shared" si="22"/>
        <v>929.25</v>
      </c>
      <c r="L216" s="1">
        <f t="shared" si="24"/>
        <v>19.68</v>
      </c>
      <c r="M216" s="2">
        <f t="shared" si="25"/>
        <v>945.9</v>
      </c>
      <c r="O216" s="1">
        <f t="shared" si="26"/>
        <v>20.297685185185184</v>
      </c>
      <c r="P216" s="2">
        <f t="shared" si="27"/>
        <v>959.72222222222217</v>
      </c>
    </row>
    <row r="217" spans="1:16" x14ac:dyDescent="0.45">
      <c r="B217" s="4">
        <v>45439</v>
      </c>
      <c r="C217" s="1">
        <f>19+11/60</f>
        <v>19.183333333333334</v>
      </c>
      <c r="D217" s="2">
        <v>838</v>
      </c>
      <c r="E217" s="2">
        <v>2</v>
      </c>
      <c r="F217" s="2">
        <v>13691</v>
      </c>
      <c r="G217" s="2">
        <f t="shared" si="23"/>
        <v>14254.5</v>
      </c>
      <c r="I217" s="1">
        <f t="shared" si="21"/>
        <v>19.45</v>
      </c>
      <c r="J217" s="2">
        <f t="shared" si="22"/>
        <v>917.75</v>
      </c>
      <c r="L217" s="1">
        <f t="shared" si="24"/>
        <v>19.404166666666665</v>
      </c>
      <c r="M217" s="2">
        <f t="shared" si="25"/>
        <v>937.75</v>
      </c>
      <c r="O217" s="1">
        <f t="shared" si="26"/>
        <v>19.851388888888888</v>
      </c>
      <c r="P217" s="2">
        <f t="shared" si="27"/>
        <v>943.25</v>
      </c>
    </row>
    <row r="218" spans="1:16" x14ac:dyDescent="0.45">
      <c r="B218" s="4">
        <v>45446</v>
      </c>
      <c r="C218" s="1">
        <f>14+48/60</f>
        <v>14.8</v>
      </c>
      <c r="D218" s="2">
        <v>512</v>
      </c>
      <c r="E218" s="2">
        <v>2</v>
      </c>
      <c r="F218" s="2">
        <v>10130</v>
      </c>
      <c r="G218" s="2">
        <f t="shared" si="23"/>
        <v>13097.5</v>
      </c>
      <c r="I218" s="1">
        <f t="shared" si="21"/>
        <v>18.083333333333332</v>
      </c>
      <c r="J218" s="2">
        <f t="shared" si="22"/>
        <v>770.75</v>
      </c>
      <c r="L218" s="1">
        <f t="shared" si="24"/>
        <v>19.080833333333338</v>
      </c>
      <c r="M218" s="2">
        <f t="shared" si="25"/>
        <v>905.9</v>
      </c>
      <c r="O218" s="1">
        <f t="shared" si="26"/>
        <v>18.841666666666669</v>
      </c>
      <c r="P218" s="2">
        <f t="shared" si="27"/>
        <v>895.52777777777783</v>
      </c>
    </row>
    <row r="219" spans="1:16" x14ac:dyDescent="0.45">
      <c r="A219" t="s">
        <v>190</v>
      </c>
      <c r="B219" s="4">
        <v>45453</v>
      </c>
      <c r="C219" s="1">
        <f>19+33/60</f>
        <v>19.55</v>
      </c>
      <c r="D219" s="2">
        <v>817</v>
      </c>
      <c r="E219" s="2">
        <v>2</v>
      </c>
      <c r="F219" s="2">
        <v>14348</v>
      </c>
      <c r="G219" s="2">
        <f t="shared" si="23"/>
        <v>12976.5</v>
      </c>
      <c r="I219" s="1">
        <f t="shared" si="21"/>
        <v>18.016666666666666</v>
      </c>
      <c r="J219" s="2">
        <f t="shared" si="22"/>
        <v>747</v>
      </c>
      <c r="L219" s="1">
        <f t="shared" si="24"/>
        <v>18.885000000000002</v>
      </c>
      <c r="M219" s="2">
        <f t="shared" si="25"/>
        <v>867.75</v>
      </c>
      <c r="O219" s="1">
        <f t="shared" si="26"/>
        <v>19.508796296296296</v>
      </c>
      <c r="P219" s="2">
        <f t="shared" si="27"/>
        <v>916.30555555555554</v>
      </c>
    </row>
    <row r="220" spans="1:16" x14ac:dyDescent="0.45">
      <c r="B220" s="4">
        <v>45460</v>
      </c>
      <c r="C220" s="1">
        <f>24+32/60</f>
        <v>24.533333333333335</v>
      </c>
      <c r="D220" s="2">
        <v>982</v>
      </c>
      <c r="E220" s="2">
        <v>2</v>
      </c>
      <c r="F220" s="2">
        <v>15392</v>
      </c>
      <c r="G220" s="2">
        <f t="shared" si="23"/>
        <v>13390.25</v>
      </c>
      <c r="I220" s="1">
        <f t="shared" si="21"/>
        <v>19.516666666666666</v>
      </c>
      <c r="J220" s="2">
        <f t="shared" si="22"/>
        <v>787.25</v>
      </c>
      <c r="L220" s="1">
        <f t="shared" si="24"/>
        <v>18.797500000000007</v>
      </c>
      <c r="M220" s="2">
        <f t="shared" si="25"/>
        <v>830.4</v>
      </c>
      <c r="O220" s="1">
        <f t="shared" si="26"/>
        <v>18.742592592592594</v>
      </c>
      <c r="P220" s="2">
        <f t="shared" si="27"/>
        <v>884.80555555555554</v>
      </c>
    </row>
    <row r="221" spans="1:16" x14ac:dyDescent="0.45">
      <c r="B221" s="4">
        <v>45467</v>
      </c>
      <c r="C221" s="1">
        <f>24+2/60</f>
        <v>24.033333333333335</v>
      </c>
      <c r="D221" s="2">
        <v>994</v>
      </c>
      <c r="E221" s="2">
        <v>2</v>
      </c>
      <c r="F221" s="2">
        <v>16151</v>
      </c>
      <c r="G221" s="2">
        <f t="shared" si="23"/>
        <v>14005.25</v>
      </c>
      <c r="I221" s="1">
        <f t="shared" si="21"/>
        <v>20.729166666666668</v>
      </c>
      <c r="J221" s="2">
        <f t="shared" si="22"/>
        <v>826.25</v>
      </c>
      <c r="L221" s="1">
        <f t="shared" si="24"/>
        <v>19.159166666666671</v>
      </c>
      <c r="M221" s="2">
        <f t="shared" si="25"/>
        <v>809.8</v>
      </c>
      <c r="O221" s="1">
        <f t="shared" si="26"/>
        <v>19.414351851851855</v>
      </c>
      <c r="P221" s="2">
        <f t="shared" si="27"/>
        <v>882.13888888888891</v>
      </c>
    </row>
    <row r="222" spans="1:16" x14ac:dyDescent="0.45">
      <c r="A222" t="s">
        <v>214</v>
      </c>
      <c r="B222" s="4">
        <v>45474</v>
      </c>
      <c r="C222" s="1">
        <f>24+56/60</f>
        <v>24.933333333333334</v>
      </c>
      <c r="D222" s="2">
        <v>1082</v>
      </c>
      <c r="E222" s="2">
        <v>2</v>
      </c>
      <c r="F222" s="2">
        <v>16776</v>
      </c>
      <c r="G222" s="2">
        <f t="shared" si="23"/>
        <v>15666.75</v>
      </c>
      <c r="I222" s="1">
        <f t="shared" si="21"/>
        <v>23.262500000000003</v>
      </c>
      <c r="J222" s="2">
        <f t="shared" si="22"/>
        <v>968.75</v>
      </c>
      <c r="L222" s="1">
        <f t="shared" si="24"/>
        <v>19.921666666666667</v>
      </c>
      <c r="M222" s="2">
        <f t="shared" si="25"/>
        <v>820</v>
      </c>
      <c r="O222" s="1">
        <f t="shared" si="26"/>
        <v>19.50462962962963</v>
      </c>
      <c r="P222" s="2">
        <f t="shared" si="27"/>
        <v>830.97222222222217</v>
      </c>
    </row>
    <row r="223" spans="1:16" x14ac:dyDescent="0.45">
      <c r="B223" s="4">
        <v>45481</v>
      </c>
      <c r="C223" s="1">
        <f>10+52/60</f>
        <v>10.866666666666667</v>
      </c>
      <c r="D223" s="2">
        <v>516</v>
      </c>
      <c r="E223" s="2">
        <v>1</v>
      </c>
      <c r="F223" s="2">
        <v>7638</v>
      </c>
      <c r="G223" s="2">
        <f t="shared" si="23"/>
        <v>13989.25</v>
      </c>
      <c r="I223" s="1">
        <f t="shared" si="21"/>
        <v>21.091666666666669</v>
      </c>
      <c r="J223" s="2">
        <f t="shared" si="22"/>
        <v>893.5</v>
      </c>
      <c r="L223" s="1">
        <f t="shared" si="24"/>
        <v>20.523333333333333</v>
      </c>
      <c r="M223" s="2">
        <f t="shared" si="25"/>
        <v>844.55</v>
      </c>
      <c r="O223" s="1">
        <f t="shared" si="26"/>
        <v>19.446296296296296</v>
      </c>
      <c r="P223" s="2">
        <f t="shared" si="27"/>
        <v>810.58333333333337</v>
      </c>
    </row>
    <row r="224" spans="1:16" x14ac:dyDescent="0.45">
      <c r="A224" t="s">
        <v>66</v>
      </c>
      <c r="B224" s="4">
        <v>45488</v>
      </c>
      <c r="C224" s="1">
        <f>22+41/60</f>
        <v>22.683333333333334</v>
      </c>
      <c r="D224" s="2">
        <v>861</v>
      </c>
      <c r="E224" s="2">
        <v>2</v>
      </c>
      <c r="F224" s="2">
        <v>9935</v>
      </c>
      <c r="G224" s="2">
        <f t="shared" si="23"/>
        <v>12625</v>
      </c>
      <c r="I224" s="1">
        <f t="shared" si="21"/>
        <v>20.629166666666666</v>
      </c>
      <c r="J224" s="2">
        <f t="shared" si="22"/>
        <v>863.25</v>
      </c>
      <c r="L224" s="1">
        <f t="shared" si="24"/>
        <v>21.045833333333334</v>
      </c>
      <c r="M224" s="2">
        <f t="shared" si="25"/>
        <v>867.8</v>
      </c>
      <c r="O224" s="1">
        <f t="shared" si="26"/>
        <v>19.788425925925928</v>
      </c>
      <c r="P224" s="2">
        <f t="shared" si="27"/>
        <v>811.52777777777783</v>
      </c>
    </row>
    <row r="225" spans="1:16" x14ac:dyDescent="0.45">
      <c r="B225" s="4">
        <v>45495</v>
      </c>
      <c r="C225" s="1">
        <f>22+58/60</f>
        <v>22.966666666666665</v>
      </c>
      <c r="D225" s="2">
        <v>878</v>
      </c>
      <c r="E225" s="2">
        <v>1</v>
      </c>
      <c r="F225" s="2">
        <v>11129</v>
      </c>
      <c r="G225" s="2">
        <f t="shared" si="23"/>
        <v>11369.5</v>
      </c>
      <c r="I225" s="1">
        <f t="shared" si="21"/>
        <v>20.362500000000001</v>
      </c>
      <c r="J225" s="2">
        <f t="shared" si="22"/>
        <v>834.25</v>
      </c>
      <c r="L225" s="1">
        <f t="shared" si="24"/>
        <v>21.215</v>
      </c>
      <c r="M225" s="2">
        <f t="shared" si="25"/>
        <v>877.2</v>
      </c>
      <c r="O225" s="1">
        <f t="shared" si="26"/>
        <v>20.091203703703705</v>
      </c>
      <c r="P225" s="2">
        <f t="shared" si="27"/>
        <v>809.80555555555554</v>
      </c>
    </row>
    <row r="226" spans="1:16" x14ac:dyDescent="0.45">
      <c r="B226" s="4">
        <v>45502</v>
      </c>
      <c r="C226" s="1">
        <f>18+7/60</f>
        <v>18.116666666666667</v>
      </c>
      <c r="D226" s="2">
        <v>654</v>
      </c>
      <c r="E226" s="2">
        <v>1</v>
      </c>
      <c r="F226" s="2">
        <v>9775</v>
      </c>
      <c r="G226" s="2">
        <f t="shared" si="23"/>
        <v>9619.25</v>
      </c>
      <c r="I226" s="1">
        <f t="shared" si="21"/>
        <v>18.658333333333331</v>
      </c>
      <c r="J226" s="2">
        <f t="shared" si="22"/>
        <v>727.25</v>
      </c>
      <c r="L226" s="1">
        <f t="shared" si="24"/>
        <v>20.800833333333337</v>
      </c>
      <c r="M226" s="2">
        <f t="shared" si="25"/>
        <v>857.4</v>
      </c>
      <c r="O226" s="1">
        <f t="shared" si="26"/>
        <v>21.460185185185185</v>
      </c>
      <c r="P226" s="2">
        <f t="shared" si="27"/>
        <v>884.47222222222217</v>
      </c>
    </row>
    <row r="227" spans="1:16" x14ac:dyDescent="0.45">
      <c r="A227" t="s">
        <v>215</v>
      </c>
      <c r="B227" s="4">
        <v>45509</v>
      </c>
      <c r="C227" s="1">
        <f>7+45/60</f>
        <v>7.75</v>
      </c>
      <c r="D227" s="2">
        <v>343</v>
      </c>
      <c r="E227" s="2">
        <v>0</v>
      </c>
      <c r="F227" s="2">
        <v>4723</v>
      </c>
      <c r="G227" s="2">
        <f t="shared" si="23"/>
        <v>8890.5</v>
      </c>
      <c r="I227" s="1">
        <f t="shared" si="21"/>
        <v>17.879166666666666</v>
      </c>
      <c r="J227" s="2">
        <f t="shared" si="22"/>
        <v>684</v>
      </c>
      <c r="L227" s="1">
        <f t="shared" si="24"/>
        <v>19.724166666666669</v>
      </c>
      <c r="M227" s="2">
        <f t="shared" si="25"/>
        <v>800.45</v>
      </c>
      <c r="O227" s="1">
        <f t="shared" si="26"/>
        <v>21.445833333333333</v>
      </c>
      <c r="P227" s="2">
        <f t="shared" si="27"/>
        <v>878.19444444444446</v>
      </c>
    </row>
    <row r="228" spans="1:16" x14ac:dyDescent="0.45">
      <c r="B228" s="4">
        <v>45516</v>
      </c>
      <c r="C228" s="1">
        <v>0</v>
      </c>
      <c r="D228" s="2">
        <v>0</v>
      </c>
      <c r="E228" s="2">
        <v>0</v>
      </c>
      <c r="F228" s="2">
        <v>0</v>
      </c>
      <c r="G228" s="2">
        <f t="shared" si="23"/>
        <v>6406.75</v>
      </c>
      <c r="I228" s="1">
        <f t="shared" si="21"/>
        <v>12.208333333333332</v>
      </c>
      <c r="J228" s="2">
        <f t="shared" si="22"/>
        <v>468.75</v>
      </c>
      <c r="L228" s="1">
        <f t="shared" si="24"/>
        <v>17.947500000000002</v>
      </c>
      <c r="M228" s="2">
        <f t="shared" si="25"/>
        <v>715.5</v>
      </c>
      <c r="O228" s="1">
        <f t="shared" si="26"/>
        <v>19.642592592592592</v>
      </c>
      <c r="P228" s="2">
        <f t="shared" si="27"/>
        <v>807.97222222222217</v>
      </c>
    </row>
    <row r="229" spans="1:16" x14ac:dyDescent="0.45">
      <c r="B229" s="4">
        <v>45523</v>
      </c>
      <c r="C229" s="1">
        <f>2+34/60</f>
        <v>2.5666666666666664</v>
      </c>
      <c r="D229" s="2">
        <v>73</v>
      </c>
      <c r="E229" s="2">
        <v>0</v>
      </c>
      <c r="F229" s="2">
        <v>1459</v>
      </c>
      <c r="G229" s="2">
        <f t="shared" si="23"/>
        <v>3989.25</v>
      </c>
      <c r="I229" s="1">
        <f t="shared" si="21"/>
        <v>7.1083333333333334</v>
      </c>
      <c r="J229" s="2">
        <f t="shared" si="22"/>
        <v>267.5</v>
      </c>
      <c r="L229" s="1">
        <f t="shared" si="24"/>
        <v>15.243333333333331</v>
      </c>
      <c r="M229" s="2">
        <f t="shared" si="25"/>
        <v>596.35</v>
      </c>
      <c r="O229" s="1">
        <f t="shared" si="26"/>
        <v>17.354166666666668</v>
      </c>
      <c r="P229" s="2">
        <f t="shared" si="27"/>
        <v>709.5</v>
      </c>
    </row>
    <row r="230" spans="1:16" x14ac:dyDescent="0.45">
      <c r="B230" s="4">
        <v>45530</v>
      </c>
      <c r="C230" s="1">
        <f>13+31/60</f>
        <v>13.516666666666667</v>
      </c>
      <c r="D230" s="2">
        <v>485</v>
      </c>
      <c r="E230" s="2">
        <v>1</v>
      </c>
      <c r="F230" s="2">
        <v>9436</v>
      </c>
      <c r="G230" s="2">
        <f t="shared" si="23"/>
        <v>3904.5</v>
      </c>
      <c r="I230" s="1">
        <f t="shared" si="21"/>
        <v>5.9583333333333339</v>
      </c>
      <c r="J230" s="2">
        <f t="shared" si="22"/>
        <v>225.25</v>
      </c>
      <c r="L230" s="1">
        <f t="shared" si="24"/>
        <v>12.362500000000001</v>
      </c>
      <c r="M230" s="2">
        <f t="shared" si="25"/>
        <v>474.55</v>
      </c>
      <c r="O230" s="1">
        <f t="shared" si="26"/>
        <v>14.548611111111111</v>
      </c>
      <c r="P230" s="2">
        <f t="shared" si="27"/>
        <v>574.88888888888891</v>
      </c>
    </row>
    <row r="231" spans="1:16" x14ac:dyDescent="0.45">
      <c r="B231" s="4">
        <v>45537</v>
      </c>
      <c r="C231" s="1">
        <f>16+48/60</f>
        <v>16.8</v>
      </c>
      <c r="D231" s="2">
        <v>723</v>
      </c>
      <c r="E231" s="2">
        <v>2</v>
      </c>
      <c r="F231" s="2">
        <v>11997</v>
      </c>
      <c r="G231" s="2">
        <f t="shared" si="23"/>
        <v>5723</v>
      </c>
      <c r="I231" s="1">
        <f t="shared" si="21"/>
        <v>8.220833333333335</v>
      </c>
      <c r="J231" s="2">
        <f t="shared" si="22"/>
        <v>320.25</v>
      </c>
      <c r="L231" s="1">
        <f t="shared" si="24"/>
        <v>10.275</v>
      </c>
      <c r="M231" s="2">
        <f t="shared" si="25"/>
        <v>393.15</v>
      </c>
      <c r="O231" s="1">
        <f t="shared" si="26"/>
        <v>15.033796296296297</v>
      </c>
      <c r="P231" s="2">
        <f t="shared" si="27"/>
        <v>571.80555555555554</v>
      </c>
    </row>
    <row r="232" spans="1:16" x14ac:dyDescent="0.45">
      <c r="B232" s="4">
        <v>45544</v>
      </c>
      <c r="C232" s="1">
        <f>15+25/60</f>
        <v>15.416666666666666</v>
      </c>
      <c r="D232" s="2">
        <v>626</v>
      </c>
      <c r="E232" s="2">
        <v>3</v>
      </c>
      <c r="F232" s="2">
        <v>10349</v>
      </c>
      <c r="G232" s="2">
        <f t="shared" si="23"/>
        <v>8310.25</v>
      </c>
      <c r="I232" s="1">
        <f t="shared" si="21"/>
        <v>12.075000000000001</v>
      </c>
      <c r="J232" s="2">
        <f t="shared" si="22"/>
        <v>476.75</v>
      </c>
      <c r="L232" s="1">
        <f t="shared" si="24"/>
        <v>9.1141666666666659</v>
      </c>
      <c r="M232" s="2">
        <f t="shared" si="25"/>
        <v>351.7</v>
      </c>
      <c r="O232" s="1">
        <f t="shared" si="26"/>
        <v>12.691203703703703</v>
      </c>
      <c r="P232" s="2">
        <f t="shared" si="27"/>
        <v>485.52777777777777</v>
      </c>
    </row>
    <row r="233" spans="1:16" x14ac:dyDescent="0.45">
      <c r="B233" s="4">
        <v>45551</v>
      </c>
      <c r="C233" s="1">
        <f>14+57/60</f>
        <v>14.95</v>
      </c>
      <c r="D233" s="2">
        <v>639</v>
      </c>
      <c r="E233" s="2">
        <v>2</v>
      </c>
      <c r="F233" s="2">
        <v>9855</v>
      </c>
      <c r="G233" s="2">
        <f t="shared" si="23"/>
        <v>10409.25</v>
      </c>
      <c r="I233" s="1">
        <f t="shared" si="21"/>
        <v>15.170833333333334</v>
      </c>
      <c r="J233" s="2">
        <f t="shared" si="22"/>
        <v>618.25</v>
      </c>
      <c r="L233" s="1">
        <f t="shared" si="24"/>
        <v>9.706666666666667</v>
      </c>
      <c r="M233" s="2">
        <f t="shared" si="25"/>
        <v>381.6</v>
      </c>
      <c r="O233" s="1">
        <f t="shared" si="26"/>
        <v>10.062962962962963</v>
      </c>
      <c r="P233" s="2">
        <f t="shared" si="27"/>
        <v>388.83333333333331</v>
      </c>
    </row>
    <row r="234" spans="1:16" x14ac:dyDescent="0.45">
      <c r="A234" t="s">
        <v>216</v>
      </c>
      <c r="B234" s="4">
        <v>45558</v>
      </c>
      <c r="C234" s="1">
        <f>14+50/60</f>
        <v>14.833333333333334</v>
      </c>
      <c r="D234" s="2">
        <v>641</v>
      </c>
      <c r="E234" s="2">
        <v>1</v>
      </c>
      <c r="F234" s="2">
        <v>8461</v>
      </c>
      <c r="G234" s="2">
        <f t="shared" si="23"/>
        <v>10165.5</v>
      </c>
      <c r="I234" s="1">
        <f t="shared" si="21"/>
        <v>15.500000000000002</v>
      </c>
      <c r="J234" s="2">
        <f t="shared" si="22"/>
        <v>657.25</v>
      </c>
      <c r="L234" s="1">
        <f t="shared" si="24"/>
        <v>11.385000000000002</v>
      </c>
      <c r="M234" s="2">
        <f t="shared" si="25"/>
        <v>459.55</v>
      </c>
      <c r="O234" s="1">
        <f t="shared" si="26"/>
        <v>8.4212962962962976</v>
      </c>
      <c r="P234" s="2">
        <f t="shared" si="27"/>
        <v>341.55555555555554</v>
      </c>
    </row>
    <row r="235" spans="1:16" x14ac:dyDescent="0.45">
      <c r="A235" t="s">
        <v>217</v>
      </c>
      <c r="B235" s="4">
        <v>45565</v>
      </c>
      <c r="C235" s="1">
        <f>15+34/60</f>
        <v>15.566666666666666</v>
      </c>
      <c r="D235" s="2">
        <v>674</v>
      </c>
      <c r="E235" s="2">
        <v>0</v>
      </c>
      <c r="F235" s="2">
        <v>10521</v>
      </c>
      <c r="G235" s="2">
        <f t="shared" si="23"/>
        <v>9796.5</v>
      </c>
      <c r="I235" s="1">
        <f t="shared" ref="I235:I268" si="28">AVERAGE(C232:C235)</f>
        <v>15.191666666666666</v>
      </c>
      <c r="J235" s="2">
        <f t="shared" ref="J235:J268" si="29">AVERAGE(D232:D235)</f>
        <v>645</v>
      </c>
      <c r="L235" s="1">
        <f t="shared" ref="L235:L268" si="30">((C228)+(2*C229)+(3*C230)+(4*C231)+(4*C232)+(3*C233)+(2*C234)+(C235))/20</f>
        <v>13.231666666666666</v>
      </c>
      <c r="M235" s="2">
        <f t="shared" ref="M235:M268" si="31">((D228)+(2*D229)+(3*D230)+(4*D231)+(4*D232)+(3*D233)+(2*D234)+(D235))/20</f>
        <v>543.5</v>
      </c>
      <c r="O235" s="1">
        <f t="shared" ref="O235:O268" si="32">((C235)+(C234*2)+(C233*3)+(C232*4)+(C231*5)+(C230*6)+(C229*7)+(C228*8))/36</f>
        <v>9.3004629629629623</v>
      </c>
      <c r="P235" s="2">
        <f t="shared" ref="P235:P268" si="33">((D235)+(D234*2)+(D233*3)+(D232*4)+(D231*5)+(D230*6)+(D229*7)+(D228*8))/36</f>
        <v>372.58333333333331</v>
      </c>
    </row>
    <row r="236" spans="1:16" x14ac:dyDescent="0.45">
      <c r="B236" s="4">
        <v>45572</v>
      </c>
      <c r="C236" s="1">
        <f>20+17/60</f>
        <v>20.283333333333335</v>
      </c>
      <c r="D236" s="2">
        <v>876</v>
      </c>
      <c r="E236" s="2">
        <v>3</v>
      </c>
      <c r="F236" s="2">
        <v>14845</v>
      </c>
      <c r="G236" s="2">
        <f t="shared" si="23"/>
        <v>10920.5</v>
      </c>
      <c r="I236" s="1">
        <f t="shared" si="28"/>
        <v>16.408333333333331</v>
      </c>
      <c r="J236" s="2">
        <f t="shared" si="29"/>
        <v>707.5</v>
      </c>
      <c r="L236" s="1">
        <f t="shared" si="30"/>
        <v>14.869166666666667</v>
      </c>
      <c r="M236" s="2">
        <f t="shared" si="31"/>
        <v>620.95000000000005</v>
      </c>
      <c r="O236" s="1">
        <f t="shared" si="32"/>
        <v>12.465277777777779</v>
      </c>
      <c r="P236" s="2">
        <f t="shared" si="33"/>
        <v>504.16666666666669</v>
      </c>
    </row>
    <row r="237" spans="1:16" x14ac:dyDescent="0.45">
      <c r="B237" s="4">
        <v>45579</v>
      </c>
      <c r="C237" s="1">
        <f>16+14/60</f>
        <v>16.233333333333334</v>
      </c>
      <c r="D237" s="2">
        <v>720</v>
      </c>
      <c r="E237" s="2">
        <v>2</v>
      </c>
      <c r="F237" s="2">
        <v>11831</v>
      </c>
      <c r="G237" s="2">
        <f t="shared" si="23"/>
        <v>11414.5</v>
      </c>
      <c r="I237" s="1">
        <f t="shared" si="28"/>
        <v>16.729166666666668</v>
      </c>
      <c r="J237" s="2">
        <f t="shared" si="29"/>
        <v>727.75</v>
      </c>
      <c r="L237" s="1">
        <f t="shared" si="30"/>
        <v>15.800000000000002</v>
      </c>
      <c r="M237" s="2">
        <f t="shared" si="31"/>
        <v>671.15</v>
      </c>
      <c r="O237" s="1">
        <f t="shared" si="32"/>
        <v>15.439351851851853</v>
      </c>
      <c r="P237" s="2">
        <f t="shared" si="33"/>
        <v>637.5</v>
      </c>
    </row>
    <row r="238" spans="1:16" x14ac:dyDescent="0.45">
      <c r="A238" t="s">
        <v>218</v>
      </c>
      <c r="B238" s="4">
        <v>45586</v>
      </c>
      <c r="C238" s="1">
        <f>15+17/60</f>
        <v>15.283333333333333</v>
      </c>
      <c r="D238" s="2">
        <v>769</v>
      </c>
      <c r="E238" s="2">
        <v>0</v>
      </c>
      <c r="F238" s="2">
        <v>9533</v>
      </c>
      <c r="G238" s="2">
        <f t="shared" si="23"/>
        <v>11682.5</v>
      </c>
      <c r="I238" s="1">
        <f t="shared" si="28"/>
        <v>16.841666666666669</v>
      </c>
      <c r="J238" s="2">
        <f t="shared" si="29"/>
        <v>759.75</v>
      </c>
      <c r="L238" s="1">
        <f t="shared" si="30"/>
        <v>16.134166666666665</v>
      </c>
      <c r="M238" s="2">
        <f t="shared" si="31"/>
        <v>699.45</v>
      </c>
      <c r="O238" s="1">
        <f t="shared" si="32"/>
        <v>16.029166666666665</v>
      </c>
      <c r="P238" s="2">
        <f t="shared" si="33"/>
        <v>687.16666666666663</v>
      </c>
    </row>
    <row r="239" spans="1:16" x14ac:dyDescent="0.45">
      <c r="B239" s="4">
        <v>45593</v>
      </c>
      <c r="C239" s="1">
        <f>14+20/60</f>
        <v>14.333333333333334</v>
      </c>
      <c r="D239" s="2">
        <v>644</v>
      </c>
      <c r="E239" s="2">
        <v>2</v>
      </c>
      <c r="F239" s="2">
        <v>9858</v>
      </c>
      <c r="G239" s="2">
        <f t="shared" si="23"/>
        <v>11516.75</v>
      </c>
      <c r="I239" s="1">
        <f t="shared" si="28"/>
        <v>16.533333333333331</v>
      </c>
      <c r="J239" s="2">
        <f t="shared" si="29"/>
        <v>752.25</v>
      </c>
      <c r="L239" s="1">
        <f t="shared" si="30"/>
        <v>16.340833333333329</v>
      </c>
      <c r="M239" s="2">
        <f t="shared" si="31"/>
        <v>718.45</v>
      </c>
      <c r="O239" s="1">
        <f t="shared" si="32"/>
        <v>15.820833333333333</v>
      </c>
      <c r="P239" s="2">
        <f t="shared" si="33"/>
        <v>681.75</v>
      </c>
    </row>
    <row r="240" spans="1:16" x14ac:dyDescent="0.45">
      <c r="B240" s="4">
        <v>45600</v>
      </c>
      <c r="C240" s="1">
        <f>12+29/60</f>
        <v>12.483333333333333</v>
      </c>
      <c r="D240" s="2">
        <v>674</v>
      </c>
      <c r="E240" s="2">
        <v>1</v>
      </c>
      <c r="F240" s="2">
        <v>8164</v>
      </c>
      <c r="G240" s="2">
        <f t="shared" si="23"/>
        <v>9846.5</v>
      </c>
      <c r="I240" s="1">
        <f t="shared" si="28"/>
        <v>14.583333333333334</v>
      </c>
      <c r="J240" s="2">
        <f t="shared" si="29"/>
        <v>701.75</v>
      </c>
      <c r="L240" s="1">
        <f t="shared" si="30"/>
        <v>16.21916666666667</v>
      </c>
      <c r="M240" s="2">
        <f t="shared" si="31"/>
        <v>729.8</v>
      </c>
      <c r="O240" s="1">
        <f t="shared" si="32"/>
        <v>15.838425925925927</v>
      </c>
      <c r="P240" s="2">
        <f t="shared" si="33"/>
        <v>699.22222222222217</v>
      </c>
    </row>
    <row r="241" spans="1:19" x14ac:dyDescent="0.45">
      <c r="B241" s="4">
        <v>45607</v>
      </c>
      <c r="C241" s="1">
        <f>10+35/60</f>
        <v>10.583333333333334</v>
      </c>
      <c r="D241" s="2">
        <v>411</v>
      </c>
      <c r="E241" s="2">
        <v>2</v>
      </c>
      <c r="F241" s="2">
        <v>6751</v>
      </c>
      <c r="G241" s="2">
        <f t="shared" si="23"/>
        <v>8576.5</v>
      </c>
      <c r="I241" s="1">
        <f t="shared" si="28"/>
        <v>13.170833333333334</v>
      </c>
      <c r="J241" s="2">
        <f t="shared" si="29"/>
        <v>624.5</v>
      </c>
      <c r="L241" s="1">
        <f t="shared" si="30"/>
        <v>15.571666666666664</v>
      </c>
      <c r="M241" s="2">
        <f t="shared" si="31"/>
        <v>713.2</v>
      </c>
      <c r="O241" s="1">
        <f t="shared" si="32"/>
        <v>15.838425925925927</v>
      </c>
      <c r="P241" s="2">
        <f t="shared" si="33"/>
        <v>707.47222222222217</v>
      </c>
    </row>
    <row r="242" spans="1:19" x14ac:dyDescent="0.45">
      <c r="A242" t="s">
        <v>219</v>
      </c>
      <c r="B242" s="4">
        <v>45614</v>
      </c>
      <c r="C242" s="1">
        <f>10+23/60</f>
        <v>10.383333333333333</v>
      </c>
      <c r="D242" s="2">
        <v>411</v>
      </c>
      <c r="E242" s="2">
        <v>1</v>
      </c>
      <c r="F242" s="2">
        <v>5661</v>
      </c>
      <c r="G242" s="2">
        <f t="shared" si="23"/>
        <v>7608.5</v>
      </c>
      <c r="I242" s="1">
        <f t="shared" si="28"/>
        <v>11.945833333333333</v>
      </c>
      <c r="J242" s="2">
        <f t="shared" si="29"/>
        <v>535</v>
      </c>
      <c r="L242" s="1">
        <f t="shared" si="30"/>
        <v>14.615</v>
      </c>
      <c r="M242" s="2">
        <f t="shared" si="31"/>
        <v>674.65</v>
      </c>
      <c r="O242" s="1">
        <f t="shared" si="32"/>
        <v>15.74074074074074</v>
      </c>
      <c r="P242" s="2">
        <f t="shared" si="33"/>
        <v>708.88888888888891</v>
      </c>
    </row>
    <row r="243" spans="1:19" x14ac:dyDescent="0.45">
      <c r="A243" t="s">
        <v>220</v>
      </c>
      <c r="B243" s="4">
        <v>45621</v>
      </c>
      <c r="C243" s="1">
        <f>9+51/60</f>
        <v>9.85</v>
      </c>
      <c r="D243" s="2">
        <v>360</v>
      </c>
      <c r="E243" s="2">
        <v>1</v>
      </c>
      <c r="F243" s="2">
        <v>5000</v>
      </c>
      <c r="G243" s="2">
        <f t="shared" si="23"/>
        <v>6394</v>
      </c>
      <c r="I243" s="1">
        <f t="shared" si="28"/>
        <v>10.825000000000001</v>
      </c>
      <c r="J243" s="2">
        <f t="shared" si="29"/>
        <v>464</v>
      </c>
      <c r="L243" s="1">
        <f t="shared" si="30"/>
        <v>13.411666666666667</v>
      </c>
      <c r="M243" s="2">
        <f t="shared" si="31"/>
        <v>615.5</v>
      </c>
      <c r="O243" s="1">
        <f t="shared" si="32"/>
        <v>15.321296296296298</v>
      </c>
      <c r="P243" s="2">
        <f t="shared" si="33"/>
        <v>694.25</v>
      </c>
    </row>
    <row r="244" spans="1:19" x14ac:dyDescent="0.45">
      <c r="A244" t="s">
        <v>221</v>
      </c>
      <c r="B244" s="4">
        <v>45628</v>
      </c>
      <c r="C244" s="1">
        <f>12+33/60</f>
        <v>12.55</v>
      </c>
      <c r="D244" s="2">
        <v>481</v>
      </c>
      <c r="E244" s="2">
        <v>0</v>
      </c>
      <c r="F244" s="2">
        <v>6804</v>
      </c>
      <c r="G244" s="2">
        <f t="shared" si="23"/>
        <v>6054</v>
      </c>
      <c r="I244" s="1">
        <f t="shared" si="28"/>
        <v>10.841666666666669</v>
      </c>
      <c r="J244" s="2">
        <f t="shared" si="29"/>
        <v>415.75</v>
      </c>
      <c r="L244" s="1">
        <f t="shared" si="30"/>
        <v>12.273333333333333</v>
      </c>
      <c r="M244" s="2">
        <f t="shared" si="31"/>
        <v>548.20000000000005</v>
      </c>
      <c r="O244" s="1">
        <f t="shared" si="32"/>
        <v>13.638888888888889</v>
      </c>
      <c r="P244" s="2">
        <f t="shared" si="33"/>
        <v>623.75</v>
      </c>
    </row>
    <row r="245" spans="1:19" x14ac:dyDescent="0.45">
      <c r="A245" t="s">
        <v>222</v>
      </c>
      <c r="B245" s="4">
        <v>45635</v>
      </c>
      <c r="C245" s="1">
        <v>0</v>
      </c>
      <c r="D245" s="2">
        <v>0</v>
      </c>
      <c r="E245" s="2">
        <v>0</v>
      </c>
      <c r="F245" s="2">
        <v>0</v>
      </c>
      <c r="G245" s="2">
        <f t="shared" si="23"/>
        <v>4366.25</v>
      </c>
      <c r="I245" s="1">
        <f t="shared" si="28"/>
        <v>8.1958333333333329</v>
      </c>
      <c r="J245" s="2">
        <f t="shared" si="29"/>
        <v>313</v>
      </c>
      <c r="L245" s="1">
        <f t="shared" si="30"/>
        <v>10.995833333333334</v>
      </c>
      <c r="M245" s="2">
        <f t="shared" si="31"/>
        <v>470.45</v>
      </c>
      <c r="O245" s="1">
        <f t="shared" si="32"/>
        <v>12.405555555555557</v>
      </c>
      <c r="P245" s="2">
        <f t="shared" si="33"/>
        <v>567.91666666666663</v>
      </c>
    </row>
    <row r="246" spans="1:19" x14ac:dyDescent="0.45">
      <c r="A246" t="s">
        <v>222</v>
      </c>
      <c r="B246" s="4">
        <v>45642</v>
      </c>
      <c r="C246" s="1">
        <v>0</v>
      </c>
      <c r="D246" s="2">
        <v>0</v>
      </c>
      <c r="E246" s="2">
        <v>0</v>
      </c>
      <c r="F246" s="2">
        <v>0</v>
      </c>
      <c r="G246" s="2">
        <f t="shared" si="23"/>
        <v>2951</v>
      </c>
      <c r="I246" s="1">
        <f t="shared" si="28"/>
        <v>5.6</v>
      </c>
      <c r="J246" s="2">
        <f t="shared" si="29"/>
        <v>210.25</v>
      </c>
      <c r="L246" s="1">
        <f t="shared" si="30"/>
        <v>9.4816666666666656</v>
      </c>
      <c r="M246" s="2">
        <f t="shared" si="31"/>
        <v>387.6</v>
      </c>
      <c r="O246" s="1">
        <f t="shared" si="32"/>
        <v>10.958796296296297</v>
      </c>
      <c r="P246" s="2">
        <f t="shared" si="33"/>
        <v>479.83333333333331</v>
      </c>
    </row>
    <row r="247" spans="1:19" x14ac:dyDescent="0.45">
      <c r="B247" s="4">
        <v>45649</v>
      </c>
      <c r="C247" s="1">
        <f>6+50/60</f>
        <v>6.833333333333333</v>
      </c>
      <c r="D247" s="2">
        <v>248</v>
      </c>
      <c r="E247" s="2">
        <v>0</v>
      </c>
      <c r="F247" s="2">
        <v>4184</v>
      </c>
      <c r="G247" s="2">
        <f t="shared" si="23"/>
        <v>2747</v>
      </c>
      <c r="I247" s="1">
        <f t="shared" si="28"/>
        <v>4.8458333333333332</v>
      </c>
      <c r="J247" s="2">
        <f t="shared" si="29"/>
        <v>182.25</v>
      </c>
      <c r="L247" s="1">
        <f t="shared" si="30"/>
        <v>8.0616666666666656</v>
      </c>
      <c r="M247" s="2">
        <f t="shared" si="31"/>
        <v>317.05</v>
      </c>
      <c r="O247" s="1">
        <f t="shared" si="32"/>
        <v>9.5148148148148142</v>
      </c>
      <c r="P247" s="2">
        <f t="shared" si="33"/>
        <v>408.52777777777777</v>
      </c>
    </row>
    <row r="248" spans="1:19" x14ac:dyDescent="0.45">
      <c r="B248" s="4">
        <v>45656</v>
      </c>
      <c r="C248" s="1">
        <f>32+10/60</f>
        <v>32.166666666666664</v>
      </c>
      <c r="D248" s="2">
        <v>1194</v>
      </c>
      <c r="E248" s="2">
        <v>0</v>
      </c>
      <c r="F248" s="2">
        <f>C248*575</f>
        <v>18495.833333333332</v>
      </c>
      <c r="G248" s="2">
        <f t="shared" si="23"/>
        <v>5669.958333333333</v>
      </c>
      <c r="I248" s="1">
        <f t="shared" si="28"/>
        <v>9.75</v>
      </c>
      <c r="J248" s="2">
        <f t="shared" si="29"/>
        <v>360.5</v>
      </c>
      <c r="L248" s="1">
        <f t="shared" si="30"/>
        <v>7.8466666666666667</v>
      </c>
      <c r="M248" s="2">
        <f t="shared" si="31"/>
        <v>296.35000000000002</v>
      </c>
      <c r="O248" s="1">
        <f t="shared" si="32"/>
        <v>9.0287037037037052</v>
      </c>
      <c r="P248" s="2">
        <f t="shared" si="33"/>
        <v>345</v>
      </c>
    </row>
    <row r="249" spans="1:19" x14ac:dyDescent="0.45">
      <c r="A249" t="s">
        <v>167</v>
      </c>
      <c r="B249" s="4">
        <v>45663</v>
      </c>
      <c r="C249" s="1">
        <f>18+55/60</f>
        <v>18.916666666666668</v>
      </c>
      <c r="D249" s="2">
        <v>780</v>
      </c>
      <c r="E249" s="2">
        <v>0</v>
      </c>
      <c r="F249" s="2">
        <f>C249*575</f>
        <v>10877.083333333334</v>
      </c>
      <c r="G249" s="2">
        <f t="shared" si="23"/>
        <v>8389.2291666666661</v>
      </c>
      <c r="I249" s="1">
        <f t="shared" si="28"/>
        <v>14.479166666666668</v>
      </c>
      <c r="J249" s="2">
        <f t="shared" si="29"/>
        <v>555.5</v>
      </c>
      <c r="L249" s="1">
        <f t="shared" si="30"/>
        <v>8.5741666666666667</v>
      </c>
      <c r="M249" s="2">
        <f t="shared" si="31"/>
        <v>324.3</v>
      </c>
      <c r="O249" s="1">
        <f t="shared" si="32"/>
        <v>9.1962962962962962</v>
      </c>
      <c r="P249" s="2">
        <f t="shared" si="33"/>
        <v>350.16666666666669</v>
      </c>
      <c r="R249" s="2"/>
      <c r="S249" s="2"/>
    </row>
    <row r="250" spans="1:19" x14ac:dyDescent="0.45">
      <c r="A250" t="s">
        <v>223</v>
      </c>
      <c r="B250" s="4">
        <v>45670</v>
      </c>
      <c r="C250" s="1">
        <f>22+24/60</f>
        <v>22.4</v>
      </c>
      <c r="D250" s="2">
        <v>1043</v>
      </c>
      <c r="E250" s="2">
        <v>1</v>
      </c>
      <c r="F250" s="2">
        <f>C250*700</f>
        <v>15679.999999999998</v>
      </c>
      <c r="G250" s="2">
        <f t="shared" si="23"/>
        <v>12309.229166666666</v>
      </c>
      <c r="I250" s="1">
        <f t="shared" si="28"/>
        <v>20.079166666666666</v>
      </c>
      <c r="J250" s="2">
        <f t="shared" si="29"/>
        <v>816.25</v>
      </c>
      <c r="L250" s="1">
        <f t="shared" si="30"/>
        <v>10.950833333333334</v>
      </c>
      <c r="M250" s="2">
        <f t="shared" si="31"/>
        <v>424.95</v>
      </c>
      <c r="O250" s="1">
        <f t="shared" si="32"/>
        <v>9.7421296296296305</v>
      </c>
      <c r="P250" s="2">
        <f t="shared" si="33"/>
        <v>372.88888888888891</v>
      </c>
      <c r="R250" s="2"/>
      <c r="S250" s="2"/>
    </row>
    <row r="251" spans="1:19" x14ac:dyDescent="0.45">
      <c r="B251" s="4">
        <v>45677</v>
      </c>
      <c r="C251" s="1">
        <f>20+23/60</f>
        <v>20.383333333333333</v>
      </c>
      <c r="D251" s="2">
        <v>896</v>
      </c>
      <c r="E251" s="2">
        <v>2</v>
      </c>
      <c r="F251" s="2">
        <f>C251*700</f>
        <v>14268.333333333332</v>
      </c>
      <c r="G251" s="2">
        <f t="shared" si="23"/>
        <v>14830.3125</v>
      </c>
      <c r="I251" s="1">
        <f t="shared" si="28"/>
        <v>23.466666666666661</v>
      </c>
      <c r="J251" s="2">
        <f t="shared" si="29"/>
        <v>978.25</v>
      </c>
      <c r="L251" s="1">
        <f t="shared" si="30"/>
        <v>14.524166666666664</v>
      </c>
      <c r="M251" s="2">
        <f t="shared" si="31"/>
        <v>578.54999999999995</v>
      </c>
      <c r="O251" s="1">
        <f t="shared" si="32"/>
        <v>10.699074074074073</v>
      </c>
      <c r="P251" s="2">
        <f t="shared" si="33"/>
        <v>421.83333333333331</v>
      </c>
      <c r="R251" s="2"/>
      <c r="S251" s="2"/>
    </row>
    <row r="252" spans="1:19" x14ac:dyDescent="0.45">
      <c r="B252" s="4">
        <v>45684</v>
      </c>
      <c r="C252" s="1">
        <f>18+34/60</f>
        <v>18.566666666666666</v>
      </c>
      <c r="D252" s="2">
        <v>851</v>
      </c>
      <c r="E252" s="2">
        <v>2</v>
      </c>
      <c r="F252" s="2">
        <f>C252*700</f>
        <v>12996.666666666666</v>
      </c>
      <c r="G252" s="2">
        <f t="shared" si="23"/>
        <v>13455.520833333332</v>
      </c>
      <c r="I252" s="1">
        <f t="shared" si="28"/>
        <v>20.066666666666666</v>
      </c>
      <c r="J252" s="2">
        <f t="shared" si="29"/>
        <v>892.5</v>
      </c>
      <c r="L252" s="1">
        <f t="shared" si="30"/>
        <v>17.568333333333332</v>
      </c>
      <c r="M252" s="2">
        <f t="shared" si="31"/>
        <v>720.6</v>
      </c>
      <c r="O252" s="1">
        <f t="shared" si="32"/>
        <v>11.223148148148148</v>
      </c>
      <c r="P252" s="2">
        <f t="shared" si="33"/>
        <v>454.16666666666669</v>
      </c>
      <c r="R252" s="2"/>
      <c r="S252" s="2"/>
    </row>
    <row r="253" spans="1:19" x14ac:dyDescent="0.45">
      <c r="A253" t="s">
        <v>180</v>
      </c>
      <c r="B253" s="4">
        <v>45691</v>
      </c>
      <c r="C253" s="1">
        <f>14+37/60</f>
        <v>14.616666666666667</v>
      </c>
      <c r="D253" s="2">
        <v>873</v>
      </c>
      <c r="E253" s="2">
        <v>0</v>
      </c>
      <c r="F253" s="2">
        <v>11386</v>
      </c>
      <c r="G253" s="2">
        <f t="shared" si="23"/>
        <v>13582.749999999998</v>
      </c>
      <c r="I253" s="1">
        <f t="shared" si="28"/>
        <v>18.991666666666667</v>
      </c>
      <c r="J253" s="2">
        <f t="shared" si="29"/>
        <v>915.75</v>
      </c>
      <c r="L253" s="1">
        <f t="shared" si="30"/>
        <v>19.416666666666664</v>
      </c>
      <c r="M253" s="2">
        <f t="shared" si="31"/>
        <v>831.65</v>
      </c>
      <c r="O253" s="1">
        <f t="shared" si="32"/>
        <v>14.942129629629632</v>
      </c>
      <c r="P253" s="2">
        <f t="shared" si="33"/>
        <v>617.63888888888891</v>
      </c>
      <c r="R253" s="2"/>
      <c r="S253" s="2"/>
    </row>
    <row r="254" spans="1:19" x14ac:dyDescent="0.45">
      <c r="A254" t="s">
        <v>197</v>
      </c>
      <c r="B254" s="4">
        <v>45698</v>
      </c>
      <c r="C254" s="1">
        <f>16+5/60</f>
        <v>16.083333333333332</v>
      </c>
      <c r="D254" s="2">
        <v>692</v>
      </c>
      <c r="E254" s="2">
        <v>0</v>
      </c>
      <c r="F254" s="2">
        <v>10281</v>
      </c>
      <c r="G254" s="2">
        <f t="shared" si="23"/>
        <v>12233</v>
      </c>
      <c r="I254" s="1">
        <f t="shared" si="28"/>
        <v>17.412500000000001</v>
      </c>
      <c r="J254" s="2">
        <f t="shared" si="29"/>
        <v>828</v>
      </c>
      <c r="L254" s="1">
        <f t="shared" si="30"/>
        <v>20.00333333333333</v>
      </c>
      <c r="M254" s="2">
        <f t="shared" si="31"/>
        <v>886.15</v>
      </c>
      <c r="O254" s="1">
        <f t="shared" si="32"/>
        <v>19.107870370370371</v>
      </c>
      <c r="P254" s="2">
        <f t="shared" si="33"/>
        <v>800.33333333333337</v>
      </c>
      <c r="R254" s="2"/>
      <c r="S254" s="2"/>
    </row>
    <row r="255" spans="1:19" x14ac:dyDescent="0.45">
      <c r="B255" s="4">
        <v>45705</v>
      </c>
      <c r="C255" s="1">
        <f>15+56/60</f>
        <v>15.933333333333334</v>
      </c>
      <c r="D255" s="2">
        <v>638</v>
      </c>
      <c r="E255" s="2">
        <v>2</v>
      </c>
      <c r="F255" s="2">
        <v>11293</v>
      </c>
      <c r="G255" s="2">
        <f t="shared" si="23"/>
        <v>11489.166666666666</v>
      </c>
      <c r="I255" s="1">
        <f t="shared" si="28"/>
        <v>16.3</v>
      </c>
      <c r="J255" s="2">
        <f t="shared" si="29"/>
        <v>763.5</v>
      </c>
      <c r="L255" s="1">
        <f t="shared" si="30"/>
        <v>19.247500000000002</v>
      </c>
      <c r="M255" s="2">
        <f t="shared" si="31"/>
        <v>875.6</v>
      </c>
      <c r="O255" s="1">
        <f t="shared" si="32"/>
        <v>22.00787037037037</v>
      </c>
      <c r="P255" s="2">
        <f t="shared" si="33"/>
        <v>938.75</v>
      </c>
      <c r="R255" s="2"/>
      <c r="S255" s="2"/>
    </row>
    <row r="256" spans="1:19" x14ac:dyDescent="0.45">
      <c r="B256" s="4">
        <v>45712</v>
      </c>
      <c r="C256" s="1">
        <f>16+53/60</f>
        <v>16.883333333333333</v>
      </c>
      <c r="D256" s="2">
        <v>817</v>
      </c>
      <c r="E256" s="2">
        <v>2</v>
      </c>
      <c r="F256" s="2">
        <v>12445</v>
      </c>
      <c r="G256" s="2">
        <f t="shared" si="23"/>
        <v>11351.25</v>
      </c>
      <c r="I256" s="1">
        <f t="shared" si="28"/>
        <v>15.879166666666666</v>
      </c>
      <c r="J256" s="2">
        <f t="shared" si="29"/>
        <v>755</v>
      </c>
      <c r="L256" s="1">
        <f t="shared" si="30"/>
        <v>17.73</v>
      </c>
      <c r="M256" s="2">
        <f t="shared" si="31"/>
        <v>830.95</v>
      </c>
      <c r="O256" s="1">
        <f t="shared" si="32"/>
        <v>18.853703703703705</v>
      </c>
      <c r="P256" s="2">
        <f t="shared" si="33"/>
        <v>856.47222222222217</v>
      </c>
      <c r="R256" s="2"/>
      <c r="S256" s="2"/>
    </row>
    <row r="257" spans="1:19" x14ac:dyDescent="0.45">
      <c r="A257" t="s">
        <v>224</v>
      </c>
      <c r="B257" s="4">
        <v>45719</v>
      </c>
      <c r="C257" s="1">
        <f>15+11/60</f>
        <v>15.183333333333334</v>
      </c>
      <c r="D257" s="2">
        <v>661</v>
      </c>
      <c r="E257" s="2">
        <v>1</v>
      </c>
      <c r="F257" s="2">
        <v>11021</v>
      </c>
      <c r="G257" s="2">
        <f t="shared" si="23"/>
        <v>11260</v>
      </c>
      <c r="I257" s="1">
        <f t="shared" si="28"/>
        <v>16.020833333333332</v>
      </c>
      <c r="J257" s="2">
        <f t="shared" si="29"/>
        <v>702</v>
      </c>
      <c r="L257" s="1">
        <f t="shared" si="30"/>
        <v>16.920833333333334</v>
      </c>
      <c r="M257" s="2">
        <f t="shared" si="31"/>
        <v>792.85</v>
      </c>
      <c r="O257" s="1">
        <f t="shared" si="32"/>
        <v>18.540277777777778</v>
      </c>
      <c r="P257" s="2">
        <f t="shared" si="33"/>
        <v>862.88888888888891</v>
      </c>
      <c r="R257" s="2"/>
      <c r="S257" s="2"/>
    </row>
    <row r="258" spans="1:19" x14ac:dyDescent="0.45">
      <c r="A258" t="s">
        <v>75</v>
      </c>
      <c r="B258" s="4">
        <v>45726</v>
      </c>
      <c r="C258" s="1">
        <f>20+15/60</f>
        <v>20.25</v>
      </c>
      <c r="D258" s="2">
        <v>650</v>
      </c>
      <c r="E258" s="2">
        <v>1</v>
      </c>
      <c r="F258" s="2">
        <v>8693</v>
      </c>
      <c r="G258" s="2">
        <f t="shared" si="23"/>
        <v>10863</v>
      </c>
      <c r="I258" s="1">
        <f t="shared" si="28"/>
        <v>17.0625</v>
      </c>
      <c r="J258" s="2">
        <f t="shared" si="29"/>
        <v>691.5</v>
      </c>
      <c r="L258" s="1">
        <f t="shared" si="30"/>
        <v>16.535</v>
      </c>
      <c r="M258" s="2">
        <f t="shared" si="31"/>
        <v>748</v>
      </c>
      <c r="O258" s="1">
        <f t="shared" si="32"/>
        <v>17.393055555555559</v>
      </c>
      <c r="P258" s="2">
        <f t="shared" si="33"/>
        <v>799.94444444444446</v>
      </c>
      <c r="R258" s="2"/>
      <c r="S258" s="2"/>
    </row>
    <row r="259" spans="1:19" x14ac:dyDescent="0.45">
      <c r="B259" s="4">
        <v>45733</v>
      </c>
      <c r="C259" s="1">
        <f>6+13/60</f>
        <v>6.2166666666666668</v>
      </c>
      <c r="D259" s="2">
        <v>217</v>
      </c>
      <c r="E259" s="2">
        <v>1</v>
      </c>
      <c r="F259" s="2">
        <v>4209</v>
      </c>
      <c r="G259" s="2">
        <f t="shared" si="23"/>
        <v>9092</v>
      </c>
      <c r="I259" s="1">
        <f t="shared" si="28"/>
        <v>14.633333333333333</v>
      </c>
      <c r="J259" s="2">
        <f t="shared" si="29"/>
        <v>586.25</v>
      </c>
      <c r="L259" s="1">
        <f t="shared" si="30"/>
        <v>15.979166666666666</v>
      </c>
      <c r="M259" s="2">
        <f t="shared" si="31"/>
        <v>699.65</v>
      </c>
      <c r="O259" s="1">
        <f t="shared" si="32"/>
        <v>16.300462962962964</v>
      </c>
      <c r="P259" s="2">
        <f t="shared" si="33"/>
        <v>750.80555555555554</v>
      </c>
      <c r="R259" s="2"/>
      <c r="S259" s="2"/>
    </row>
    <row r="260" spans="1:19" x14ac:dyDescent="0.45">
      <c r="B260" s="4">
        <v>45740</v>
      </c>
      <c r="C260" s="1">
        <f>16+48/60</f>
        <v>16.8</v>
      </c>
      <c r="D260" s="2">
        <v>726</v>
      </c>
      <c r="E260" s="2">
        <v>2</v>
      </c>
      <c r="F260" s="2">
        <v>12197</v>
      </c>
      <c r="G260" s="2">
        <f t="shared" si="23"/>
        <v>9030</v>
      </c>
      <c r="I260" s="1">
        <f t="shared" si="28"/>
        <v>14.612500000000001</v>
      </c>
      <c r="J260" s="2">
        <f t="shared" si="29"/>
        <v>563.5</v>
      </c>
      <c r="L260" s="1">
        <f t="shared" si="30"/>
        <v>15.641666666666669</v>
      </c>
      <c r="M260" s="2">
        <f t="shared" si="31"/>
        <v>659.65</v>
      </c>
      <c r="O260" s="1">
        <f t="shared" si="32"/>
        <v>15.5625</v>
      </c>
      <c r="P260" s="2">
        <f t="shared" si="33"/>
        <v>708.19444444444446</v>
      </c>
      <c r="R260" s="2"/>
      <c r="S260" s="2"/>
    </row>
    <row r="261" spans="1:19" x14ac:dyDescent="0.45">
      <c r="B261" s="4">
        <v>45747</v>
      </c>
      <c r="C261" s="1">
        <f>14+5/60</f>
        <v>14.083333333333334</v>
      </c>
      <c r="D261" s="2">
        <v>697</v>
      </c>
      <c r="E261" s="2">
        <v>2</v>
      </c>
      <c r="F261" s="2">
        <v>10589</v>
      </c>
      <c r="G261" s="2">
        <f t="shared" si="23"/>
        <v>8922</v>
      </c>
      <c r="I261" s="1">
        <f t="shared" si="28"/>
        <v>14.3375</v>
      </c>
      <c r="J261" s="2">
        <f t="shared" si="29"/>
        <v>572.5</v>
      </c>
      <c r="L261" s="1">
        <f t="shared" si="30"/>
        <v>15.333333333333332</v>
      </c>
      <c r="M261" s="2">
        <f t="shared" si="31"/>
        <v>623.15</v>
      </c>
      <c r="O261" s="1">
        <f t="shared" si="32"/>
        <v>15.6875</v>
      </c>
      <c r="P261" s="2">
        <f t="shared" si="33"/>
        <v>655.80555555555554</v>
      </c>
      <c r="R261" s="2"/>
      <c r="S261" s="2"/>
    </row>
    <row r="262" spans="1:19" x14ac:dyDescent="0.45">
      <c r="B262" s="4">
        <v>45754</v>
      </c>
      <c r="C262" s="1">
        <f>12+37/60</f>
        <v>12.616666666666667</v>
      </c>
      <c r="D262" s="2">
        <v>446</v>
      </c>
      <c r="E262" s="2">
        <v>1</v>
      </c>
      <c r="F262" s="2">
        <v>8915</v>
      </c>
      <c r="G262" s="2">
        <f t="shared" ref="G262:G268" si="34">AVERAGE(F259:F262)</f>
        <v>8977.5</v>
      </c>
      <c r="I262" s="1">
        <f t="shared" si="28"/>
        <v>12.429166666666667</v>
      </c>
      <c r="J262" s="2">
        <f t="shared" si="29"/>
        <v>521.5</v>
      </c>
      <c r="L262" s="1">
        <f t="shared" si="30"/>
        <v>14.615</v>
      </c>
      <c r="M262" s="2">
        <f t="shared" si="31"/>
        <v>587.04999999999995</v>
      </c>
      <c r="O262" s="1">
        <f t="shared" si="32"/>
        <v>15.390277777777776</v>
      </c>
      <c r="P262" s="2">
        <f t="shared" si="33"/>
        <v>636.80555555555554</v>
      </c>
      <c r="R262" s="2"/>
      <c r="S262" s="2"/>
    </row>
    <row r="263" spans="1:19" x14ac:dyDescent="0.45">
      <c r="B263" s="4">
        <v>45761</v>
      </c>
      <c r="C263" s="1">
        <f>19+22/60</f>
        <v>19.366666666666667</v>
      </c>
      <c r="D263" s="2">
        <v>843</v>
      </c>
      <c r="E263" s="2">
        <v>2</v>
      </c>
      <c r="F263" s="2">
        <v>14310</v>
      </c>
      <c r="G263" s="2">
        <f t="shared" si="34"/>
        <v>11502.75</v>
      </c>
      <c r="I263" s="1">
        <f t="shared" si="28"/>
        <v>15.716666666666667</v>
      </c>
      <c r="J263" s="2">
        <f t="shared" si="29"/>
        <v>678</v>
      </c>
      <c r="L263" s="1">
        <f t="shared" si="30"/>
        <v>14.345833333333335</v>
      </c>
      <c r="M263" s="2">
        <f t="shared" si="31"/>
        <v>584.35</v>
      </c>
      <c r="O263" s="1">
        <f t="shared" si="32"/>
        <v>15.22175925925926</v>
      </c>
      <c r="P263" s="2">
        <f t="shared" si="33"/>
        <v>635.5</v>
      </c>
      <c r="R263" s="2"/>
      <c r="S263" s="2"/>
    </row>
    <row r="264" spans="1:19" x14ac:dyDescent="0.45">
      <c r="B264" s="4">
        <v>45768</v>
      </c>
      <c r="C264" s="1">
        <f>23+49/60</f>
        <v>23.816666666666666</v>
      </c>
      <c r="D264" s="2">
        <v>1095</v>
      </c>
      <c r="E264" s="2">
        <v>2</v>
      </c>
      <c r="F264" s="2">
        <v>17844</v>
      </c>
      <c r="G264" s="2">
        <f t="shared" si="34"/>
        <v>12914.5</v>
      </c>
      <c r="I264" s="1">
        <f t="shared" si="28"/>
        <v>17.470833333333335</v>
      </c>
      <c r="J264" s="2">
        <f t="shared" si="29"/>
        <v>770.25</v>
      </c>
      <c r="L264" s="1">
        <f t="shared" si="30"/>
        <v>14.913333333333336</v>
      </c>
      <c r="M264" s="2">
        <f t="shared" si="31"/>
        <v>621.15</v>
      </c>
      <c r="O264" s="1">
        <f t="shared" si="32"/>
        <v>15.034722222222221</v>
      </c>
      <c r="P264" s="2">
        <f t="shared" si="33"/>
        <v>602.13888888888891</v>
      </c>
      <c r="R264" s="2"/>
      <c r="S264" s="2"/>
    </row>
    <row r="265" spans="1:19" x14ac:dyDescent="0.45">
      <c r="B265" s="4">
        <v>45775</v>
      </c>
      <c r="C265" s="1">
        <f>21+39/60</f>
        <v>21.65</v>
      </c>
      <c r="D265" s="2">
        <v>1037</v>
      </c>
      <c r="E265" s="2">
        <v>2</v>
      </c>
      <c r="F265" s="2">
        <v>16361</v>
      </c>
      <c r="G265" s="2">
        <f t="shared" si="34"/>
        <v>14357.5</v>
      </c>
      <c r="I265" s="1">
        <f t="shared" si="28"/>
        <v>19.362499999999997</v>
      </c>
      <c r="J265" s="2">
        <f t="shared" si="29"/>
        <v>855.25</v>
      </c>
      <c r="L265" s="1">
        <f t="shared" si="30"/>
        <v>15.863333333333333</v>
      </c>
      <c r="M265" s="2">
        <f t="shared" si="31"/>
        <v>679.5</v>
      </c>
      <c r="O265" s="1">
        <f t="shared" si="32"/>
        <v>15.40509259259259</v>
      </c>
      <c r="P265" s="2">
        <f t="shared" si="33"/>
        <v>613.88888888888891</v>
      </c>
      <c r="R265" s="2"/>
      <c r="S265" s="2"/>
    </row>
    <row r="266" spans="1:19" x14ac:dyDescent="0.45">
      <c r="A266" t="s">
        <v>225</v>
      </c>
      <c r="B266" s="4">
        <v>45782</v>
      </c>
      <c r="C266" s="1">
        <f>18+45/60</f>
        <v>18.75</v>
      </c>
      <c r="D266" s="2">
        <v>1030</v>
      </c>
      <c r="E266" s="2">
        <v>0</v>
      </c>
      <c r="F266" s="2">
        <v>14754</v>
      </c>
      <c r="G266" s="2">
        <f t="shared" si="34"/>
        <v>15817.25</v>
      </c>
      <c r="I266" s="1">
        <f t="shared" si="28"/>
        <v>20.895833333333336</v>
      </c>
      <c r="J266" s="2">
        <f t="shared" si="29"/>
        <v>1001.25</v>
      </c>
      <c r="L266" s="1">
        <f t="shared" si="30"/>
        <v>17.175000000000001</v>
      </c>
      <c r="M266" s="2">
        <f t="shared" si="31"/>
        <v>765.25</v>
      </c>
      <c r="O266" s="1">
        <f t="shared" si="32"/>
        <v>14.607870370370371</v>
      </c>
      <c r="P266" s="2">
        <f t="shared" si="33"/>
        <v>638.63888888888891</v>
      </c>
      <c r="R266" s="2"/>
      <c r="S266" s="2"/>
    </row>
    <row r="267" spans="1:19" x14ac:dyDescent="0.45">
      <c r="A267" t="s">
        <v>226</v>
      </c>
      <c r="B267" s="4">
        <v>45789</v>
      </c>
      <c r="C267" s="1">
        <f>17+31/60</f>
        <v>17.516666666666666</v>
      </c>
      <c r="D267" s="2">
        <v>821</v>
      </c>
      <c r="E267" s="2">
        <v>1</v>
      </c>
      <c r="F267" s="2">
        <v>12078</v>
      </c>
      <c r="G267" s="2">
        <f t="shared" si="34"/>
        <v>15259.25</v>
      </c>
      <c r="I267" s="1">
        <f t="shared" si="28"/>
        <v>20.433333333333334</v>
      </c>
      <c r="J267" s="2">
        <f t="shared" si="29"/>
        <v>995.75</v>
      </c>
      <c r="L267" s="1">
        <f t="shared" si="30"/>
        <v>18.775833333333331</v>
      </c>
      <c r="M267" s="2">
        <f t="shared" si="31"/>
        <v>860.1</v>
      </c>
      <c r="O267" s="1">
        <f t="shared" si="32"/>
        <v>17.243055555555557</v>
      </c>
      <c r="P267" s="2">
        <f t="shared" si="33"/>
        <v>776.38888888888891</v>
      </c>
      <c r="R267" s="2"/>
      <c r="S267" s="2"/>
    </row>
    <row r="268" spans="1:19" x14ac:dyDescent="0.45">
      <c r="A268" t="s">
        <v>227</v>
      </c>
      <c r="B268" s="4">
        <v>45796</v>
      </c>
      <c r="C268" s="1">
        <f>14+57/60</f>
        <v>14.95</v>
      </c>
      <c r="D268" s="2">
        <v>755</v>
      </c>
      <c r="E268" s="2">
        <v>0</v>
      </c>
      <c r="F268" s="2">
        <v>11244</v>
      </c>
      <c r="G268" s="2">
        <f t="shared" si="34"/>
        <v>13609.25</v>
      </c>
      <c r="I268" s="1">
        <f t="shared" si="28"/>
        <v>18.216666666666665</v>
      </c>
      <c r="J268" s="2">
        <f t="shared" si="29"/>
        <v>910.75</v>
      </c>
      <c r="L268" s="1">
        <f t="shared" si="30"/>
        <v>19.275833333333331</v>
      </c>
      <c r="M268" s="2">
        <f t="shared" si="31"/>
        <v>906.65</v>
      </c>
      <c r="O268" s="1">
        <f t="shared" si="32"/>
        <v>17.474999999999998</v>
      </c>
      <c r="P268" s="2">
        <f t="shared" si="33"/>
        <v>801.83333333333337</v>
      </c>
      <c r="R268" s="2"/>
      <c r="S268" s="2"/>
    </row>
    <row r="269" spans="1:19" x14ac:dyDescent="0.45">
      <c r="A269" t="s">
        <v>228</v>
      </c>
      <c r="B269" s="4">
        <v>45803</v>
      </c>
      <c r="C269" s="1">
        <f>15+14/60</f>
        <v>15.233333333333333</v>
      </c>
      <c r="D269" s="2">
        <v>752</v>
      </c>
      <c r="E269" s="2">
        <v>0</v>
      </c>
      <c r="F269" s="2">
        <v>11276</v>
      </c>
      <c r="G269" s="2">
        <f t="shared" ref="G269:G271" si="35">AVERAGE(F266:F269)</f>
        <v>12338</v>
      </c>
      <c r="I269" s="1">
        <f t="shared" ref="I269:I271" si="36">AVERAGE(C266:C269)</f>
        <v>16.612500000000001</v>
      </c>
      <c r="J269" s="2">
        <f t="shared" ref="J269:J271" si="37">AVERAGE(D266:D269)</f>
        <v>839.5</v>
      </c>
      <c r="L269" s="1">
        <f t="shared" ref="L269:L271" si="38">((C262)+(2*C263)+(3*C264)+(4*C265)+(4*C266)+(3*C267)+(2*C268)+(C269))/20</f>
        <v>19.104166666666664</v>
      </c>
      <c r="M269" s="2">
        <f t="shared" ref="M269:M271" si="39">((D262)+(2*D263)+(3*D264)+(4*D265)+(4*D266)+(3*D267)+(2*D268)+(D269))/20</f>
        <v>920.5</v>
      </c>
      <c r="O269" s="1">
        <f t="shared" ref="O269:O271" si="40">((C269)+(C268*2)+(C267*3)+(C266*4)+(C265*5)+(C264*6)+(C263*7)+(C262*8))/36</f>
        <v>18.342592592592595</v>
      </c>
      <c r="P269" s="2">
        <f t="shared" ref="P269:P271" si="41">((D269)+(D268*2)+(D267*3)+(D266*4)+(D265*5)+(D264*6)+(D263*7)+(D262*8))/36</f>
        <v>835.25</v>
      </c>
      <c r="R269" s="2"/>
      <c r="S269" s="2"/>
    </row>
    <row r="270" spans="1:19" x14ac:dyDescent="0.45">
      <c r="A270" t="s">
        <v>229</v>
      </c>
      <c r="B270" s="4">
        <v>45810</v>
      </c>
      <c r="C270" s="1">
        <f>17+8/60</f>
        <v>17.133333333333333</v>
      </c>
      <c r="D270" s="2">
        <v>753</v>
      </c>
      <c r="E270" s="2">
        <v>0</v>
      </c>
      <c r="F270" s="2">
        <v>12526</v>
      </c>
      <c r="G270" s="2">
        <f t="shared" si="35"/>
        <v>11781</v>
      </c>
      <c r="I270" s="1">
        <f t="shared" si="36"/>
        <v>16.208333333333336</v>
      </c>
      <c r="J270" s="2">
        <f t="shared" si="37"/>
        <v>770.25</v>
      </c>
      <c r="L270" s="1">
        <f t="shared" si="38"/>
        <v>18.473333333333333</v>
      </c>
      <c r="M270" s="2">
        <f t="shared" si="39"/>
        <v>903.5</v>
      </c>
      <c r="O270" s="1">
        <f t="shared" si="40"/>
        <v>19.661574074074071</v>
      </c>
      <c r="P270" s="2">
        <f t="shared" si="41"/>
        <v>932.97222222222217</v>
      </c>
      <c r="R270" s="2"/>
      <c r="S270" s="2"/>
    </row>
    <row r="271" spans="1:19" x14ac:dyDescent="0.45">
      <c r="A271" t="s">
        <v>230</v>
      </c>
      <c r="B271" s="4">
        <v>45817</v>
      </c>
      <c r="C271" s="1">
        <f>17+13/60</f>
        <v>17.216666666666665</v>
      </c>
      <c r="D271" s="2">
        <v>753</v>
      </c>
      <c r="E271" s="2">
        <v>0</v>
      </c>
      <c r="F271" s="2">
        <v>14780</v>
      </c>
      <c r="G271" s="2">
        <f t="shared" si="35"/>
        <v>12456.5</v>
      </c>
      <c r="I271" s="1">
        <f t="shared" si="36"/>
        <v>16.133333333333333</v>
      </c>
      <c r="J271" s="2">
        <f t="shared" si="37"/>
        <v>753.25</v>
      </c>
      <c r="L271" s="1">
        <f t="shared" si="38"/>
        <v>17.520833333333332</v>
      </c>
      <c r="M271" s="2">
        <f t="shared" si="39"/>
        <v>853.9</v>
      </c>
      <c r="O271" s="1">
        <f t="shared" si="40"/>
        <v>19.420833333333334</v>
      </c>
      <c r="P271" s="2">
        <f t="shared" si="41"/>
        <v>939.97222222222217</v>
      </c>
      <c r="R271" s="2"/>
      <c r="S271" s="2"/>
    </row>
    <row r="272" spans="1:19" x14ac:dyDescent="0.45">
      <c r="A272" t="s">
        <v>231</v>
      </c>
      <c r="B272" s="4">
        <v>45824</v>
      </c>
      <c r="C272" s="1">
        <f>9+16/60</f>
        <v>9.2666666666666675</v>
      </c>
      <c r="D272" s="2">
        <v>478</v>
      </c>
      <c r="E272" s="2">
        <v>0</v>
      </c>
      <c r="F272" s="2">
        <v>6341</v>
      </c>
      <c r="G272" s="2">
        <f t="shared" ref="G272:G273" si="42">AVERAGE(F269:F272)</f>
        <v>11230.75</v>
      </c>
      <c r="I272" s="1">
        <f t="shared" ref="I272:I273" si="43">AVERAGE(C269:C272)</f>
        <v>14.712499999999999</v>
      </c>
      <c r="J272" s="2">
        <f t="shared" ref="J272:J273" si="44">AVERAGE(D269:D272)</f>
        <v>684</v>
      </c>
      <c r="L272" s="1">
        <f t="shared" ref="L272:L273" si="45">((C265)+(2*C266)+(3*C267)+(4*C268)+(4*C269)+(3*C270)+(2*C271)+(C272))/20</f>
        <v>16.376666666666665</v>
      </c>
      <c r="M272" s="2">
        <f t="shared" ref="M272:M273" si="46">((D265)+(2*D266)+(3*D267)+(4*D268)+(4*D269)+(3*D270)+(2*D271)+(D272))/20</f>
        <v>791.55</v>
      </c>
      <c r="O272" s="1">
        <f t="shared" ref="O272:O273" si="47">((C272)+(C271*2)+(C270*3)+(C269*4)+(C268*5)+(C267*6)+(C266*7)+(C265*8))/36</f>
        <v>17.787037037037035</v>
      </c>
      <c r="P272" s="2">
        <f t="shared" ref="P272:P273" si="48">((D272)+(D271*2)+(D270*3)+(D269*4)+(D268*5)+(D267*6)+(D266*7)+(D265*8))/36</f>
        <v>873.83333333333337</v>
      </c>
      <c r="R272" s="2"/>
      <c r="S272" s="2"/>
    </row>
    <row r="273" spans="1:30" x14ac:dyDescent="0.45">
      <c r="A273" t="s">
        <v>232</v>
      </c>
      <c r="B273" s="4">
        <v>45831</v>
      </c>
      <c r="C273" s="1">
        <f>13+27/60</f>
        <v>13.45</v>
      </c>
      <c r="D273" s="2">
        <v>752</v>
      </c>
      <c r="E273" s="2">
        <v>0</v>
      </c>
      <c r="F273" s="2">
        <v>8512</v>
      </c>
      <c r="G273" s="2">
        <f t="shared" si="42"/>
        <v>10539.75</v>
      </c>
      <c r="I273" s="1">
        <f t="shared" si="43"/>
        <v>14.266666666666666</v>
      </c>
      <c r="J273" s="2">
        <f t="shared" si="44"/>
        <v>684</v>
      </c>
      <c r="L273" s="1">
        <f t="shared" si="45"/>
        <v>15.586666666666668</v>
      </c>
      <c r="M273" s="2">
        <f t="shared" si="46"/>
        <v>746.2</v>
      </c>
      <c r="O273" s="1">
        <f t="shared" si="47"/>
        <v>16.406944444444445</v>
      </c>
      <c r="P273" s="2">
        <f t="shared" si="48"/>
        <v>812.66666666666663</v>
      </c>
      <c r="R273" s="2"/>
      <c r="S273" s="2"/>
    </row>
    <row r="274" spans="1:30" x14ac:dyDescent="0.45">
      <c r="A274" t="s">
        <v>233</v>
      </c>
      <c r="B274" s="4">
        <v>45838</v>
      </c>
      <c r="C274" s="1">
        <f>14+49/60</f>
        <v>14.816666666666666</v>
      </c>
      <c r="D274" s="2">
        <v>448</v>
      </c>
      <c r="E274" s="2">
        <v>2</v>
      </c>
      <c r="F274" s="2">
        <v>9455</v>
      </c>
      <c r="G274" s="2">
        <f t="shared" ref="G274:G276" si="49">AVERAGE(F271:F274)</f>
        <v>9772</v>
      </c>
      <c r="I274" s="1">
        <f t="shared" ref="I274:I276" si="50">AVERAGE(C271:C274)</f>
        <v>13.6875</v>
      </c>
      <c r="J274" s="2">
        <f t="shared" ref="J274:J276" si="51">AVERAGE(D271:D274)</f>
        <v>607.75</v>
      </c>
      <c r="L274" s="1">
        <f t="shared" ref="L274:L276" si="52">((C267)+(2*C268)+(3*C269)+(4*C270)+(4*C271)+(3*C272)+(2*C273)+(C274))/20</f>
        <v>15.001666666666665</v>
      </c>
      <c r="M274" s="2">
        <f t="shared" ref="M274:M276" si="53">((D267)+(2*D268)+(3*D269)+(4*D270)+(4*D271)+(3*D272)+(2*D273)+(D274))/20</f>
        <v>699.85</v>
      </c>
      <c r="O274" s="1">
        <f t="shared" ref="O274:O276" si="54">((C274)+(C273*2)+(C272*3)+(C271*4)+(C270*5)+(C269*6)+(C268*7)+(C267*8))/36</f>
        <v>15.562037037037037</v>
      </c>
      <c r="P274" s="2">
        <f t="shared" ref="P274:P276" si="55">((D274)+(D273*2)+(D272*3)+(D271*4)+(D270*5)+(D269*6)+(D268*7)+(D267*8))/36</f>
        <v>736.88888888888891</v>
      </c>
      <c r="R274" s="2"/>
      <c r="S274" s="2"/>
    </row>
    <row r="275" spans="1:30" x14ac:dyDescent="0.45">
      <c r="A275" t="s">
        <v>234</v>
      </c>
      <c r="B275" s="4">
        <v>45845</v>
      </c>
      <c r="C275" s="1">
        <f>10+55/60</f>
        <v>10.916666666666666</v>
      </c>
      <c r="D275" s="2">
        <v>639</v>
      </c>
      <c r="E275" s="2">
        <v>0</v>
      </c>
      <c r="F275" s="2">
        <v>8145</v>
      </c>
      <c r="G275" s="2">
        <f t="shared" si="49"/>
        <v>8113.25</v>
      </c>
      <c r="I275" s="1">
        <f t="shared" si="50"/>
        <v>12.112499999999999</v>
      </c>
      <c r="J275" s="2">
        <f t="shared" si="51"/>
        <v>579.25</v>
      </c>
      <c r="L275" s="1">
        <f t="shared" si="52"/>
        <v>14.182500000000001</v>
      </c>
      <c r="M275" s="2">
        <f t="shared" si="53"/>
        <v>661.65</v>
      </c>
      <c r="O275" s="1">
        <f t="shared" si="54"/>
        <v>14.807870370370372</v>
      </c>
      <c r="P275" s="2">
        <f t="shared" si="55"/>
        <v>702.5</v>
      </c>
      <c r="R275" s="2"/>
      <c r="S275" s="2"/>
    </row>
    <row r="276" spans="1:30" x14ac:dyDescent="0.45">
      <c r="A276" t="s">
        <v>235</v>
      </c>
      <c r="B276" s="4">
        <v>45852</v>
      </c>
      <c r="C276" s="1">
        <f>9+27/60</f>
        <v>9.4499999999999993</v>
      </c>
      <c r="D276" s="2">
        <v>467</v>
      </c>
      <c r="E276" s="2">
        <v>0</v>
      </c>
      <c r="F276" s="2">
        <v>6818</v>
      </c>
      <c r="G276" s="2">
        <f t="shared" si="49"/>
        <v>8232.5</v>
      </c>
      <c r="I276" s="1">
        <f t="shared" si="50"/>
        <v>12.158333333333331</v>
      </c>
      <c r="J276" s="2">
        <f t="shared" si="51"/>
        <v>576.5</v>
      </c>
      <c r="L276" s="1">
        <f t="shared" si="52"/>
        <v>13.387499999999998</v>
      </c>
      <c r="M276" s="2">
        <f t="shared" si="53"/>
        <v>626.29999999999995</v>
      </c>
      <c r="O276" s="1">
        <f t="shared" si="54"/>
        <v>14.471296296296295</v>
      </c>
      <c r="P276" s="2">
        <f t="shared" si="55"/>
        <v>674.77777777777783</v>
      </c>
      <c r="R276" s="2"/>
      <c r="S276" s="2"/>
    </row>
    <row r="277" spans="1:30" x14ac:dyDescent="0.45">
      <c r="A277" t="s">
        <v>235</v>
      </c>
      <c r="B277" s="4">
        <v>45859</v>
      </c>
      <c r="C277" s="1">
        <f>12+15/60</f>
        <v>12.25</v>
      </c>
      <c r="D277" s="2">
        <v>822</v>
      </c>
      <c r="E277" s="2">
        <v>0</v>
      </c>
      <c r="F277" s="2">
        <v>8599</v>
      </c>
      <c r="G277" s="2">
        <f t="shared" ref="G277:G278" si="56">AVERAGE(F274:F277)</f>
        <v>8254.25</v>
      </c>
      <c r="I277" s="1">
        <f t="shared" ref="I277:I278" si="57">AVERAGE(C274:C277)</f>
        <v>11.858333333333334</v>
      </c>
      <c r="J277" s="2">
        <f t="shared" ref="J277:J278" si="58">AVERAGE(D274:D277)</f>
        <v>594</v>
      </c>
      <c r="L277" s="1">
        <f t="shared" ref="L277:L278" si="59">((C270)+(2*C271)+(3*C272)+(4*C273)+(4*C274)+(3*C275)+(2*C276)+(C277))/20</f>
        <v>12.816666666666668</v>
      </c>
      <c r="M277" s="2">
        <f t="shared" ref="M277:M278" si="60">((D270)+(2*D271)+(3*D272)+(4*D273)+(4*D274)+(3*D275)+(2*D276)+(D277))/20</f>
        <v>608.29999999999995</v>
      </c>
      <c r="O277" s="1">
        <f t="shared" ref="O277:O278" si="61">((C277)+(C276*2)+(C275*3)+(C274*4)+(C273*5)+(C272*6)+(C271*7)+(C270*8))/36</f>
        <v>13.988888888888887</v>
      </c>
      <c r="P277" s="2">
        <f t="shared" ref="P277:P278" si="62">((D277)+(D276*2)+(D275*3)+(D274*4)+(D273*5)+(D272*6)+(D271*7)+(D270*8))/36</f>
        <v>649.66666666666663</v>
      </c>
    </row>
    <row r="278" spans="1:30" x14ac:dyDescent="0.45">
      <c r="A278" t="s">
        <v>138</v>
      </c>
      <c r="B278" s="4">
        <v>45866</v>
      </c>
      <c r="C278" s="1">
        <f>10+48/60</f>
        <v>10.8</v>
      </c>
      <c r="D278" s="2">
        <v>522</v>
      </c>
      <c r="E278" s="2">
        <v>1</v>
      </c>
      <c r="F278" s="2">
        <v>7900</v>
      </c>
      <c r="G278" s="2">
        <f t="shared" si="56"/>
        <v>7865.5</v>
      </c>
      <c r="I278" s="1">
        <f t="shared" si="57"/>
        <v>10.854166666666668</v>
      </c>
      <c r="J278" s="2">
        <f t="shared" si="58"/>
        <v>612.5</v>
      </c>
      <c r="L278" s="1">
        <f t="shared" si="59"/>
        <v>12.134166666666667</v>
      </c>
      <c r="M278" s="2">
        <f t="shared" si="60"/>
        <v>594</v>
      </c>
      <c r="O278" s="1">
        <f t="shared" si="61"/>
        <v>12.908333333333331</v>
      </c>
      <c r="P278" s="2">
        <f t="shared" si="62"/>
        <v>617.91666666666663</v>
      </c>
      <c r="Q278" s="23"/>
      <c r="R278" s="23"/>
      <c r="S278" s="23"/>
    </row>
    <row r="279" spans="1:30" x14ac:dyDescent="0.45">
      <c r="A279" t="s">
        <v>236</v>
      </c>
      <c r="B279" s="4">
        <v>45873</v>
      </c>
      <c r="C279" s="1">
        <f>6+45/60</f>
        <v>6.75</v>
      </c>
      <c r="D279" s="2">
        <v>336</v>
      </c>
      <c r="E279" s="2">
        <v>0</v>
      </c>
      <c r="F279" s="2">
        <v>3886</v>
      </c>
      <c r="G279" s="2">
        <f t="shared" ref="G279" si="63">AVERAGE(F276:F279)</f>
        <v>6800.75</v>
      </c>
      <c r="I279" s="1">
        <f t="shared" ref="I279" si="64">AVERAGE(C276:C279)</f>
        <v>9.8125</v>
      </c>
      <c r="J279" s="2">
        <f t="shared" ref="J279" si="65">AVERAGE(D276:D279)</f>
        <v>536.75</v>
      </c>
      <c r="L279" s="1">
        <f t="shared" ref="L279" si="66">((C272)+(2*C273)+(3*C274)+(4*C275)+(4*C276)+(3*C277)+(2*C278)+(C279))/20</f>
        <v>11.359166666666665</v>
      </c>
      <c r="M279" s="2">
        <f t="shared" ref="M279" si="67">((D272)+(2*D273)+(3*D274)+(4*D275)+(4*D276)+(3*D277)+(2*D278)+(D279))/20</f>
        <v>579.79999999999995</v>
      </c>
      <c r="O279" s="1">
        <f t="shared" ref="O279" si="68">((C279)+(C278*2)+(C277*3)+(C276*4)+(C275*5)+(C274*6)+(C273*7)+(C272*8))/36</f>
        <v>11.518518518518517</v>
      </c>
      <c r="P279" s="2">
        <f t="shared" ref="P279" si="69">((D279)+(D278*2)+(D277*3)+(D276*4)+(D275*5)+(D274*6)+(D273*7)+(D272*8))/36</f>
        <v>574.58333333333337</v>
      </c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x14ac:dyDescent="0.45">
      <c r="B280" s="4">
        <v>45880</v>
      </c>
      <c r="C280" s="1">
        <f>9+30/60</f>
        <v>9.5</v>
      </c>
      <c r="D280" s="2">
        <v>338</v>
      </c>
      <c r="E280" s="2">
        <v>1</v>
      </c>
      <c r="F280" s="2">
        <v>6576</v>
      </c>
      <c r="G280" s="2">
        <f t="shared" ref="G280" si="70">AVERAGE(F277:F280)</f>
        <v>6740.25</v>
      </c>
      <c r="I280" s="1">
        <f t="shared" ref="I280" si="71">AVERAGE(C277:C280)</f>
        <v>9.8249999999999993</v>
      </c>
      <c r="J280" s="2">
        <f t="shared" ref="J280" si="72">AVERAGE(D277:D280)</f>
        <v>504.5</v>
      </c>
      <c r="L280" s="1">
        <f t="shared" ref="L280" si="73">((C273)+(2*C274)+(3*C275)+(4*C276)+(4*C277)+(3*C278)+(2*C279)+(C280))/20</f>
        <v>10.901666666666667</v>
      </c>
      <c r="M280" s="2">
        <f t="shared" ref="M280" si="74">((D273)+(2*D274)+(3*D275)+(4*D276)+(4*D277)+(3*D278)+(2*D279)+(D280))/20</f>
        <v>564.85</v>
      </c>
      <c r="O280" s="1">
        <f t="shared" ref="O280" si="75">((C280)+(C279*2)+(C278*3)+(C277*4)+(C276*5)+(C275*6)+(C274*7)+(C273*8))/36</f>
        <v>11.901851851851852</v>
      </c>
      <c r="P280" s="2">
        <f t="shared" ref="P280" si="76">((D280)+(D279*2)+(D278*3)+(D277*4)+(D276*5)+(D275*6)+(D274*7)+(D273*8))/36</f>
        <v>588.47222222222217</v>
      </c>
      <c r="Q280" s="1"/>
      <c r="U280" s="2"/>
      <c r="W280" s="1"/>
      <c r="X280" s="2"/>
      <c r="Z280" s="1"/>
      <c r="AA280" s="2"/>
      <c r="AC280" s="1"/>
      <c r="AD280" s="2"/>
    </row>
    <row r="281" spans="1:30" x14ac:dyDescent="0.45">
      <c r="B281" s="4">
        <v>45887</v>
      </c>
      <c r="C281" s="1">
        <f>22+10/60</f>
        <v>22.166666666666668</v>
      </c>
      <c r="D281" s="2">
        <v>861</v>
      </c>
      <c r="E281" s="2">
        <v>2</v>
      </c>
      <c r="F281" s="2">
        <v>14947</v>
      </c>
      <c r="G281" s="2">
        <f t="shared" ref="G281:G282" si="77">AVERAGE(F278:F281)</f>
        <v>8327.25</v>
      </c>
      <c r="I281" s="1">
        <f t="shared" ref="I281:I282" si="78">AVERAGE(C278:C281)</f>
        <v>12.304166666666667</v>
      </c>
      <c r="J281" s="2">
        <f t="shared" ref="J281:J282" si="79">AVERAGE(D278:D281)</f>
        <v>514.25</v>
      </c>
      <c r="L281" s="1">
        <f t="shared" ref="L281:L282" si="80">((C274)+(2*C275)+(3*C276)+(4*C277)+(4*C278)+(3*C279)+(2*C280)+(C281))/20</f>
        <v>10.930833333333332</v>
      </c>
      <c r="M281" s="2">
        <f t="shared" ref="M281:M282" si="81">((D274)+(2*D275)+(3*D276)+(4*D277)+(4*D278)+(3*D279)+(2*D280)+(D281))/20</f>
        <v>552.4</v>
      </c>
      <c r="O281" s="1">
        <f t="shared" ref="O281:O282" si="82">((C281)+(C280*2)+(C279*3)+(C278*4)+(C277*5)+(C276*6)+(C275*7)+(C274*8))/36</f>
        <v>11.597685185185185</v>
      </c>
      <c r="P281" s="2">
        <f t="shared" ref="P281:P282" si="83">((D281)+(D280*2)+(D279*3)+(D278*4)+(D277*5)+(D276*6)+(D275*7)+(D274*8))/36</f>
        <v>544.5</v>
      </c>
      <c r="U281" s="2"/>
      <c r="W281" s="1"/>
      <c r="X281" s="2"/>
      <c r="Z281" s="1"/>
      <c r="AA281" s="2"/>
      <c r="AC281" s="1"/>
      <c r="AD281" s="2"/>
    </row>
    <row r="282" spans="1:30" x14ac:dyDescent="0.45">
      <c r="B282" s="4">
        <v>45894</v>
      </c>
      <c r="C282" s="1">
        <f>20+33/60</f>
        <v>20.55</v>
      </c>
      <c r="D282" s="2">
        <v>840</v>
      </c>
      <c r="E282" s="2">
        <v>2</v>
      </c>
      <c r="F282" s="2">
        <v>13922</v>
      </c>
      <c r="G282" s="2">
        <f t="shared" si="77"/>
        <v>9832.75</v>
      </c>
      <c r="I282" s="1">
        <f t="shared" si="78"/>
        <v>14.741666666666667</v>
      </c>
      <c r="J282" s="2">
        <f t="shared" si="79"/>
        <v>593.75</v>
      </c>
      <c r="L282" s="1">
        <f t="shared" si="80"/>
        <v>11.5075</v>
      </c>
      <c r="M282" s="2">
        <f t="shared" si="81"/>
        <v>552.35</v>
      </c>
      <c r="O282" s="1">
        <f t="shared" si="82"/>
        <v>11.149074074074072</v>
      </c>
      <c r="P282" s="2">
        <f t="shared" si="83"/>
        <v>578.97222222222217</v>
      </c>
      <c r="U282" s="2"/>
      <c r="W282" s="1"/>
      <c r="X282" s="2"/>
      <c r="Z282" s="1"/>
      <c r="AA282" s="2"/>
      <c r="AC282" s="1"/>
      <c r="AD282" s="2"/>
    </row>
    <row r="283" spans="1:30" x14ac:dyDescent="0.45">
      <c r="B283" s="4">
        <v>45901</v>
      </c>
      <c r="C283" s="1">
        <f>17+35/60</f>
        <v>17.583333333333332</v>
      </c>
      <c r="D283" s="2">
        <v>779</v>
      </c>
      <c r="E283" s="2">
        <v>1</v>
      </c>
      <c r="F283" s="2">
        <v>12242</v>
      </c>
      <c r="G283" s="2">
        <f t="shared" ref="G283:G285" si="84">AVERAGE(F280:F283)</f>
        <v>11921.75</v>
      </c>
      <c r="I283" s="1">
        <f t="shared" ref="I283:I285" si="85">AVERAGE(C280:C283)</f>
        <v>17.45</v>
      </c>
      <c r="J283" s="2">
        <f t="shared" ref="J283:J285" si="86">AVERAGE(D280:D283)</f>
        <v>704.5</v>
      </c>
      <c r="L283" s="1">
        <f t="shared" ref="L283:L285" si="87">((C276)+(2*C277)+(3*C278)+(4*C279)+(4*C280)+(3*C281)+(2*C282)+(C283))/20</f>
        <v>12.826666666666668</v>
      </c>
      <c r="M283" s="2">
        <f t="shared" ref="M283:M285" si="88">((D276)+(2*D277)+(3*D278)+(4*D279)+(4*D280)+(3*D281)+(2*D282)+(D283))/20</f>
        <v>570.75</v>
      </c>
      <c r="O283" s="1">
        <f t="shared" ref="O283:O285" si="89">((C283)+(C282*2)+(C281*3)+(C280*4)+(C279*5)+(C278*6)+(C277*7)+(C276*8))/36</f>
        <v>11.752314814814817</v>
      </c>
      <c r="P283" s="2">
        <f t="shared" ref="P283:P285" si="90">((D283)+(D282*2)+(D281*3)+(D280*4)+(D279*5)+(D278*6)+(D277*7)+(D276*8))/36</f>
        <v>574.88888888888891</v>
      </c>
    </row>
    <row r="284" spans="1:30" x14ac:dyDescent="0.45">
      <c r="A284" t="s">
        <v>292</v>
      </c>
      <c r="B284" s="4">
        <v>45908</v>
      </c>
      <c r="C284" s="1">
        <f>13+24/60</f>
        <v>13.4</v>
      </c>
      <c r="D284" s="2">
        <v>621</v>
      </c>
      <c r="E284" s="2">
        <v>2</v>
      </c>
      <c r="F284" s="2">
        <v>9281</v>
      </c>
      <c r="G284" s="2">
        <f t="shared" si="84"/>
        <v>12598</v>
      </c>
      <c r="I284" s="1">
        <f t="shared" si="85"/>
        <v>18.425000000000001</v>
      </c>
      <c r="J284" s="2">
        <f t="shared" si="86"/>
        <v>775.25</v>
      </c>
      <c r="L284" s="1">
        <f t="shared" si="87"/>
        <v>14.549166666666665</v>
      </c>
      <c r="M284" s="2">
        <f t="shared" si="88"/>
        <v>618.45000000000005</v>
      </c>
      <c r="O284" s="1">
        <f t="shared" si="89"/>
        <v>12.791203703703705</v>
      </c>
      <c r="P284" s="2">
        <f t="shared" si="90"/>
        <v>613.30555555555554</v>
      </c>
    </row>
    <row r="285" spans="1:30" x14ac:dyDescent="0.45">
      <c r="A285" t="s">
        <v>293</v>
      </c>
      <c r="B285" s="4">
        <v>45915</v>
      </c>
      <c r="C285" s="1">
        <f>12+45/60</f>
        <v>12.75</v>
      </c>
      <c r="D285" s="2">
        <v>410</v>
      </c>
      <c r="E285" s="2">
        <v>1</v>
      </c>
      <c r="F285" s="2">
        <v>7730</v>
      </c>
      <c r="G285" s="2">
        <f t="shared" si="84"/>
        <v>10793.75</v>
      </c>
      <c r="I285" s="1">
        <f t="shared" si="85"/>
        <v>16.070833333333333</v>
      </c>
      <c r="J285" s="2">
        <f t="shared" si="86"/>
        <v>662.5</v>
      </c>
      <c r="L285" s="1">
        <f t="shared" si="87"/>
        <v>15.798333333333336</v>
      </c>
      <c r="M285" s="2">
        <f t="shared" si="88"/>
        <v>650.04999999999995</v>
      </c>
      <c r="O285" s="1">
        <f t="shared" si="89"/>
        <v>13.22175925925926</v>
      </c>
      <c r="P285" s="2">
        <f t="shared" si="90"/>
        <v>561.38888888888891</v>
      </c>
    </row>
    <row r="286" spans="1:30" x14ac:dyDescent="0.45">
      <c r="B286" s="4"/>
      <c r="C286" s="1"/>
      <c r="F286" s="2"/>
      <c r="G286" s="2"/>
    </row>
    <row r="287" spans="1:30" x14ac:dyDescent="0.45">
      <c r="B287" s="4"/>
      <c r="C287" s="1"/>
      <c r="F287" s="2"/>
      <c r="G287" s="2"/>
    </row>
    <row r="288" spans="1:30" x14ac:dyDescent="0.45">
      <c r="B288" s="4"/>
      <c r="C288" s="1"/>
      <c r="F288" s="2"/>
      <c r="G288" s="2"/>
    </row>
    <row r="289" spans="2:7" x14ac:dyDescent="0.45">
      <c r="B289" s="4"/>
      <c r="C289" s="1"/>
      <c r="F289" s="2"/>
      <c r="G289" s="2"/>
    </row>
    <row r="290" spans="2:7" x14ac:dyDescent="0.45">
      <c r="B290" s="4"/>
      <c r="C290" s="1"/>
      <c r="F290" s="2"/>
      <c r="G290" s="2"/>
    </row>
    <row r="291" spans="2:7" x14ac:dyDescent="0.45">
      <c r="B291" s="4"/>
      <c r="C291" s="1"/>
      <c r="F291" s="2"/>
      <c r="G291" s="2"/>
    </row>
    <row r="292" spans="2:7" x14ac:dyDescent="0.45">
      <c r="B292" s="4"/>
      <c r="C292" s="1"/>
      <c r="F292" s="2"/>
      <c r="G292" s="2"/>
    </row>
    <row r="293" spans="2:7" x14ac:dyDescent="0.45">
      <c r="B293" s="4"/>
      <c r="C293" s="1"/>
      <c r="F293" s="2"/>
      <c r="G293" s="2"/>
    </row>
    <row r="294" spans="2:7" x14ac:dyDescent="0.45">
      <c r="B294" s="4"/>
      <c r="C294" s="1"/>
      <c r="F294" s="2"/>
      <c r="G294" s="2"/>
    </row>
    <row r="295" spans="2:7" x14ac:dyDescent="0.45">
      <c r="B295" s="4"/>
      <c r="C295" s="1"/>
      <c r="F295" s="2"/>
      <c r="G295" s="2"/>
    </row>
    <row r="296" spans="2:7" x14ac:dyDescent="0.45">
      <c r="B296" s="4"/>
      <c r="C296" s="1"/>
      <c r="F296" s="2"/>
      <c r="G296" s="2"/>
    </row>
    <row r="297" spans="2:7" x14ac:dyDescent="0.45">
      <c r="B297" s="4"/>
      <c r="C297" s="1"/>
      <c r="F297" s="2"/>
      <c r="G297" s="2"/>
    </row>
    <row r="298" spans="2:7" x14ac:dyDescent="0.45">
      <c r="B298" s="4"/>
      <c r="C298" s="1"/>
      <c r="F298" s="2"/>
      <c r="G298" s="2"/>
    </row>
    <row r="299" spans="2:7" x14ac:dyDescent="0.45">
      <c r="B299" s="4"/>
      <c r="C299" s="1"/>
      <c r="F299" s="2"/>
      <c r="G299" s="2"/>
    </row>
    <row r="300" spans="2:7" x14ac:dyDescent="0.45">
      <c r="B300" s="4"/>
      <c r="C300" s="1"/>
      <c r="F300" s="2"/>
      <c r="G300" s="2"/>
    </row>
    <row r="301" spans="2:7" x14ac:dyDescent="0.45">
      <c r="B301" s="4"/>
      <c r="C301" s="1"/>
      <c r="F301" s="2"/>
      <c r="G301" s="2"/>
    </row>
    <row r="302" spans="2:7" x14ac:dyDescent="0.45">
      <c r="B302" s="4"/>
      <c r="C302" s="1"/>
      <c r="F302" s="2"/>
      <c r="G302" s="2"/>
    </row>
    <row r="303" spans="2:7" x14ac:dyDescent="0.45">
      <c r="B303" s="4"/>
      <c r="C303" s="1"/>
      <c r="F303" s="2"/>
      <c r="G303" s="2"/>
    </row>
    <row r="304" spans="2:7" x14ac:dyDescent="0.45">
      <c r="B304" s="4"/>
      <c r="C304" s="1"/>
      <c r="F304" s="2"/>
      <c r="G304" s="2"/>
    </row>
    <row r="305" spans="2:7" x14ac:dyDescent="0.45">
      <c r="B305" s="4"/>
      <c r="C305" s="1"/>
      <c r="F305" s="2"/>
      <c r="G305" s="2"/>
    </row>
    <row r="306" spans="2:7" x14ac:dyDescent="0.45">
      <c r="B306" s="4"/>
      <c r="C306" s="1"/>
      <c r="F306" s="2"/>
      <c r="G306" s="2"/>
    </row>
    <row r="307" spans="2:7" x14ac:dyDescent="0.45">
      <c r="B307" s="4"/>
      <c r="C307" s="1"/>
      <c r="F307" s="2"/>
      <c r="G307" s="2"/>
    </row>
    <row r="308" spans="2:7" x14ac:dyDescent="0.45">
      <c r="B308" s="4"/>
      <c r="C308" s="1"/>
      <c r="F308" s="2"/>
      <c r="G308" s="2"/>
    </row>
    <row r="309" spans="2:7" x14ac:dyDescent="0.45">
      <c r="B309" s="4"/>
      <c r="C309" s="1"/>
      <c r="F309" s="2"/>
      <c r="G309" s="2"/>
    </row>
    <row r="310" spans="2:7" x14ac:dyDescent="0.45">
      <c r="B310" s="4"/>
      <c r="C310" s="1"/>
      <c r="F310" s="2"/>
      <c r="G310" s="2"/>
    </row>
    <row r="311" spans="2:7" x14ac:dyDescent="0.45">
      <c r="B311" s="4"/>
      <c r="C311" s="1"/>
      <c r="F311" s="2"/>
      <c r="G311" s="2"/>
    </row>
    <row r="312" spans="2:7" x14ac:dyDescent="0.45">
      <c r="B312" s="4"/>
      <c r="C312" s="1"/>
      <c r="F312" s="2"/>
      <c r="G312" s="2"/>
    </row>
    <row r="313" spans="2:7" x14ac:dyDescent="0.45">
      <c r="B313" s="4"/>
      <c r="C313" s="1"/>
      <c r="F313" s="2"/>
      <c r="G313" s="2"/>
    </row>
    <row r="314" spans="2:7" x14ac:dyDescent="0.45">
      <c r="B314" s="4"/>
      <c r="C314" s="1"/>
      <c r="F314" s="2"/>
      <c r="G314" s="2"/>
    </row>
    <row r="315" spans="2:7" x14ac:dyDescent="0.45">
      <c r="B315" s="4"/>
      <c r="C315" s="1"/>
      <c r="F315" s="2"/>
      <c r="G315" s="2"/>
    </row>
    <row r="316" spans="2:7" x14ac:dyDescent="0.45">
      <c r="B316" s="4"/>
      <c r="C316" s="1"/>
      <c r="F316" s="2"/>
      <c r="G316" s="2"/>
    </row>
    <row r="317" spans="2:7" x14ac:dyDescent="0.45">
      <c r="B317" s="4"/>
      <c r="C317" s="1"/>
      <c r="F317" s="2"/>
      <c r="G317" s="2"/>
    </row>
    <row r="318" spans="2:7" x14ac:dyDescent="0.45">
      <c r="B318" s="4"/>
      <c r="C318" s="1"/>
      <c r="F318" s="2"/>
      <c r="G318" s="2"/>
    </row>
    <row r="319" spans="2:7" x14ac:dyDescent="0.45">
      <c r="B319" s="4"/>
      <c r="C319" s="1"/>
      <c r="F319" s="2"/>
      <c r="G319" s="2"/>
    </row>
    <row r="320" spans="2:7" x14ac:dyDescent="0.45">
      <c r="B320" s="4"/>
      <c r="C320" s="1"/>
      <c r="F320" s="2"/>
      <c r="G320" s="2"/>
    </row>
    <row r="321" spans="2:7" x14ac:dyDescent="0.45">
      <c r="B321" s="4"/>
      <c r="C321" s="1"/>
      <c r="F321" s="2"/>
      <c r="G321" s="2"/>
    </row>
    <row r="322" spans="2:7" x14ac:dyDescent="0.45">
      <c r="B322" s="4"/>
      <c r="C322" s="1"/>
      <c r="F322" s="2"/>
      <c r="G322" s="2"/>
    </row>
    <row r="323" spans="2:7" x14ac:dyDescent="0.45">
      <c r="B323" s="4"/>
      <c r="C323" s="1"/>
      <c r="F323" s="2"/>
      <c r="G323" s="2"/>
    </row>
    <row r="324" spans="2:7" x14ac:dyDescent="0.45">
      <c r="B324" s="4"/>
      <c r="C324" s="1"/>
      <c r="F324" s="2"/>
      <c r="G324" s="2"/>
    </row>
    <row r="325" spans="2:7" x14ac:dyDescent="0.45">
      <c r="B325" s="4"/>
      <c r="C325" s="1"/>
      <c r="F325" s="2"/>
      <c r="G325" s="2"/>
    </row>
    <row r="326" spans="2:7" x14ac:dyDescent="0.45">
      <c r="B326" s="4"/>
      <c r="C326" s="1"/>
      <c r="F326" s="2"/>
      <c r="G326" s="2"/>
    </row>
    <row r="327" spans="2:7" x14ac:dyDescent="0.45">
      <c r="B327" s="4"/>
      <c r="C327" s="1"/>
      <c r="F327" s="2"/>
      <c r="G327" s="2"/>
    </row>
    <row r="328" spans="2:7" x14ac:dyDescent="0.45">
      <c r="B328" s="4"/>
      <c r="C328" s="1"/>
      <c r="F328" s="2"/>
      <c r="G328" s="2"/>
    </row>
    <row r="329" spans="2:7" x14ac:dyDescent="0.45">
      <c r="B329" s="4"/>
      <c r="C329" s="1"/>
      <c r="F329" s="2"/>
      <c r="G329" s="2"/>
    </row>
    <row r="330" spans="2:7" x14ac:dyDescent="0.45">
      <c r="B330" s="4"/>
      <c r="C330" s="1"/>
      <c r="F330" s="2"/>
      <c r="G330" s="2"/>
    </row>
    <row r="331" spans="2:7" x14ac:dyDescent="0.45">
      <c r="B331" s="4"/>
      <c r="C331" s="1"/>
      <c r="F331" s="2"/>
      <c r="G331" s="2"/>
    </row>
    <row r="332" spans="2:7" x14ac:dyDescent="0.45">
      <c r="B332" s="4"/>
      <c r="C332" s="1"/>
      <c r="F332" s="2"/>
      <c r="G332" s="2"/>
    </row>
    <row r="333" spans="2:7" x14ac:dyDescent="0.45">
      <c r="B333" s="4"/>
      <c r="F333" s="2"/>
      <c r="G333" s="2"/>
    </row>
    <row r="334" spans="2:7" x14ac:dyDescent="0.45">
      <c r="B334" s="4"/>
      <c r="F334" s="2"/>
      <c r="G334" s="2"/>
    </row>
    <row r="335" spans="2:7" x14ac:dyDescent="0.45">
      <c r="B335" s="4"/>
    </row>
  </sheetData>
  <mergeCells count="1">
    <mergeCell ref="Q278:S278"/>
  </mergeCells>
  <phoneticPr fontId="2" type="noConversion"/>
  <conditionalFormatting sqref="G5:G285">
    <cfRule type="colorScale" priority="8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I5:I285">
    <cfRule type="colorScale" priority="26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J5:J285">
    <cfRule type="colorScale" priority="25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L9:L285">
    <cfRule type="colorScale" priority="24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M285">
    <cfRule type="colorScale" priority="23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O13:O285">
    <cfRule type="colorScale" priority="21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3:P285">
    <cfRule type="colorScale" priority="20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U280:U282">
    <cfRule type="colorScale" priority="7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W280:W282">
    <cfRule type="colorScale" priority="6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X280:X282">
    <cfRule type="colorScale" priority="3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Z280:Z282">
    <cfRule type="colorScale" priority="5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AA280:AA282">
    <cfRule type="colorScale" priority="2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AC280:AC282">
    <cfRule type="colorScale" priority="4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AD280:AD282">
    <cfRule type="colorScale" priority="1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10"/>
  <sheetViews>
    <sheetView zoomScale="85" zoomScaleNormal="85" workbookViewId="0">
      <pane ySplit="1" topLeftCell="A266" activePane="bottomLeft" state="frozen"/>
      <selection activeCell="E1" sqref="E1"/>
      <selection pane="bottomLeft" activeCell="B290" sqref="B290"/>
    </sheetView>
  </sheetViews>
  <sheetFormatPr defaultRowHeight="14.25" x14ac:dyDescent="0.45"/>
  <cols>
    <col min="1" max="1" width="23.3984375" customWidth="1"/>
    <col min="2" max="2" width="13.265625" customWidth="1"/>
    <col min="3" max="3" width="12.1328125" customWidth="1"/>
    <col min="7" max="7" width="10.3984375" customWidth="1"/>
    <col min="8" max="8" width="1.3984375" customWidth="1"/>
    <col min="9" max="9" width="11.3984375" customWidth="1"/>
    <col min="10" max="10" width="14.86328125" customWidth="1"/>
    <col min="11" max="11" width="1.3984375" customWidth="1"/>
    <col min="12" max="12" width="16.3984375" customWidth="1"/>
    <col min="13" max="13" width="18.1328125" customWidth="1"/>
    <col min="14" max="14" width="1.59765625" customWidth="1"/>
    <col min="15" max="15" width="11.59765625" customWidth="1"/>
    <col min="16" max="16" width="15.1328125" customWidth="1"/>
  </cols>
  <sheetData>
    <row r="1" spans="1:16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</row>
    <row r="2" spans="1:16" x14ac:dyDescent="0.45">
      <c r="A2" t="s">
        <v>237</v>
      </c>
      <c r="B2" s="4">
        <v>43899</v>
      </c>
      <c r="C2" s="20">
        <v>13</v>
      </c>
      <c r="D2" s="19">
        <v>439</v>
      </c>
      <c r="E2" s="19">
        <v>2</v>
      </c>
      <c r="F2" s="19">
        <v>9597</v>
      </c>
      <c r="G2" s="6"/>
      <c r="H2" s="6"/>
      <c r="I2" s="5"/>
      <c r="J2" s="6"/>
      <c r="K2" s="2"/>
      <c r="L2" s="5"/>
      <c r="M2" s="6"/>
      <c r="O2" s="6"/>
      <c r="P2" s="6"/>
    </row>
    <row r="3" spans="1:16" x14ac:dyDescent="0.45">
      <c r="A3" s="3"/>
      <c r="B3" s="4">
        <v>43906</v>
      </c>
      <c r="C3" s="20">
        <v>20.75</v>
      </c>
      <c r="D3" s="19">
        <v>902</v>
      </c>
      <c r="E3" s="19">
        <v>2</v>
      </c>
      <c r="F3" s="19">
        <v>16712</v>
      </c>
      <c r="G3" s="2"/>
      <c r="H3" s="2"/>
    </row>
    <row r="4" spans="1:16" x14ac:dyDescent="0.45">
      <c r="A4" s="12"/>
      <c r="B4" s="4">
        <v>43913</v>
      </c>
      <c r="C4" s="20">
        <v>14.75</v>
      </c>
      <c r="D4" s="19">
        <v>648</v>
      </c>
      <c r="E4" s="19">
        <v>2</v>
      </c>
      <c r="F4" s="19">
        <v>11403</v>
      </c>
      <c r="G4" s="2"/>
      <c r="H4" s="2"/>
    </row>
    <row r="5" spans="1:16" x14ac:dyDescent="0.45">
      <c r="A5" s="12"/>
      <c r="B5" s="4">
        <v>43920</v>
      </c>
      <c r="C5" s="20">
        <v>12.33</v>
      </c>
      <c r="D5" s="19">
        <f>575-30</f>
        <v>545</v>
      </c>
      <c r="E5" s="19">
        <v>2</v>
      </c>
      <c r="F5" s="19">
        <v>9280</v>
      </c>
      <c r="G5" s="2">
        <f>AVERAGE(F2:F5)</f>
        <v>11748</v>
      </c>
      <c r="H5" s="2"/>
      <c r="I5" s="1">
        <f t="shared" ref="I5:I68" si="0">AVERAGE(C2:C5)</f>
        <v>15.2075</v>
      </c>
      <c r="J5" s="2">
        <f t="shared" ref="J5:J68" si="1">AVERAGE(D2:D5)</f>
        <v>633.5</v>
      </c>
    </row>
    <row r="6" spans="1:16" x14ac:dyDescent="0.45">
      <c r="A6" s="12"/>
      <c r="B6" s="4">
        <v>43927</v>
      </c>
      <c r="C6" s="20">
        <v>17.25</v>
      </c>
      <c r="D6" s="19">
        <f>850-30</f>
        <v>820</v>
      </c>
      <c r="E6" s="19">
        <v>2</v>
      </c>
      <c r="F6" s="19">
        <v>14171</v>
      </c>
      <c r="G6" s="2">
        <f t="shared" ref="G6:G69" si="2">AVERAGE(F3:F6)</f>
        <v>12891.5</v>
      </c>
      <c r="H6" s="2"/>
      <c r="I6" s="1">
        <f t="shared" si="0"/>
        <v>16.27</v>
      </c>
      <c r="J6" s="2">
        <f t="shared" si="1"/>
        <v>728.75</v>
      </c>
    </row>
    <row r="7" spans="1:16" x14ac:dyDescent="0.45">
      <c r="B7" s="4">
        <v>43934</v>
      </c>
      <c r="C7" s="20">
        <v>17.25</v>
      </c>
      <c r="D7" s="19">
        <f>966-30</f>
        <v>936</v>
      </c>
      <c r="E7" s="19">
        <v>2</v>
      </c>
      <c r="F7" s="19">
        <v>15524</v>
      </c>
      <c r="G7" s="2">
        <f t="shared" si="2"/>
        <v>12594.5</v>
      </c>
      <c r="H7" s="2"/>
      <c r="I7" s="1">
        <f t="shared" si="0"/>
        <v>15.395</v>
      </c>
      <c r="J7" s="2">
        <f t="shared" si="1"/>
        <v>737.25</v>
      </c>
    </row>
    <row r="8" spans="1:16" x14ac:dyDescent="0.45">
      <c r="A8" t="s">
        <v>12</v>
      </c>
      <c r="B8" s="4">
        <v>43941</v>
      </c>
      <c r="C8" s="20">
        <v>18.75</v>
      </c>
      <c r="D8" s="19">
        <f>999-30</f>
        <v>969</v>
      </c>
      <c r="E8" s="19">
        <v>2</v>
      </c>
      <c r="F8" s="19">
        <v>16115</v>
      </c>
      <c r="G8" s="2">
        <f t="shared" si="2"/>
        <v>13772.5</v>
      </c>
      <c r="H8" s="2"/>
      <c r="I8" s="1">
        <f t="shared" si="0"/>
        <v>16.395</v>
      </c>
      <c r="J8" s="2">
        <f t="shared" si="1"/>
        <v>817.5</v>
      </c>
    </row>
    <row r="9" spans="1:16" x14ac:dyDescent="0.45">
      <c r="B9" s="4">
        <v>43948</v>
      </c>
      <c r="C9" s="20">
        <v>18</v>
      </c>
      <c r="D9" s="19">
        <f>804-30</f>
        <v>774</v>
      </c>
      <c r="E9" s="19">
        <v>1</v>
      </c>
      <c r="F9" s="19">
        <v>13991</v>
      </c>
      <c r="G9" s="2">
        <f t="shared" si="2"/>
        <v>14950.25</v>
      </c>
      <c r="H9" s="2"/>
      <c r="I9" s="1">
        <f t="shared" si="0"/>
        <v>17.8125</v>
      </c>
      <c r="J9" s="2">
        <f t="shared" si="1"/>
        <v>874.75</v>
      </c>
      <c r="L9" s="1">
        <f t="shared" ref="L9:L72" si="3">((C2)+(2*C3)+(3*C4)+(4*C5)+(4*C6)+(3*C7)+(2*C8)+(C9))/20</f>
        <v>16.216000000000001</v>
      </c>
      <c r="M9" s="2">
        <f t="shared" ref="M9:M72" si="4">((D2)+(2*D3)+(3*D4)+(4*D5)+(4*D6)+(3*D7)+(2*D8)+(D9))/20</f>
        <v>758.35</v>
      </c>
    </row>
    <row r="10" spans="1:16" x14ac:dyDescent="0.45">
      <c r="B10" s="4">
        <v>43955</v>
      </c>
      <c r="C10" s="20">
        <v>24.75</v>
      </c>
      <c r="D10" s="19">
        <f>1173-15-16</f>
        <v>1142</v>
      </c>
      <c r="E10" s="19">
        <v>2</v>
      </c>
      <c r="F10" s="19">
        <v>18705</v>
      </c>
      <c r="G10" s="2">
        <f t="shared" si="2"/>
        <v>16083.75</v>
      </c>
      <c r="H10" s="2"/>
      <c r="I10" s="1">
        <f t="shared" si="0"/>
        <v>19.6875</v>
      </c>
      <c r="J10" s="2">
        <f t="shared" si="1"/>
        <v>955.25</v>
      </c>
      <c r="L10" s="1">
        <f t="shared" si="3"/>
        <v>17.112000000000002</v>
      </c>
      <c r="M10" s="2">
        <f t="shared" si="4"/>
        <v>822.7</v>
      </c>
    </row>
    <row r="11" spans="1:16" x14ac:dyDescent="0.45">
      <c r="B11" s="4">
        <v>43962</v>
      </c>
      <c r="C11" s="20">
        <v>23.75</v>
      </c>
      <c r="D11" s="19">
        <f>1141-15</f>
        <v>1126</v>
      </c>
      <c r="E11" s="19">
        <v>1</v>
      </c>
      <c r="F11" s="19">
        <v>19305</v>
      </c>
      <c r="G11" s="2">
        <f t="shared" si="2"/>
        <v>17029</v>
      </c>
      <c r="H11" s="2"/>
      <c r="I11" s="1">
        <f t="shared" si="0"/>
        <v>21.3125</v>
      </c>
      <c r="J11" s="2">
        <f t="shared" si="1"/>
        <v>1002.75</v>
      </c>
      <c r="L11" s="1">
        <f t="shared" si="3"/>
        <v>18.1205</v>
      </c>
      <c r="M11" s="2">
        <f t="shared" si="4"/>
        <v>877.5</v>
      </c>
    </row>
    <row r="12" spans="1:16" x14ac:dyDescent="0.45">
      <c r="B12" s="4">
        <v>43969</v>
      </c>
      <c r="C12" s="20">
        <v>20</v>
      </c>
      <c r="D12" s="19">
        <v>929</v>
      </c>
      <c r="E12" s="19">
        <v>2</v>
      </c>
      <c r="F12" s="19">
        <v>14881</v>
      </c>
      <c r="G12" s="2">
        <f t="shared" si="2"/>
        <v>16720.5</v>
      </c>
      <c r="H12" s="2"/>
      <c r="I12" s="1">
        <f t="shared" si="0"/>
        <v>21.625</v>
      </c>
      <c r="J12" s="2">
        <f t="shared" si="1"/>
        <v>992.75</v>
      </c>
      <c r="L12" s="1">
        <f t="shared" si="3"/>
        <v>19.366499999999998</v>
      </c>
      <c r="M12" s="2">
        <f t="shared" si="4"/>
        <v>928.6</v>
      </c>
    </row>
    <row r="13" spans="1:16" x14ac:dyDescent="0.45">
      <c r="B13" s="4">
        <v>43976</v>
      </c>
      <c r="C13" s="20">
        <v>20.329999999999998</v>
      </c>
      <c r="D13" s="19">
        <f>1050-30</f>
        <v>1020</v>
      </c>
      <c r="E13" s="19">
        <v>2</v>
      </c>
      <c r="F13" s="19">
        <v>15674</v>
      </c>
      <c r="G13" s="2">
        <f t="shared" si="2"/>
        <v>17141.25</v>
      </c>
      <c r="H13" s="2"/>
      <c r="I13" s="1">
        <f t="shared" si="0"/>
        <v>22.2075</v>
      </c>
      <c r="J13" s="2">
        <f t="shared" si="1"/>
        <v>1054.25</v>
      </c>
      <c r="L13" s="1">
        <f t="shared" si="3"/>
        <v>20.529</v>
      </c>
      <c r="M13" s="2">
        <f t="shared" si="4"/>
        <v>975.95</v>
      </c>
      <c r="O13" s="1">
        <f t="shared" ref="O13:O76" si="5">((C13)+(C12*2)+(C11*3)+(C10*4)+(C9*5)+(C8*6)+(C7*7)+(C6*8))/36</f>
        <v>19.217499999999998</v>
      </c>
      <c r="P13" s="2">
        <f t="shared" ref="P13:P76" si="6">((D13)+(D12*2)+(D11*3)+(D10*4)+(D9*5)+(D8*6)+(D7*7)+(D6*8))/36</f>
        <v>933.88888888888891</v>
      </c>
    </row>
    <row r="14" spans="1:16" x14ac:dyDescent="0.45">
      <c r="B14" s="4">
        <v>43983</v>
      </c>
      <c r="C14" s="20">
        <v>23.5</v>
      </c>
      <c r="D14" s="19">
        <v>1262</v>
      </c>
      <c r="E14" s="19">
        <v>0</v>
      </c>
      <c r="F14" s="19">
        <v>18329</v>
      </c>
      <c r="G14" s="2">
        <f t="shared" si="2"/>
        <v>17047.25</v>
      </c>
      <c r="H14" s="2"/>
      <c r="I14" s="1">
        <f t="shared" si="0"/>
        <v>21.895</v>
      </c>
      <c r="J14" s="2">
        <f t="shared" si="1"/>
        <v>1084.25</v>
      </c>
      <c r="L14" s="1">
        <f t="shared" si="3"/>
        <v>21.345499999999998</v>
      </c>
      <c r="M14" s="2">
        <f t="shared" si="4"/>
        <v>1017.85</v>
      </c>
      <c r="O14" s="1">
        <f t="shared" si="5"/>
        <v>20.004444444444445</v>
      </c>
      <c r="P14" s="2">
        <f t="shared" si="6"/>
        <v>978.27777777777783</v>
      </c>
    </row>
    <row r="15" spans="1:16" x14ac:dyDescent="0.45">
      <c r="B15" s="4">
        <v>43990</v>
      </c>
      <c r="C15" s="20">
        <v>15.75</v>
      </c>
      <c r="D15" s="19">
        <v>676</v>
      </c>
      <c r="E15" s="19">
        <v>2</v>
      </c>
      <c r="F15" s="19">
        <v>11649</v>
      </c>
      <c r="G15" s="2">
        <f t="shared" si="2"/>
        <v>15133.25</v>
      </c>
      <c r="H15" s="2"/>
      <c r="I15" s="1">
        <f t="shared" si="0"/>
        <v>19.895</v>
      </c>
      <c r="J15" s="2">
        <f t="shared" si="1"/>
        <v>971.75</v>
      </c>
      <c r="L15" s="1">
        <f t="shared" si="3"/>
        <v>21.387</v>
      </c>
      <c r="M15" s="2">
        <f t="shared" si="4"/>
        <v>1021.15</v>
      </c>
      <c r="O15" s="1">
        <f t="shared" si="5"/>
        <v>20.749722222222221</v>
      </c>
      <c r="P15" s="2">
        <f t="shared" si="6"/>
        <v>989.66666666666663</v>
      </c>
    </row>
    <row r="16" spans="1:16" x14ac:dyDescent="0.45">
      <c r="B16" s="4">
        <v>43997</v>
      </c>
      <c r="C16" s="20">
        <v>17</v>
      </c>
      <c r="D16" s="19">
        <v>724</v>
      </c>
      <c r="E16" s="19">
        <v>2</v>
      </c>
      <c r="F16" s="19">
        <v>11668</v>
      </c>
      <c r="G16" s="2">
        <f t="shared" si="2"/>
        <v>14330</v>
      </c>
      <c r="H16" s="2"/>
      <c r="I16" s="1">
        <f t="shared" si="0"/>
        <v>19.145</v>
      </c>
      <c r="J16" s="2">
        <f t="shared" si="1"/>
        <v>920.5</v>
      </c>
      <c r="L16" s="1">
        <f t="shared" si="3"/>
        <v>20.953499999999998</v>
      </c>
      <c r="M16" s="2">
        <f t="shared" si="4"/>
        <v>1004.7</v>
      </c>
      <c r="O16" s="1">
        <f t="shared" si="5"/>
        <v>21.113055555555555</v>
      </c>
      <c r="P16" s="2">
        <f t="shared" si="6"/>
        <v>986.91666666666663</v>
      </c>
    </row>
    <row r="17" spans="1:16" x14ac:dyDescent="0.45">
      <c r="B17" s="4">
        <v>44004</v>
      </c>
      <c r="C17" s="20">
        <v>19.5</v>
      </c>
      <c r="D17" s="19">
        <v>917</v>
      </c>
      <c r="E17" s="19">
        <v>2</v>
      </c>
      <c r="F17" s="19">
        <v>14776</v>
      </c>
      <c r="G17" s="2">
        <f t="shared" si="2"/>
        <v>14105.5</v>
      </c>
      <c r="H17" s="2"/>
      <c r="I17" s="1">
        <f t="shared" si="0"/>
        <v>18.9375</v>
      </c>
      <c r="J17" s="2">
        <f t="shared" si="1"/>
        <v>894.75</v>
      </c>
      <c r="L17" s="1">
        <f t="shared" si="3"/>
        <v>20.416</v>
      </c>
      <c r="M17" s="2">
        <f t="shared" si="4"/>
        <v>985.1</v>
      </c>
      <c r="O17" s="1">
        <f t="shared" si="5"/>
        <v>21.68472222222222</v>
      </c>
      <c r="P17" s="2">
        <f t="shared" si="6"/>
        <v>1031.4722222222222</v>
      </c>
    </row>
    <row r="18" spans="1:16" x14ac:dyDescent="0.45">
      <c r="B18" s="4">
        <v>44011</v>
      </c>
      <c r="C18" s="20">
        <v>14</v>
      </c>
      <c r="D18" s="19">
        <v>580</v>
      </c>
      <c r="E18" s="19">
        <v>2</v>
      </c>
      <c r="F18" s="19">
        <v>9282</v>
      </c>
      <c r="G18" s="2">
        <f t="shared" si="2"/>
        <v>11843.75</v>
      </c>
      <c r="H18" s="2"/>
      <c r="I18" s="1">
        <f t="shared" si="0"/>
        <v>16.5625</v>
      </c>
      <c r="J18" s="2">
        <f t="shared" si="1"/>
        <v>724.25</v>
      </c>
      <c r="L18" s="1">
        <f t="shared" si="3"/>
        <v>19.286999999999999</v>
      </c>
      <c r="M18" s="2">
        <f t="shared" si="4"/>
        <v>919.1</v>
      </c>
      <c r="O18" s="1">
        <f t="shared" si="5"/>
        <v>20.457777777777778</v>
      </c>
      <c r="P18" s="2">
        <f t="shared" si="6"/>
        <v>978.63888888888891</v>
      </c>
    </row>
    <row r="19" spans="1:16" x14ac:dyDescent="0.45">
      <c r="B19" s="4">
        <v>44018</v>
      </c>
      <c r="C19" s="20">
        <v>3.66</v>
      </c>
      <c r="D19" s="19">
        <v>456</v>
      </c>
      <c r="E19" s="19">
        <v>1</v>
      </c>
      <c r="F19" s="19">
        <v>2772</v>
      </c>
      <c r="G19" s="2">
        <f t="shared" si="2"/>
        <v>9624.5</v>
      </c>
      <c r="H19" s="2"/>
      <c r="I19" s="1">
        <f t="shared" si="0"/>
        <v>13.54</v>
      </c>
      <c r="J19" s="2">
        <f t="shared" si="1"/>
        <v>669.25</v>
      </c>
      <c r="L19" s="1">
        <f t="shared" si="3"/>
        <v>17.616</v>
      </c>
      <c r="M19" s="2">
        <f t="shared" si="4"/>
        <v>836.1</v>
      </c>
      <c r="O19" s="1">
        <f t="shared" si="5"/>
        <v>18.895</v>
      </c>
      <c r="P19" s="2">
        <f t="shared" si="6"/>
        <v>910.75</v>
      </c>
    </row>
    <row r="20" spans="1:16" x14ac:dyDescent="0.45">
      <c r="B20" s="4">
        <v>44025</v>
      </c>
      <c r="C20" s="20">
        <v>12.25</v>
      </c>
      <c r="D20" s="19">
        <v>718</v>
      </c>
      <c r="E20" s="19">
        <v>1</v>
      </c>
      <c r="F20" s="19">
        <v>10787</v>
      </c>
      <c r="G20" s="2">
        <f t="shared" si="2"/>
        <v>9404.25</v>
      </c>
      <c r="H20" s="2"/>
      <c r="I20" s="1">
        <f t="shared" si="0"/>
        <v>12.352499999999999</v>
      </c>
      <c r="J20" s="2">
        <f t="shared" si="1"/>
        <v>667.75</v>
      </c>
      <c r="L20" s="1">
        <f t="shared" si="3"/>
        <v>16.107499999999998</v>
      </c>
      <c r="M20" s="2">
        <f t="shared" si="4"/>
        <v>775.3</v>
      </c>
      <c r="O20" s="1">
        <f t="shared" si="5"/>
        <v>17.950277777777778</v>
      </c>
      <c r="P20" s="2">
        <f t="shared" si="6"/>
        <v>880.77777777777783</v>
      </c>
    </row>
    <row r="21" spans="1:16" x14ac:dyDescent="0.45">
      <c r="B21" s="4">
        <v>44032</v>
      </c>
      <c r="C21" s="20">
        <v>20.66</v>
      </c>
      <c r="D21" s="19">
        <v>1115</v>
      </c>
      <c r="E21" s="19">
        <v>2</v>
      </c>
      <c r="F21" s="19">
        <v>16148</v>
      </c>
      <c r="G21" s="2">
        <f t="shared" si="2"/>
        <v>9747.25</v>
      </c>
      <c r="H21" s="2"/>
      <c r="I21" s="1">
        <f t="shared" si="0"/>
        <v>12.6425</v>
      </c>
      <c r="J21" s="2">
        <f t="shared" si="1"/>
        <v>717.25</v>
      </c>
      <c r="L21" s="1">
        <f t="shared" si="3"/>
        <v>14.807000000000002</v>
      </c>
      <c r="M21" s="2">
        <f t="shared" si="4"/>
        <v>734.65</v>
      </c>
      <c r="O21" s="1">
        <f t="shared" si="5"/>
        <v>16.941388888888888</v>
      </c>
      <c r="P21" s="2">
        <f t="shared" si="6"/>
        <v>833.22222222222217</v>
      </c>
    </row>
    <row r="22" spans="1:16" x14ac:dyDescent="0.45">
      <c r="B22" s="4">
        <v>44039</v>
      </c>
      <c r="C22" s="20">
        <v>16.25</v>
      </c>
      <c r="D22" s="19">
        <v>794</v>
      </c>
      <c r="E22" s="19">
        <v>2</v>
      </c>
      <c r="F22" s="19">
        <v>10939</v>
      </c>
      <c r="G22" s="2">
        <f t="shared" si="2"/>
        <v>10161.5</v>
      </c>
      <c r="H22" s="2"/>
      <c r="I22" s="1">
        <f t="shared" si="0"/>
        <v>13.205</v>
      </c>
      <c r="J22" s="2">
        <f t="shared" si="1"/>
        <v>770.75</v>
      </c>
      <c r="L22" s="1">
        <f t="shared" si="3"/>
        <v>13.660499999999999</v>
      </c>
      <c r="M22" s="2">
        <f t="shared" si="4"/>
        <v>709.85</v>
      </c>
      <c r="O22" s="1">
        <f t="shared" si="5"/>
        <v>15.026666666666667</v>
      </c>
      <c r="P22" s="2">
        <f t="shared" si="6"/>
        <v>718.88888888888891</v>
      </c>
    </row>
    <row r="23" spans="1:16" x14ac:dyDescent="0.45">
      <c r="B23" s="4">
        <v>44046</v>
      </c>
      <c r="C23" s="20">
        <v>12.25</v>
      </c>
      <c r="D23" s="19">
        <v>594</v>
      </c>
      <c r="E23" s="19">
        <v>2</v>
      </c>
      <c r="F23" s="19">
        <v>8515</v>
      </c>
      <c r="G23" s="2">
        <f t="shared" si="2"/>
        <v>11597.25</v>
      </c>
      <c r="H23" s="2"/>
      <c r="I23" s="1">
        <f t="shared" si="0"/>
        <v>15.352499999999999</v>
      </c>
      <c r="J23" s="2">
        <f t="shared" si="1"/>
        <v>805.25</v>
      </c>
      <c r="L23" s="1">
        <f t="shared" si="3"/>
        <v>13.4185</v>
      </c>
      <c r="M23" s="2">
        <f t="shared" si="4"/>
        <v>726.05</v>
      </c>
      <c r="O23" s="1">
        <f t="shared" si="5"/>
        <v>14.736944444444443</v>
      </c>
      <c r="P23" s="2">
        <f t="shared" si="6"/>
        <v>732.5</v>
      </c>
    </row>
    <row r="24" spans="1:16" x14ac:dyDescent="0.45">
      <c r="B24" s="4">
        <v>44053</v>
      </c>
      <c r="C24" s="20">
        <v>8.33</v>
      </c>
      <c r="D24" s="19">
        <v>455</v>
      </c>
      <c r="E24" s="19">
        <v>0</v>
      </c>
      <c r="F24" s="19">
        <v>5556</v>
      </c>
      <c r="G24" s="2">
        <f t="shared" si="2"/>
        <v>10289.5</v>
      </c>
      <c r="H24" s="2"/>
      <c r="I24" s="1">
        <f t="shared" si="0"/>
        <v>14.372499999999999</v>
      </c>
      <c r="J24" s="2">
        <f t="shared" si="1"/>
        <v>739.5</v>
      </c>
      <c r="L24" s="1">
        <f t="shared" si="3"/>
        <v>13.584999999999999</v>
      </c>
      <c r="M24" s="2">
        <f t="shared" si="4"/>
        <v>740.1</v>
      </c>
      <c r="O24" s="1">
        <f t="shared" si="5"/>
        <v>13.928611111111111</v>
      </c>
      <c r="P24" s="2">
        <f t="shared" si="6"/>
        <v>727.97222222222217</v>
      </c>
    </row>
    <row r="25" spans="1:16" x14ac:dyDescent="0.45">
      <c r="B25" s="4">
        <v>44060</v>
      </c>
      <c r="C25" s="20">
        <v>0</v>
      </c>
      <c r="D25" s="19">
        <v>0</v>
      </c>
      <c r="E25" s="19">
        <v>0</v>
      </c>
      <c r="F25" s="19">
        <v>0</v>
      </c>
      <c r="G25" s="2">
        <f t="shared" si="2"/>
        <v>6252.5</v>
      </c>
      <c r="H25" s="2"/>
      <c r="I25" s="1">
        <f t="shared" si="0"/>
        <v>9.2074999999999996</v>
      </c>
      <c r="J25" s="2">
        <f t="shared" si="1"/>
        <v>460.75</v>
      </c>
      <c r="L25" s="1">
        <f t="shared" si="3"/>
        <v>12.956</v>
      </c>
      <c r="M25" s="2">
        <f t="shared" si="4"/>
        <v>698.7</v>
      </c>
      <c r="O25" s="1">
        <f t="shared" si="5"/>
        <v>12.023055555555555</v>
      </c>
      <c r="P25" s="2">
        <f t="shared" si="6"/>
        <v>655.08333333333337</v>
      </c>
    </row>
    <row r="26" spans="1:16" x14ac:dyDescent="0.45">
      <c r="B26" s="4">
        <v>44067</v>
      </c>
      <c r="C26" s="20">
        <v>10.25</v>
      </c>
      <c r="D26" s="19">
        <v>496</v>
      </c>
      <c r="E26" s="19">
        <v>0</v>
      </c>
      <c r="F26" s="19">
        <v>7648</v>
      </c>
      <c r="G26" s="2">
        <f t="shared" si="2"/>
        <v>5429.75</v>
      </c>
      <c r="H26" s="2"/>
      <c r="I26" s="1">
        <f t="shared" si="0"/>
        <v>7.7074999999999996</v>
      </c>
      <c r="J26" s="2">
        <f t="shared" si="1"/>
        <v>386.25</v>
      </c>
      <c r="L26" s="1">
        <f t="shared" si="3"/>
        <v>11.968999999999999</v>
      </c>
      <c r="M26" s="2">
        <f t="shared" si="4"/>
        <v>632.5</v>
      </c>
      <c r="O26" s="1">
        <f t="shared" si="5"/>
        <v>11.235555555555557</v>
      </c>
      <c r="P26" s="2">
        <f t="shared" si="6"/>
        <v>654.75</v>
      </c>
    </row>
    <row r="27" spans="1:16" x14ac:dyDescent="0.45">
      <c r="B27" s="4">
        <v>44074</v>
      </c>
      <c r="C27" s="20">
        <v>17.25</v>
      </c>
      <c r="D27" s="19">
        <v>686</v>
      </c>
      <c r="E27" s="19">
        <v>0</v>
      </c>
      <c r="F27" s="19">
        <v>12675</v>
      </c>
      <c r="G27" s="2">
        <f t="shared" si="2"/>
        <v>6469.75</v>
      </c>
      <c r="H27" s="2"/>
      <c r="I27" s="1">
        <f t="shared" si="0"/>
        <v>8.9574999999999996</v>
      </c>
      <c r="J27" s="2">
        <f t="shared" si="1"/>
        <v>409.25</v>
      </c>
      <c r="L27" s="1">
        <f t="shared" si="3"/>
        <v>11.119499999999999</v>
      </c>
      <c r="M27" s="2">
        <f t="shared" si="4"/>
        <v>560.20000000000005</v>
      </c>
      <c r="O27" s="1">
        <f t="shared" si="5"/>
        <v>13.123333333333333</v>
      </c>
      <c r="P27" s="2">
        <f t="shared" si="6"/>
        <v>688.36111111111109</v>
      </c>
    </row>
    <row r="28" spans="1:16" x14ac:dyDescent="0.45">
      <c r="B28" s="4">
        <v>44081</v>
      </c>
      <c r="C28" s="20">
        <v>27.5</v>
      </c>
      <c r="D28" s="19">
        <v>1000</v>
      </c>
      <c r="E28" s="19">
        <v>2</v>
      </c>
      <c r="F28" s="19">
        <v>14430</v>
      </c>
      <c r="G28" s="2">
        <f t="shared" si="2"/>
        <v>8688.25</v>
      </c>
      <c r="H28" s="2"/>
      <c r="I28" s="1">
        <f t="shared" si="0"/>
        <v>13.75</v>
      </c>
      <c r="J28" s="2">
        <f t="shared" si="1"/>
        <v>545.5</v>
      </c>
      <c r="L28" s="1">
        <f t="shared" si="3"/>
        <v>10.798999999999999</v>
      </c>
      <c r="M28" s="2">
        <f t="shared" si="4"/>
        <v>508.25</v>
      </c>
      <c r="O28" s="1">
        <f t="shared" si="5"/>
        <v>13.525833333333331</v>
      </c>
      <c r="P28" s="2">
        <f t="shared" si="6"/>
        <v>671.58333333333337</v>
      </c>
    </row>
    <row r="29" spans="1:16" x14ac:dyDescent="0.45">
      <c r="B29" s="4">
        <v>44088</v>
      </c>
      <c r="C29" s="20">
        <v>24.66</v>
      </c>
      <c r="D29" s="19">
        <v>1176</v>
      </c>
      <c r="E29" s="19">
        <v>2</v>
      </c>
      <c r="F29" s="19">
        <v>15607</v>
      </c>
      <c r="G29" s="2">
        <f t="shared" si="2"/>
        <v>12590</v>
      </c>
      <c r="H29" s="2"/>
      <c r="I29" s="1">
        <f t="shared" si="0"/>
        <v>19.914999999999999</v>
      </c>
      <c r="J29" s="2">
        <f t="shared" si="1"/>
        <v>839.5</v>
      </c>
      <c r="L29" s="1">
        <f t="shared" si="3"/>
        <v>11.907500000000001</v>
      </c>
      <c r="M29" s="2">
        <f t="shared" si="4"/>
        <v>528.25</v>
      </c>
      <c r="O29" s="1">
        <f t="shared" si="5"/>
        <v>12.170555555555556</v>
      </c>
      <c r="P29" s="2">
        <f t="shared" si="6"/>
        <v>568.27777777777783</v>
      </c>
    </row>
    <row r="30" spans="1:16" x14ac:dyDescent="0.45">
      <c r="A30" t="s">
        <v>207</v>
      </c>
      <c r="B30" s="4">
        <v>44095</v>
      </c>
      <c r="C30" s="20">
        <v>24.5</v>
      </c>
      <c r="D30" s="19">
        <v>981</v>
      </c>
      <c r="E30" s="19">
        <v>0</v>
      </c>
      <c r="F30" s="19">
        <v>16424</v>
      </c>
      <c r="G30" s="2">
        <f t="shared" si="2"/>
        <v>14784</v>
      </c>
      <c r="H30" s="2"/>
      <c r="I30" s="1">
        <f t="shared" si="0"/>
        <v>23.477499999999999</v>
      </c>
      <c r="J30" s="2">
        <f t="shared" si="1"/>
        <v>960.75</v>
      </c>
      <c r="L30" s="1">
        <f t="shared" si="3"/>
        <v>14.761500000000002</v>
      </c>
      <c r="M30" s="2">
        <f t="shared" si="4"/>
        <v>628.25</v>
      </c>
      <c r="O30" s="1">
        <f t="shared" si="5"/>
        <v>12.024444444444445</v>
      </c>
      <c r="P30" s="2">
        <f t="shared" si="6"/>
        <v>541.5</v>
      </c>
    </row>
    <row r="31" spans="1:16" x14ac:dyDescent="0.45">
      <c r="B31" s="4">
        <v>44102</v>
      </c>
      <c r="C31" s="20">
        <v>25.75</v>
      </c>
      <c r="D31" s="19">
        <v>1340</v>
      </c>
      <c r="E31" s="19">
        <v>0</v>
      </c>
      <c r="F31" s="19">
        <v>19993</v>
      </c>
      <c r="G31" s="2">
        <f t="shared" si="2"/>
        <v>16613.5</v>
      </c>
      <c r="H31" s="2"/>
      <c r="I31" s="1">
        <f t="shared" si="0"/>
        <v>25.602499999999999</v>
      </c>
      <c r="J31" s="2">
        <f t="shared" si="1"/>
        <v>1124.25</v>
      </c>
      <c r="L31" s="1">
        <f t="shared" si="3"/>
        <v>18.340499999999999</v>
      </c>
      <c r="M31" s="2">
        <f t="shared" si="4"/>
        <v>775.85</v>
      </c>
      <c r="O31" s="1">
        <f t="shared" si="5"/>
        <v>13.142222222222223</v>
      </c>
      <c r="P31" s="2">
        <f t="shared" si="6"/>
        <v>579.88888888888891</v>
      </c>
    </row>
    <row r="32" spans="1:16" x14ac:dyDescent="0.45">
      <c r="B32" s="4">
        <v>44109</v>
      </c>
      <c r="C32" s="20">
        <v>19.25</v>
      </c>
      <c r="D32" s="19">
        <v>994</v>
      </c>
      <c r="E32" s="19">
        <v>0</v>
      </c>
      <c r="F32" s="19">
        <v>15279</v>
      </c>
      <c r="G32" s="2">
        <f t="shared" si="2"/>
        <v>16825.75</v>
      </c>
      <c r="H32" s="2"/>
      <c r="I32" s="1">
        <f t="shared" si="0"/>
        <v>23.54</v>
      </c>
      <c r="J32" s="2">
        <f t="shared" si="1"/>
        <v>1122.75</v>
      </c>
      <c r="L32" s="1">
        <f t="shared" si="3"/>
        <v>21.256999999999998</v>
      </c>
      <c r="M32" s="2">
        <f t="shared" si="4"/>
        <v>918.55</v>
      </c>
      <c r="O32" s="1">
        <f t="shared" si="5"/>
        <v>15.434444444444445</v>
      </c>
      <c r="P32" s="2">
        <f t="shared" si="6"/>
        <v>664.13888888888891</v>
      </c>
    </row>
    <row r="33" spans="1:16" x14ac:dyDescent="0.45">
      <c r="B33" s="4">
        <v>44116</v>
      </c>
      <c r="C33" s="20">
        <v>22.75</v>
      </c>
      <c r="D33" s="19">
        <v>1066</v>
      </c>
      <c r="E33" s="19">
        <v>0</v>
      </c>
      <c r="F33" s="19">
        <v>15195</v>
      </c>
      <c r="G33" s="2">
        <f t="shared" si="2"/>
        <v>16722.75</v>
      </c>
      <c r="H33" s="2"/>
      <c r="I33" s="1">
        <f t="shared" si="0"/>
        <v>23.0625</v>
      </c>
      <c r="J33" s="2">
        <f t="shared" si="1"/>
        <v>1095.25</v>
      </c>
      <c r="L33" s="1">
        <f t="shared" si="3"/>
        <v>23.119499999999999</v>
      </c>
      <c r="M33" s="2">
        <f t="shared" si="4"/>
        <v>1028.5</v>
      </c>
      <c r="O33" s="1">
        <f t="shared" si="5"/>
        <v>20.209722222222222</v>
      </c>
      <c r="P33" s="2">
        <f t="shared" si="6"/>
        <v>879.11111111111109</v>
      </c>
    </row>
    <row r="34" spans="1:16" x14ac:dyDescent="0.45">
      <c r="B34" s="4">
        <v>44123</v>
      </c>
      <c r="C34" s="20">
        <v>19.75</v>
      </c>
      <c r="D34" s="19">
        <v>987</v>
      </c>
      <c r="E34" s="19">
        <v>0</v>
      </c>
      <c r="F34" s="19">
        <v>15258</v>
      </c>
      <c r="G34" s="2">
        <f t="shared" si="2"/>
        <v>16431.25</v>
      </c>
      <c r="H34" s="2"/>
      <c r="I34" s="1">
        <f t="shared" si="0"/>
        <v>21.875</v>
      </c>
      <c r="J34" s="2">
        <f t="shared" si="1"/>
        <v>1096.75</v>
      </c>
      <c r="L34" s="1">
        <f t="shared" si="3"/>
        <v>23.511500000000002</v>
      </c>
      <c r="M34" s="2">
        <f t="shared" si="4"/>
        <v>1079.95</v>
      </c>
      <c r="O34" s="1">
        <f t="shared" si="5"/>
        <v>22.971111111111114</v>
      </c>
      <c r="P34" s="2">
        <f t="shared" si="6"/>
        <v>997.5</v>
      </c>
    </row>
    <row r="35" spans="1:16" x14ac:dyDescent="0.45">
      <c r="B35" s="4">
        <v>44130</v>
      </c>
      <c r="C35" s="20">
        <v>18.5</v>
      </c>
      <c r="D35" s="19">
        <v>882</v>
      </c>
      <c r="E35" s="19">
        <v>0</v>
      </c>
      <c r="F35" s="19">
        <v>12922</v>
      </c>
      <c r="G35" s="2">
        <f t="shared" si="2"/>
        <v>14663.5</v>
      </c>
      <c r="H35" s="2"/>
      <c r="I35" s="1">
        <f t="shared" si="0"/>
        <v>20.0625</v>
      </c>
      <c r="J35" s="2">
        <f t="shared" si="1"/>
        <v>982.25</v>
      </c>
      <c r="L35" s="1">
        <f t="shared" si="3"/>
        <v>22.828499999999998</v>
      </c>
      <c r="M35" s="2">
        <f t="shared" si="4"/>
        <v>1084.25</v>
      </c>
      <c r="O35" s="1">
        <f t="shared" si="5"/>
        <v>24.211666666666666</v>
      </c>
      <c r="P35" s="2">
        <f t="shared" si="6"/>
        <v>1079.1111111111111</v>
      </c>
    </row>
    <row r="36" spans="1:16" x14ac:dyDescent="0.45">
      <c r="A36" t="s">
        <v>13</v>
      </c>
      <c r="B36" s="4">
        <v>44137</v>
      </c>
      <c r="C36" s="20">
        <v>24.5</v>
      </c>
      <c r="D36" s="19">
        <v>1329</v>
      </c>
      <c r="E36" s="19">
        <v>0</v>
      </c>
      <c r="F36" s="19">
        <v>17642</v>
      </c>
      <c r="G36" s="2">
        <f t="shared" si="2"/>
        <v>15254.25</v>
      </c>
      <c r="H36" s="2"/>
      <c r="I36" s="1">
        <f t="shared" si="0"/>
        <v>21.375</v>
      </c>
      <c r="J36" s="2">
        <f t="shared" si="1"/>
        <v>1066</v>
      </c>
      <c r="L36" s="1">
        <f t="shared" si="3"/>
        <v>21.982999999999997</v>
      </c>
      <c r="M36" s="2">
        <f t="shared" si="4"/>
        <v>1072.5999999999999</v>
      </c>
      <c r="O36" s="1">
        <f t="shared" si="5"/>
        <v>23.091111111111111</v>
      </c>
      <c r="P36" s="2">
        <f t="shared" si="6"/>
        <v>1100.0833333333333</v>
      </c>
    </row>
    <row r="37" spans="1:16" x14ac:dyDescent="0.45">
      <c r="B37" s="4">
        <v>44144</v>
      </c>
      <c r="C37" s="20">
        <v>14.33</v>
      </c>
      <c r="D37" s="19">
        <v>602</v>
      </c>
      <c r="E37" s="19">
        <v>2</v>
      </c>
      <c r="F37" s="19">
        <v>9098</v>
      </c>
      <c r="G37" s="2">
        <f t="shared" si="2"/>
        <v>13730</v>
      </c>
      <c r="H37" s="2"/>
      <c r="I37" s="1">
        <f t="shared" si="0"/>
        <v>19.27</v>
      </c>
      <c r="J37" s="2">
        <f t="shared" si="1"/>
        <v>950</v>
      </c>
      <c r="L37" s="1">
        <f t="shared" si="3"/>
        <v>21.128999999999998</v>
      </c>
      <c r="M37" s="2">
        <f t="shared" si="4"/>
        <v>1038.05</v>
      </c>
      <c r="O37" s="1">
        <f t="shared" si="5"/>
        <v>22.314722222222219</v>
      </c>
      <c r="P37" s="2">
        <f t="shared" si="6"/>
        <v>1066</v>
      </c>
    </row>
    <row r="38" spans="1:16" x14ac:dyDescent="0.45">
      <c r="B38" s="4">
        <v>44151</v>
      </c>
      <c r="C38" s="20">
        <v>20.329999999999998</v>
      </c>
      <c r="D38" s="19">
        <v>1039</v>
      </c>
      <c r="E38" s="19">
        <v>2</v>
      </c>
      <c r="F38" s="19">
        <v>14942</v>
      </c>
      <c r="G38" s="2">
        <f t="shared" si="2"/>
        <v>13651</v>
      </c>
      <c r="H38" s="2"/>
      <c r="I38" s="1">
        <f t="shared" si="0"/>
        <v>19.414999999999999</v>
      </c>
      <c r="J38" s="2">
        <f t="shared" si="1"/>
        <v>963</v>
      </c>
      <c r="L38" s="1">
        <f t="shared" si="3"/>
        <v>20.3995</v>
      </c>
      <c r="M38" s="2">
        <f t="shared" si="4"/>
        <v>1011.6</v>
      </c>
      <c r="O38" s="1">
        <f t="shared" si="5"/>
        <v>21.458055555555557</v>
      </c>
      <c r="P38" s="2">
        <f t="shared" si="6"/>
        <v>1076.8611111111111</v>
      </c>
    </row>
    <row r="39" spans="1:16" x14ac:dyDescent="0.45">
      <c r="B39" s="4">
        <v>44158</v>
      </c>
      <c r="C39" s="20">
        <v>11.66</v>
      </c>
      <c r="D39" s="19">
        <v>583</v>
      </c>
      <c r="E39" s="19">
        <v>2</v>
      </c>
      <c r="F39" s="19">
        <v>7504</v>
      </c>
      <c r="G39" s="2">
        <f t="shared" si="2"/>
        <v>12296.5</v>
      </c>
      <c r="H39" s="2"/>
      <c r="I39" s="1">
        <f t="shared" si="0"/>
        <v>17.704999999999998</v>
      </c>
      <c r="J39" s="2">
        <f t="shared" si="1"/>
        <v>888.25</v>
      </c>
      <c r="L39" s="1">
        <f t="shared" si="3"/>
        <v>19.5655</v>
      </c>
      <c r="M39" s="2">
        <f t="shared" si="4"/>
        <v>969.9</v>
      </c>
      <c r="O39" s="1">
        <f t="shared" si="5"/>
        <v>19.932222222222222</v>
      </c>
      <c r="P39" s="2">
        <f t="shared" si="6"/>
        <v>986.91666666666663</v>
      </c>
    </row>
    <row r="40" spans="1:16" x14ac:dyDescent="0.45">
      <c r="A40" t="s">
        <v>238</v>
      </c>
      <c r="B40" s="4">
        <v>44165</v>
      </c>
      <c r="C40" s="20">
        <v>25</v>
      </c>
      <c r="D40" s="19">
        <v>1204</v>
      </c>
      <c r="E40" s="19">
        <v>0</v>
      </c>
      <c r="F40" s="19">
        <v>12979</v>
      </c>
      <c r="G40" s="2">
        <f t="shared" si="2"/>
        <v>11130.75</v>
      </c>
      <c r="H40" s="2"/>
      <c r="I40" s="1">
        <f t="shared" si="0"/>
        <v>17.829999999999998</v>
      </c>
      <c r="J40" s="2">
        <f t="shared" si="1"/>
        <v>857</v>
      </c>
      <c r="L40" s="1">
        <f t="shared" si="3"/>
        <v>19.119</v>
      </c>
      <c r="M40" s="2">
        <f t="shared" si="4"/>
        <v>944.85</v>
      </c>
      <c r="O40" s="1">
        <f t="shared" si="5"/>
        <v>20.010555555555555</v>
      </c>
      <c r="P40" s="2">
        <f t="shared" si="6"/>
        <v>979.69444444444446</v>
      </c>
    </row>
    <row r="41" spans="1:16" x14ac:dyDescent="0.45">
      <c r="B41" s="4">
        <v>44172</v>
      </c>
      <c r="C41" s="20">
        <v>16</v>
      </c>
      <c r="D41" s="19">
        <v>740</v>
      </c>
      <c r="E41" s="19">
        <v>1</v>
      </c>
      <c r="F41" s="19">
        <v>11408</v>
      </c>
      <c r="G41" s="2">
        <f t="shared" si="2"/>
        <v>11708.25</v>
      </c>
      <c r="H41" s="2"/>
      <c r="I41" s="1">
        <f t="shared" si="0"/>
        <v>18.247499999999999</v>
      </c>
      <c r="J41" s="2">
        <f t="shared" si="1"/>
        <v>891.5</v>
      </c>
      <c r="L41" s="1">
        <f t="shared" si="3"/>
        <v>18.493500000000001</v>
      </c>
      <c r="M41" s="2">
        <f t="shared" si="4"/>
        <v>909.95</v>
      </c>
      <c r="O41" s="1">
        <f t="shared" si="5"/>
        <v>19.123611111111114</v>
      </c>
      <c r="P41" s="2">
        <f t="shared" si="6"/>
        <v>947.41666666666663</v>
      </c>
    </row>
    <row r="42" spans="1:16" x14ac:dyDescent="0.45">
      <c r="B42" s="4">
        <v>44179</v>
      </c>
      <c r="C42" s="20">
        <v>23</v>
      </c>
      <c r="D42" s="19">
        <v>1032</v>
      </c>
      <c r="E42" s="19">
        <v>2</v>
      </c>
      <c r="F42" s="19">
        <v>16155</v>
      </c>
      <c r="G42" s="2">
        <f t="shared" si="2"/>
        <v>12011.5</v>
      </c>
      <c r="H42" s="2"/>
      <c r="I42" s="1">
        <f t="shared" si="0"/>
        <v>18.914999999999999</v>
      </c>
      <c r="J42" s="2">
        <f t="shared" si="1"/>
        <v>889.75</v>
      </c>
      <c r="L42" s="1">
        <f t="shared" si="3"/>
        <v>18.422499999999999</v>
      </c>
      <c r="M42" s="2">
        <f t="shared" si="4"/>
        <v>897.9</v>
      </c>
      <c r="O42" s="1">
        <f t="shared" si="5"/>
        <v>18.993611111111111</v>
      </c>
      <c r="P42" s="2">
        <f t="shared" si="6"/>
        <v>933.94444444444446</v>
      </c>
    </row>
    <row r="43" spans="1:16" x14ac:dyDescent="0.45">
      <c r="B43" s="4">
        <v>44186</v>
      </c>
      <c r="C43" s="20">
        <v>12.25</v>
      </c>
      <c r="D43" s="19">
        <v>483</v>
      </c>
      <c r="E43" s="19">
        <v>2</v>
      </c>
      <c r="F43" s="19">
        <v>6610</v>
      </c>
      <c r="G43" s="2">
        <f t="shared" si="2"/>
        <v>11788</v>
      </c>
      <c r="H43" s="2"/>
      <c r="I43" s="1">
        <f t="shared" si="0"/>
        <v>19.0625</v>
      </c>
      <c r="J43" s="2">
        <f t="shared" si="1"/>
        <v>864.75</v>
      </c>
      <c r="L43" s="1">
        <f t="shared" si="3"/>
        <v>18.351999999999997</v>
      </c>
      <c r="M43" s="2">
        <f t="shared" si="4"/>
        <v>878.25</v>
      </c>
      <c r="O43" s="1">
        <f t="shared" si="5"/>
        <v>18.967777777777776</v>
      </c>
      <c r="P43" s="2">
        <f t="shared" si="6"/>
        <v>932.72222222222217</v>
      </c>
    </row>
    <row r="44" spans="1:16" x14ac:dyDescent="0.45">
      <c r="B44" s="4">
        <v>44193</v>
      </c>
      <c r="C44" s="20">
        <v>19.75</v>
      </c>
      <c r="D44" s="19">
        <v>1057</v>
      </c>
      <c r="E44" s="19">
        <v>1</v>
      </c>
      <c r="F44" s="19">
        <v>12000</v>
      </c>
      <c r="G44" s="2">
        <f t="shared" si="2"/>
        <v>11543.25</v>
      </c>
      <c r="H44" s="2"/>
      <c r="I44" s="1">
        <f t="shared" si="0"/>
        <v>17.75</v>
      </c>
      <c r="J44" s="2">
        <f t="shared" si="1"/>
        <v>828</v>
      </c>
      <c r="L44" s="1">
        <f t="shared" si="3"/>
        <v>18.361000000000001</v>
      </c>
      <c r="M44" s="2">
        <f t="shared" si="4"/>
        <v>866.2</v>
      </c>
      <c r="O44" s="1">
        <f t="shared" si="5"/>
        <v>17.476666666666667</v>
      </c>
      <c r="P44" s="2">
        <f t="shared" si="6"/>
        <v>824.61111111111109</v>
      </c>
    </row>
    <row r="45" spans="1:16" x14ac:dyDescent="0.45">
      <c r="B45" s="4">
        <v>44200</v>
      </c>
      <c r="C45" s="20">
        <v>24.25</v>
      </c>
      <c r="D45" s="19">
        <v>1464</v>
      </c>
      <c r="E45" s="19">
        <v>2</v>
      </c>
      <c r="F45" s="19">
        <v>9788</v>
      </c>
      <c r="G45" s="2">
        <f t="shared" si="2"/>
        <v>11138.25</v>
      </c>
      <c r="H45" s="2"/>
      <c r="I45" s="1">
        <f t="shared" si="0"/>
        <v>19.8125</v>
      </c>
      <c r="J45" s="2">
        <f t="shared" si="1"/>
        <v>1009</v>
      </c>
      <c r="L45" s="1">
        <f t="shared" si="3"/>
        <v>18.7575</v>
      </c>
      <c r="M45" s="2">
        <f t="shared" si="4"/>
        <v>896.6</v>
      </c>
      <c r="O45" s="1">
        <f t="shared" si="5"/>
        <v>18.521111111111111</v>
      </c>
      <c r="P45" s="2">
        <f t="shared" si="6"/>
        <v>902</v>
      </c>
    </row>
    <row r="46" spans="1:16" x14ac:dyDescent="0.45">
      <c r="A46" t="s">
        <v>16</v>
      </c>
      <c r="B46" s="4">
        <v>44207</v>
      </c>
      <c r="C46" s="20">
        <v>20.5</v>
      </c>
      <c r="D46" s="19">
        <v>1102</v>
      </c>
      <c r="E46" s="19">
        <v>0</v>
      </c>
      <c r="F46" s="19">
        <v>15401</v>
      </c>
      <c r="G46" s="2">
        <f t="shared" si="2"/>
        <v>10949.75</v>
      </c>
      <c r="H46" s="2"/>
      <c r="I46" s="1">
        <f t="shared" si="0"/>
        <v>19.1875</v>
      </c>
      <c r="J46" s="2">
        <f t="shared" si="1"/>
        <v>1026.5</v>
      </c>
      <c r="L46" s="1">
        <f t="shared" si="3"/>
        <v>18.945499999999999</v>
      </c>
      <c r="M46" s="2">
        <f t="shared" si="4"/>
        <v>923.6</v>
      </c>
      <c r="O46" s="1">
        <f t="shared" si="5"/>
        <v>18.236944444444443</v>
      </c>
      <c r="P46" s="2">
        <f t="shared" si="6"/>
        <v>884.02777777777783</v>
      </c>
    </row>
    <row r="47" spans="1:16" x14ac:dyDescent="0.45">
      <c r="B47" s="4">
        <v>44214</v>
      </c>
      <c r="C47" s="20">
        <v>16.75</v>
      </c>
      <c r="D47" s="19">
        <v>919</v>
      </c>
      <c r="E47" s="19">
        <v>1</v>
      </c>
      <c r="F47" s="19">
        <v>14423</v>
      </c>
      <c r="G47" s="2">
        <f t="shared" si="2"/>
        <v>12903</v>
      </c>
      <c r="H47" s="2"/>
      <c r="I47" s="1">
        <f t="shared" si="0"/>
        <v>20.3125</v>
      </c>
      <c r="J47" s="2">
        <f t="shared" si="1"/>
        <v>1135.5</v>
      </c>
      <c r="L47" s="1">
        <f t="shared" si="3"/>
        <v>19.225000000000001</v>
      </c>
      <c r="M47" s="2">
        <f t="shared" si="4"/>
        <v>972.75</v>
      </c>
      <c r="O47" s="1">
        <f t="shared" si="5"/>
        <v>20.020833333333332</v>
      </c>
      <c r="P47" s="2">
        <f t="shared" si="6"/>
        <v>976.72222222222217</v>
      </c>
    </row>
    <row r="48" spans="1:16" x14ac:dyDescent="0.45">
      <c r="B48" s="4">
        <v>44221</v>
      </c>
      <c r="C48" s="20">
        <v>18</v>
      </c>
      <c r="D48" s="19">
        <v>963</v>
      </c>
      <c r="E48" s="19">
        <v>2</v>
      </c>
      <c r="F48" s="19">
        <v>13491</v>
      </c>
      <c r="G48" s="2">
        <f t="shared" si="2"/>
        <v>13275.75</v>
      </c>
      <c r="H48" s="2"/>
      <c r="I48" s="1">
        <f t="shared" si="0"/>
        <v>19.875</v>
      </c>
      <c r="J48" s="2">
        <f t="shared" si="1"/>
        <v>1112</v>
      </c>
      <c r="L48" s="1">
        <f t="shared" si="3"/>
        <v>19.387499999999999</v>
      </c>
      <c r="M48" s="2">
        <f t="shared" si="4"/>
        <v>1022.2</v>
      </c>
      <c r="O48" s="1">
        <f t="shared" si="5"/>
        <v>18.645833333333332</v>
      </c>
      <c r="P48" s="2">
        <f t="shared" si="6"/>
        <v>924.72222222222217</v>
      </c>
    </row>
    <row r="49" spans="1:16" x14ac:dyDescent="0.45">
      <c r="B49" s="4">
        <v>44228</v>
      </c>
      <c r="C49" s="20">
        <v>19.5</v>
      </c>
      <c r="D49" s="19">
        <v>1049</v>
      </c>
      <c r="E49" s="19">
        <v>1</v>
      </c>
      <c r="F49" s="19">
        <v>13499</v>
      </c>
      <c r="G49" s="2">
        <f t="shared" si="2"/>
        <v>14203.5</v>
      </c>
      <c r="H49" s="2"/>
      <c r="I49" s="1">
        <f t="shared" si="0"/>
        <v>18.6875</v>
      </c>
      <c r="J49" s="2">
        <f t="shared" si="1"/>
        <v>1008.25</v>
      </c>
      <c r="L49" s="1">
        <f t="shared" si="3"/>
        <v>19.574999999999999</v>
      </c>
      <c r="M49" s="2">
        <f t="shared" si="4"/>
        <v>1058.25</v>
      </c>
      <c r="O49" s="1">
        <f t="shared" si="5"/>
        <v>19.368055555555557</v>
      </c>
      <c r="P49" s="2">
        <f t="shared" si="6"/>
        <v>984.41666666666663</v>
      </c>
    </row>
    <row r="50" spans="1:16" x14ac:dyDescent="0.45">
      <c r="A50" t="s">
        <v>17</v>
      </c>
      <c r="B50" s="4">
        <v>44235</v>
      </c>
      <c r="C50" s="20">
        <v>17.66</v>
      </c>
      <c r="D50" s="19">
        <v>922</v>
      </c>
      <c r="E50" s="19">
        <v>1</v>
      </c>
      <c r="F50" s="19">
        <v>13547</v>
      </c>
      <c r="G50" s="2">
        <f t="shared" si="2"/>
        <v>13740</v>
      </c>
      <c r="H50" s="2"/>
      <c r="I50" s="1">
        <f t="shared" si="0"/>
        <v>17.977499999999999</v>
      </c>
      <c r="J50" s="2">
        <f t="shared" si="1"/>
        <v>963.25</v>
      </c>
      <c r="L50" s="1">
        <f t="shared" si="3"/>
        <v>19.208000000000002</v>
      </c>
      <c r="M50" s="2">
        <f t="shared" si="4"/>
        <v>1049.0999999999999</v>
      </c>
      <c r="O50" s="1">
        <f t="shared" si="5"/>
        <v>18.386388888888888</v>
      </c>
      <c r="P50" s="2">
        <f t="shared" si="6"/>
        <v>976.16666666666663</v>
      </c>
    </row>
    <row r="51" spans="1:16" x14ac:dyDescent="0.45">
      <c r="B51" s="4">
        <v>44242</v>
      </c>
      <c r="C51" s="20">
        <v>12</v>
      </c>
      <c r="D51" s="19">
        <v>620</v>
      </c>
      <c r="E51" s="19">
        <v>1</v>
      </c>
      <c r="F51" s="19">
        <v>5000</v>
      </c>
      <c r="G51" s="2">
        <f t="shared" si="2"/>
        <v>11384.25</v>
      </c>
      <c r="H51" s="2"/>
      <c r="I51" s="1">
        <f t="shared" si="0"/>
        <v>16.79</v>
      </c>
      <c r="J51" s="2">
        <f t="shared" si="1"/>
        <v>888.5</v>
      </c>
      <c r="L51" s="1">
        <f t="shared" si="3"/>
        <v>18.7285</v>
      </c>
      <c r="M51" s="2">
        <f t="shared" si="4"/>
        <v>1021.5</v>
      </c>
      <c r="O51" s="1">
        <f t="shared" si="5"/>
        <v>19.786666666666665</v>
      </c>
      <c r="P51" s="2">
        <f t="shared" si="6"/>
        <v>1093.7222222222222</v>
      </c>
    </row>
    <row r="52" spans="1:16" x14ac:dyDescent="0.45">
      <c r="A52" t="s">
        <v>18</v>
      </c>
      <c r="B52" s="4">
        <v>44249</v>
      </c>
      <c r="C52" s="20">
        <v>12.5</v>
      </c>
      <c r="D52" s="19">
        <v>551</v>
      </c>
      <c r="E52" s="19">
        <v>0</v>
      </c>
      <c r="F52" s="19">
        <v>7468</v>
      </c>
      <c r="G52" s="2">
        <f t="shared" si="2"/>
        <v>9878.5</v>
      </c>
      <c r="H52" s="2"/>
      <c r="I52" s="1">
        <f t="shared" si="0"/>
        <v>15.414999999999999</v>
      </c>
      <c r="J52" s="2">
        <f t="shared" si="1"/>
        <v>785.5</v>
      </c>
      <c r="L52" s="1">
        <f t="shared" si="3"/>
        <v>17.749000000000002</v>
      </c>
      <c r="M52" s="2">
        <f t="shared" si="4"/>
        <v>951.5</v>
      </c>
      <c r="O52" s="1">
        <f t="shared" si="5"/>
        <v>19.318888888888889</v>
      </c>
      <c r="P52" s="2">
        <f t="shared" si="6"/>
        <v>1069.6666666666667</v>
      </c>
    </row>
    <row r="53" spans="1:16" x14ac:dyDescent="0.45">
      <c r="B53" s="4">
        <v>44256</v>
      </c>
      <c r="C53" s="20">
        <v>0</v>
      </c>
      <c r="D53" s="19">
        <v>0</v>
      </c>
      <c r="E53" s="19">
        <v>0</v>
      </c>
      <c r="F53" s="19">
        <v>0</v>
      </c>
      <c r="G53" s="2">
        <f t="shared" si="2"/>
        <v>6503.75</v>
      </c>
      <c r="H53" s="2"/>
      <c r="I53" s="1">
        <f t="shared" si="0"/>
        <v>10.54</v>
      </c>
      <c r="J53" s="2">
        <f t="shared" si="1"/>
        <v>523.25</v>
      </c>
      <c r="L53" s="1">
        <f t="shared" si="3"/>
        <v>15.882</v>
      </c>
      <c r="M53" s="2">
        <f t="shared" si="4"/>
        <v>833.75</v>
      </c>
      <c r="O53" s="1">
        <f t="shared" si="5"/>
        <v>17.177499999999998</v>
      </c>
      <c r="P53" s="2">
        <f t="shared" si="6"/>
        <v>914.5</v>
      </c>
    </row>
    <row r="54" spans="1:16" x14ac:dyDescent="0.45">
      <c r="B54" s="4">
        <v>44263</v>
      </c>
      <c r="C54" s="20">
        <v>16.329999999999998</v>
      </c>
      <c r="D54" s="19">
        <v>643</v>
      </c>
      <c r="E54" s="19">
        <v>1</v>
      </c>
      <c r="F54" s="19">
        <v>6417</v>
      </c>
      <c r="G54" s="2">
        <f t="shared" si="2"/>
        <v>4721.25</v>
      </c>
      <c r="H54" s="2"/>
      <c r="I54" s="1">
        <f t="shared" si="0"/>
        <v>10.2075</v>
      </c>
      <c r="J54" s="2">
        <f t="shared" si="1"/>
        <v>453.5</v>
      </c>
      <c r="L54" s="1">
        <f t="shared" si="3"/>
        <v>14.185999999999998</v>
      </c>
      <c r="M54" s="2">
        <f t="shared" si="4"/>
        <v>722.8</v>
      </c>
      <c r="O54" s="1">
        <f t="shared" si="5"/>
        <v>15.753611111111111</v>
      </c>
      <c r="P54" s="2">
        <f t="shared" si="6"/>
        <v>827.02777777777783</v>
      </c>
    </row>
    <row r="55" spans="1:16" x14ac:dyDescent="0.45">
      <c r="B55" s="4">
        <v>44270</v>
      </c>
      <c r="C55" s="20">
        <v>25.75</v>
      </c>
      <c r="D55" s="19">
        <v>1130</v>
      </c>
      <c r="E55" s="19">
        <v>2</v>
      </c>
      <c r="F55" s="19">
        <v>10195</v>
      </c>
      <c r="G55" s="2">
        <f t="shared" si="2"/>
        <v>6020</v>
      </c>
      <c r="H55" s="2"/>
      <c r="I55" s="1">
        <f t="shared" si="0"/>
        <v>13.645</v>
      </c>
      <c r="J55" s="2">
        <f t="shared" si="1"/>
        <v>581</v>
      </c>
      <c r="L55" s="1">
        <f t="shared" si="3"/>
        <v>13.3195</v>
      </c>
      <c r="M55" s="2">
        <f t="shared" si="4"/>
        <v>646.35</v>
      </c>
      <c r="O55" s="1">
        <f t="shared" si="5"/>
        <v>15.413055555555555</v>
      </c>
      <c r="P55" s="2">
        <f t="shared" si="6"/>
        <v>786.08333333333337</v>
      </c>
    </row>
    <row r="56" spans="1:16" x14ac:dyDescent="0.45">
      <c r="B56" s="4">
        <v>44277</v>
      </c>
      <c r="C56" s="20">
        <v>27</v>
      </c>
      <c r="D56" s="19">
        <v>1114</v>
      </c>
      <c r="E56" s="19">
        <v>0</v>
      </c>
      <c r="F56" s="19">
        <v>13017</v>
      </c>
      <c r="G56" s="2">
        <f t="shared" si="2"/>
        <v>7407.25</v>
      </c>
      <c r="H56" s="2"/>
      <c r="I56" s="1">
        <f t="shared" si="0"/>
        <v>17.27</v>
      </c>
      <c r="J56" s="2">
        <f t="shared" si="1"/>
        <v>721.75</v>
      </c>
      <c r="L56" s="1">
        <f t="shared" si="3"/>
        <v>13.4155</v>
      </c>
      <c r="M56" s="2">
        <f t="shared" si="4"/>
        <v>613</v>
      </c>
      <c r="O56" s="1">
        <f t="shared" si="5"/>
        <v>15.044722222222223</v>
      </c>
      <c r="P56" s="2">
        <f t="shared" si="6"/>
        <v>739.55555555555554</v>
      </c>
    </row>
    <row r="57" spans="1:16" x14ac:dyDescent="0.45">
      <c r="A57" t="s">
        <v>19</v>
      </c>
      <c r="B57" s="4">
        <v>44284</v>
      </c>
      <c r="C57" s="20">
        <v>20.25</v>
      </c>
      <c r="D57" s="19">
        <v>950</v>
      </c>
      <c r="E57" s="19">
        <v>0</v>
      </c>
      <c r="F57" s="19">
        <v>15415</v>
      </c>
      <c r="G57" s="2">
        <f t="shared" si="2"/>
        <v>11261</v>
      </c>
      <c r="H57" s="2"/>
      <c r="I57" s="1">
        <f t="shared" si="0"/>
        <v>22.3325</v>
      </c>
      <c r="J57" s="2">
        <f t="shared" si="1"/>
        <v>959.25</v>
      </c>
      <c r="L57" s="1">
        <f t="shared" si="3"/>
        <v>14.799000000000001</v>
      </c>
      <c r="M57" s="2">
        <f t="shared" si="4"/>
        <v>647.75</v>
      </c>
      <c r="O57" s="1">
        <f t="shared" si="5"/>
        <v>14.363888888888889</v>
      </c>
      <c r="P57" s="2">
        <f t="shared" si="6"/>
        <v>671.16666666666663</v>
      </c>
    </row>
    <row r="58" spans="1:16" x14ac:dyDescent="0.45">
      <c r="B58" s="4">
        <v>44291</v>
      </c>
      <c r="C58" s="20">
        <v>20</v>
      </c>
      <c r="D58" s="19">
        <v>1010</v>
      </c>
      <c r="E58" s="19">
        <v>0</v>
      </c>
      <c r="F58" s="19">
        <v>17085</v>
      </c>
      <c r="G58" s="2">
        <f t="shared" si="2"/>
        <v>13928</v>
      </c>
      <c r="H58" s="2"/>
      <c r="I58" s="1">
        <f t="shared" si="0"/>
        <v>23.25</v>
      </c>
      <c r="J58" s="2">
        <f t="shared" si="1"/>
        <v>1051</v>
      </c>
      <c r="L58" s="1">
        <f t="shared" si="3"/>
        <v>17.341000000000001</v>
      </c>
      <c r="M58" s="2">
        <f t="shared" si="4"/>
        <v>753.3</v>
      </c>
      <c r="O58" s="1">
        <f t="shared" si="5"/>
        <v>14.156944444444443</v>
      </c>
      <c r="P58" s="2">
        <f t="shared" si="6"/>
        <v>633.44444444444446</v>
      </c>
    </row>
    <row r="59" spans="1:16" x14ac:dyDescent="0.45">
      <c r="B59" s="4">
        <v>44298</v>
      </c>
      <c r="C59" s="20">
        <v>24.33</v>
      </c>
      <c r="D59" s="19">
        <v>1163</v>
      </c>
      <c r="E59" s="19">
        <v>2</v>
      </c>
      <c r="F59" s="19">
        <v>16143</v>
      </c>
      <c r="G59" s="2">
        <f t="shared" si="2"/>
        <v>15415</v>
      </c>
      <c r="H59" s="2"/>
      <c r="I59" s="1">
        <f t="shared" si="0"/>
        <v>22.895</v>
      </c>
      <c r="J59" s="2">
        <f t="shared" si="1"/>
        <v>1059.25</v>
      </c>
      <c r="L59" s="1">
        <f t="shared" si="3"/>
        <v>19.878499999999999</v>
      </c>
      <c r="M59" s="2">
        <f t="shared" si="4"/>
        <v>874.45</v>
      </c>
      <c r="O59" s="1">
        <f t="shared" si="5"/>
        <v>15.550277777777776</v>
      </c>
      <c r="P59" s="2">
        <f t="shared" si="6"/>
        <v>677.91666666666663</v>
      </c>
    </row>
    <row r="60" spans="1:16" x14ac:dyDescent="0.45">
      <c r="B60" s="4">
        <v>44305</v>
      </c>
      <c r="C60" s="20">
        <v>21.33</v>
      </c>
      <c r="D60" s="19">
        <v>993</v>
      </c>
      <c r="E60" s="19">
        <v>2</v>
      </c>
      <c r="F60" s="19">
        <v>16565</v>
      </c>
      <c r="G60" s="2">
        <f t="shared" si="2"/>
        <v>16302</v>
      </c>
      <c r="H60" s="2"/>
      <c r="I60" s="1">
        <f t="shared" si="0"/>
        <v>21.477499999999999</v>
      </c>
      <c r="J60" s="2">
        <f t="shared" si="1"/>
        <v>1029</v>
      </c>
      <c r="L60" s="1">
        <f t="shared" si="3"/>
        <v>21.444999999999997</v>
      </c>
      <c r="M60" s="2">
        <f t="shared" si="4"/>
        <v>964.05</v>
      </c>
      <c r="O60" s="1">
        <f t="shared" si="5"/>
        <v>17.077777777777776</v>
      </c>
      <c r="P60" s="2">
        <f t="shared" si="6"/>
        <v>750</v>
      </c>
    </row>
    <row r="61" spans="1:16" x14ac:dyDescent="0.45">
      <c r="A61" t="s">
        <v>20</v>
      </c>
      <c r="B61" s="4">
        <v>44312</v>
      </c>
      <c r="C61" s="20">
        <v>28</v>
      </c>
      <c r="D61" s="19">
        <v>1424</v>
      </c>
      <c r="E61" s="19">
        <v>0</v>
      </c>
      <c r="F61" s="19">
        <v>21030</v>
      </c>
      <c r="G61" s="2">
        <f t="shared" si="2"/>
        <v>17705.75</v>
      </c>
      <c r="H61" s="2"/>
      <c r="I61" s="1">
        <f t="shared" si="0"/>
        <v>23.414999999999999</v>
      </c>
      <c r="J61" s="2">
        <f t="shared" si="1"/>
        <v>1147.5</v>
      </c>
      <c r="L61" s="1">
        <f t="shared" si="3"/>
        <v>22.673999999999999</v>
      </c>
      <c r="M61" s="2">
        <f t="shared" si="4"/>
        <v>1049.2</v>
      </c>
      <c r="O61" s="1">
        <f t="shared" si="5"/>
        <v>22.160833333333333</v>
      </c>
      <c r="P61" s="2">
        <f t="shared" si="6"/>
        <v>984.08333333333337</v>
      </c>
    </row>
    <row r="62" spans="1:16" x14ac:dyDescent="0.45">
      <c r="B62" s="4">
        <v>44319</v>
      </c>
      <c r="C62" s="20">
        <v>12.25</v>
      </c>
      <c r="D62" s="19">
        <v>296</v>
      </c>
      <c r="E62" s="19">
        <v>1</v>
      </c>
      <c r="F62" s="19">
        <v>6402</v>
      </c>
      <c r="G62" s="2">
        <f t="shared" si="2"/>
        <v>15035</v>
      </c>
      <c r="H62" s="2"/>
      <c r="I62" s="1">
        <f t="shared" si="0"/>
        <v>21.477499999999999</v>
      </c>
      <c r="J62" s="2">
        <f t="shared" si="1"/>
        <v>969</v>
      </c>
      <c r="L62" s="1">
        <f t="shared" si="3"/>
        <v>22.503</v>
      </c>
      <c r="M62" s="2">
        <f t="shared" si="4"/>
        <v>1051.1500000000001</v>
      </c>
      <c r="O62" s="1">
        <f t="shared" si="5"/>
        <v>23.501666666666665</v>
      </c>
      <c r="P62" s="2">
        <f t="shared" si="6"/>
        <v>1065.6388888888889</v>
      </c>
    </row>
    <row r="63" spans="1:16" x14ac:dyDescent="0.45">
      <c r="B63" s="4">
        <v>44326</v>
      </c>
      <c r="C63" s="20">
        <v>23</v>
      </c>
      <c r="D63" s="19">
        <v>1079</v>
      </c>
      <c r="E63" s="19">
        <v>2</v>
      </c>
      <c r="F63" s="19">
        <v>17988</v>
      </c>
      <c r="G63" s="2">
        <f t="shared" si="2"/>
        <v>15496.25</v>
      </c>
      <c r="H63" s="2"/>
      <c r="I63" s="1">
        <f t="shared" si="0"/>
        <v>21.145</v>
      </c>
      <c r="J63" s="2">
        <f t="shared" si="1"/>
        <v>948</v>
      </c>
      <c r="L63" s="1">
        <f t="shared" si="3"/>
        <v>22.082000000000001</v>
      </c>
      <c r="M63" s="2">
        <f t="shared" si="4"/>
        <v>1030.55</v>
      </c>
      <c r="O63" s="1">
        <f t="shared" si="5"/>
        <v>22.672777777777778</v>
      </c>
      <c r="P63" s="2">
        <f t="shared" si="6"/>
        <v>1037.5555555555557</v>
      </c>
    </row>
    <row r="64" spans="1:16" x14ac:dyDescent="0.45">
      <c r="B64" s="4">
        <v>44333</v>
      </c>
      <c r="C64" s="20">
        <v>23.5</v>
      </c>
      <c r="D64" s="19">
        <v>1015</v>
      </c>
      <c r="E64" s="19">
        <v>2</v>
      </c>
      <c r="F64" s="19">
        <v>11303</v>
      </c>
      <c r="G64" s="2">
        <f t="shared" si="2"/>
        <v>14180.75</v>
      </c>
      <c r="H64" s="2"/>
      <c r="I64" s="1">
        <f t="shared" si="0"/>
        <v>21.6875</v>
      </c>
      <c r="J64" s="2">
        <f t="shared" si="1"/>
        <v>953.5</v>
      </c>
      <c r="L64" s="1">
        <f t="shared" si="3"/>
        <v>21.840499999999999</v>
      </c>
      <c r="M64" s="2">
        <f t="shared" si="4"/>
        <v>1009.4</v>
      </c>
      <c r="O64" s="1">
        <f t="shared" si="5"/>
        <v>21.468888888888888</v>
      </c>
      <c r="P64" s="2">
        <f t="shared" si="6"/>
        <v>1010.2777777777778</v>
      </c>
    </row>
    <row r="65" spans="1:16" x14ac:dyDescent="0.45">
      <c r="B65" s="4">
        <v>44340</v>
      </c>
      <c r="C65" s="20">
        <v>18</v>
      </c>
      <c r="D65" s="19">
        <v>991</v>
      </c>
      <c r="E65" s="19">
        <v>2</v>
      </c>
      <c r="F65" s="19">
        <v>13176</v>
      </c>
      <c r="G65" s="2">
        <f t="shared" si="2"/>
        <v>12217.25</v>
      </c>
      <c r="H65" s="2"/>
      <c r="I65" s="1">
        <f t="shared" si="0"/>
        <v>19.1875</v>
      </c>
      <c r="J65" s="2">
        <f t="shared" si="1"/>
        <v>845.25</v>
      </c>
      <c r="L65" s="1">
        <f t="shared" si="3"/>
        <v>21.3825</v>
      </c>
      <c r="M65" s="2">
        <f t="shared" si="4"/>
        <v>972.65</v>
      </c>
      <c r="O65" s="1">
        <f t="shared" si="5"/>
        <v>21.702500000000001</v>
      </c>
      <c r="P65" s="2">
        <f t="shared" si="6"/>
        <v>1020.5833333333334</v>
      </c>
    </row>
    <row r="66" spans="1:16" x14ac:dyDescent="0.45">
      <c r="A66" t="s">
        <v>15</v>
      </c>
      <c r="B66" s="4">
        <v>44347</v>
      </c>
      <c r="C66" s="20">
        <v>8.25</v>
      </c>
      <c r="D66" s="19">
        <v>432</v>
      </c>
      <c r="E66" s="19">
        <v>2</v>
      </c>
      <c r="F66" s="19">
        <v>6240</v>
      </c>
      <c r="G66" s="2">
        <f t="shared" si="2"/>
        <v>12176.75</v>
      </c>
      <c r="H66" s="2"/>
      <c r="I66" s="1">
        <f t="shared" si="0"/>
        <v>18.1875</v>
      </c>
      <c r="J66" s="2">
        <f t="shared" si="1"/>
        <v>879.25</v>
      </c>
      <c r="L66" s="1">
        <f t="shared" si="3"/>
        <v>20.337</v>
      </c>
      <c r="M66" s="2">
        <f t="shared" si="4"/>
        <v>919</v>
      </c>
      <c r="O66" s="1">
        <f t="shared" si="5"/>
        <v>21.665277777777774</v>
      </c>
      <c r="P66" s="2">
        <f t="shared" si="6"/>
        <v>1001.5</v>
      </c>
    </row>
    <row r="67" spans="1:16" x14ac:dyDescent="0.45">
      <c r="B67" s="4">
        <v>44354</v>
      </c>
      <c r="C67" s="20">
        <v>24</v>
      </c>
      <c r="D67" s="19">
        <f>1163-19</f>
        <v>1144</v>
      </c>
      <c r="E67" s="19">
        <v>1</v>
      </c>
      <c r="F67" s="19">
        <v>18279</v>
      </c>
      <c r="G67" s="2">
        <f t="shared" si="2"/>
        <v>12249.5</v>
      </c>
      <c r="H67" s="2"/>
      <c r="I67" s="1">
        <f t="shared" si="0"/>
        <v>18.4375</v>
      </c>
      <c r="J67" s="2">
        <f t="shared" si="1"/>
        <v>895.5</v>
      </c>
      <c r="L67" s="1">
        <f t="shared" si="3"/>
        <v>19.728999999999999</v>
      </c>
      <c r="M67" s="2">
        <f t="shared" si="4"/>
        <v>904.3</v>
      </c>
      <c r="O67" s="1">
        <f t="shared" si="5"/>
        <v>20.656666666666666</v>
      </c>
      <c r="P67" s="2">
        <f t="shared" si="6"/>
        <v>947.88888888888891</v>
      </c>
    </row>
    <row r="68" spans="1:16" x14ac:dyDescent="0.45">
      <c r="B68" s="4">
        <v>44361</v>
      </c>
      <c r="C68" s="20">
        <v>15.5</v>
      </c>
      <c r="D68" s="19">
        <f>976-20-23-36</f>
        <v>897</v>
      </c>
      <c r="E68" s="19">
        <v>2</v>
      </c>
      <c r="F68" s="19">
        <v>12002</v>
      </c>
      <c r="G68" s="2">
        <f t="shared" si="2"/>
        <v>12424.25</v>
      </c>
      <c r="H68" s="2"/>
      <c r="I68" s="1">
        <f t="shared" si="0"/>
        <v>16.4375</v>
      </c>
      <c r="J68" s="2">
        <f t="shared" si="1"/>
        <v>866</v>
      </c>
      <c r="L68" s="1">
        <f t="shared" si="3"/>
        <v>18.787500000000001</v>
      </c>
      <c r="M68" s="2">
        <f t="shared" si="4"/>
        <v>887.9</v>
      </c>
      <c r="O68" s="1">
        <f t="shared" si="5"/>
        <v>20.152777777777779</v>
      </c>
      <c r="P68" s="2">
        <f t="shared" si="6"/>
        <v>929.38888888888891</v>
      </c>
    </row>
    <row r="69" spans="1:16" x14ac:dyDescent="0.45">
      <c r="B69" s="4">
        <v>44368</v>
      </c>
      <c r="C69" s="20">
        <v>19.5</v>
      </c>
      <c r="D69" s="19">
        <v>1084</v>
      </c>
      <c r="E69" s="19">
        <v>2</v>
      </c>
      <c r="F69" s="19">
        <v>14781</v>
      </c>
      <c r="G69" s="2">
        <f t="shared" si="2"/>
        <v>12825.5</v>
      </c>
      <c r="H69" s="2"/>
      <c r="I69" s="1">
        <f t="shared" ref="I69:I132" si="7">AVERAGE(C66:C69)</f>
        <v>16.8125</v>
      </c>
      <c r="J69" s="2">
        <f t="shared" ref="J69:J132" si="8">AVERAGE(D66:D69)</f>
        <v>889.25</v>
      </c>
      <c r="L69" s="1">
        <f t="shared" si="3"/>
        <v>17.8125</v>
      </c>
      <c r="M69" s="2">
        <f t="shared" si="4"/>
        <v>875.05</v>
      </c>
      <c r="O69" s="1">
        <f t="shared" si="5"/>
        <v>17.930555555555557</v>
      </c>
      <c r="P69" s="2">
        <f t="shared" si="6"/>
        <v>805.66666666666663</v>
      </c>
    </row>
    <row r="70" spans="1:16" x14ac:dyDescent="0.45">
      <c r="B70" s="4">
        <v>44375</v>
      </c>
      <c r="C70" s="20">
        <v>14.25</v>
      </c>
      <c r="D70" s="19">
        <v>723</v>
      </c>
      <c r="E70" s="19">
        <v>0</v>
      </c>
      <c r="F70" s="19">
        <v>9000</v>
      </c>
      <c r="G70" s="2">
        <f t="shared" ref="G70:G133" si="9">AVERAGE(F67:F70)</f>
        <v>13515.5</v>
      </c>
      <c r="H70" s="2"/>
      <c r="I70" s="1">
        <f t="shared" si="7"/>
        <v>18.3125</v>
      </c>
      <c r="J70" s="2">
        <f t="shared" si="8"/>
        <v>962</v>
      </c>
      <c r="L70" s="1">
        <f t="shared" si="3"/>
        <v>17.637499999999999</v>
      </c>
      <c r="M70" s="2">
        <f t="shared" si="4"/>
        <v>898.4</v>
      </c>
      <c r="O70" s="1">
        <f t="shared" si="5"/>
        <v>19.263888888888889</v>
      </c>
      <c r="P70" s="2">
        <f t="shared" si="6"/>
        <v>944.47222222222217</v>
      </c>
    </row>
    <row r="71" spans="1:16" x14ac:dyDescent="0.45">
      <c r="B71" s="4">
        <v>44382</v>
      </c>
      <c r="C71" s="20">
        <v>17</v>
      </c>
      <c r="D71" s="19">
        <f>798-39-39-23</f>
        <v>697</v>
      </c>
      <c r="E71" s="19">
        <v>2</v>
      </c>
      <c r="F71" s="19">
        <v>11487</v>
      </c>
      <c r="G71" s="2">
        <f t="shared" si="9"/>
        <v>11817.5</v>
      </c>
      <c r="H71" s="2"/>
      <c r="I71" s="1">
        <f t="shared" si="7"/>
        <v>16.5625</v>
      </c>
      <c r="J71" s="2">
        <f t="shared" si="8"/>
        <v>850.25</v>
      </c>
      <c r="L71" s="1">
        <f t="shared" si="3"/>
        <v>17.3125</v>
      </c>
      <c r="M71" s="2">
        <f t="shared" si="4"/>
        <v>892.6</v>
      </c>
      <c r="O71" s="1">
        <f t="shared" si="5"/>
        <v>18.041666666666668</v>
      </c>
      <c r="P71" s="2">
        <f t="shared" si="6"/>
        <v>898.66666666666663</v>
      </c>
    </row>
    <row r="72" spans="1:16" x14ac:dyDescent="0.45">
      <c r="B72" s="4">
        <v>44389</v>
      </c>
      <c r="C72" s="20">
        <v>18.75</v>
      </c>
      <c r="D72" s="19">
        <v>778</v>
      </c>
      <c r="E72" s="19">
        <v>2</v>
      </c>
      <c r="F72" s="19">
        <v>11826</v>
      </c>
      <c r="G72" s="2">
        <f t="shared" si="9"/>
        <v>11773.5</v>
      </c>
      <c r="H72" s="2"/>
      <c r="I72" s="1">
        <f t="shared" si="7"/>
        <v>17.375</v>
      </c>
      <c r="J72" s="2">
        <f t="shared" si="8"/>
        <v>820.5</v>
      </c>
      <c r="L72" s="1">
        <f t="shared" si="3"/>
        <v>17.100000000000001</v>
      </c>
      <c r="M72" s="2">
        <f t="shared" si="4"/>
        <v>877.6</v>
      </c>
      <c r="O72" s="1">
        <f t="shared" si="5"/>
        <v>16.576388888888889</v>
      </c>
      <c r="P72" s="2">
        <f t="shared" si="6"/>
        <v>860.5</v>
      </c>
    </row>
    <row r="73" spans="1:16" x14ac:dyDescent="0.45">
      <c r="B73" s="4">
        <v>44396</v>
      </c>
      <c r="C73" s="20">
        <v>14</v>
      </c>
      <c r="D73" s="19">
        <v>643</v>
      </c>
      <c r="E73" s="19">
        <v>1</v>
      </c>
      <c r="F73" s="19">
        <v>8962</v>
      </c>
      <c r="G73" s="2">
        <f t="shared" si="9"/>
        <v>10318.75</v>
      </c>
      <c r="H73" s="2"/>
      <c r="I73" s="1">
        <f t="shared" si="7"/>
        <v>16</v>
      </c>
      <c r="J73" s="2">
        <f t="shared" si="8"/>
        <v>710.25</v>
      </c>
      <c r="L73" s="1">
        <f t="shared" ref="L73:L136" si="10">((C66)+(2*C67)+(3*C68)+(4*C69)+(4*C70)+(3*C71)+(2*C72)+(C73))/20</f>
        <v>17.012499999999999</v>
      </c>
      <c r="M73" s="2">
        <f t="shared" ref="M73:M136" si="11">((D66)+(2*D67)+(3*D68)+(4*D69)+(4*D70)+(3*D71)+(2*D72)+(D73))/20</f>
        <v>846.45</v>
      </c>
      <c r="O73" s="1">
        <f t="shared" si="5"/>
        <v>16.222222222222221</v>
      </c>
      <c r="P73" s="2">
        <f t="shared" si="6"/>
        <v>818</v>
      </c>
    </row>
    <row r="74" spans="1:16" x14ac:dyDescent="0.45">
      <c r="A74" t="s">
        <v>239</v>
      </c>
      <c r="B74" s="4">
        <v>44403</v>
      </c>
      <c r="C74" s="20">
        <v>7.75</v>
      </c>
      <c r="D74" s="19">
        <v>263</v>
      </c>
      <c r="E74" s="19">
        <v>0</v>
      </c>
      <c r="F74" s="19">
        <v>4405</v>
      </c>
      <c r="G74" s="2">
        <f t="shared" si="9"/>
        <v>9170</v>
      </c>
      <c r="H74" s="2"/>
      <c r="I74" s="1">
        <f t="shared" si="7"/>
        <v>14.375</v>
      </c>
      <c r="J74" s="2">
        <f t="shared" si="8"/>
        <v>595.25</v>
      </c>
      <c r="L74" s="1">
        <f t="shared" si="10"/>
        <v>16.524999999999999</v>
      </c>
      <c r="M74" s="2">
        <f t="shared" si="11"/>
        <v>787.65</v>
      </c>
      <c r="O74" s="1">
        <f t="shared" si="5"/>
        <v>18.020833333333332</v>
      </c>
      <c r="P74" s="2">
        <f t="shared" si="6"/>
        <v>895.02777777777783</v>
      </c>
    </row>
    <row r="75" spans="1:16" x14ac:dyDescent="0.45">
      <c r="B75" s="4">
        <v>44410</v>
      </c>
      <c r="C75" s="20">
        <v>4</v>
      </c>
      <c r="D75" s="19">
        <v>300</v>
      </c>
      <c r="E75" s="19">
        <v>0</v>
      </c>
      <c r="F75" s="19">
        <v>4000</v>
      </c>
      <c r="G75" s="2">
        <f t="shared" si="9"/>
        <v>7298.25</v>
      </c>
      <c r="H75" s="2"/>
      <c r="I75" s="1">
        <f t="shared" si="7"/>
        <v>11.125</v>
      </c>
      <c r="J75" s="2">
        <f t="shared" si="8"/>
        <v>496</v>
      </c>
      <c r="L75" s="1">
        <f t="shared" si="10"/>
        <v>15.0875</v>
      </c>
      <c r="M75" s="2">
        <f t="shared" si="11"/>
        <v>694.45</v>
      </c>
      <c r="O75" s="1">
        <f t="shared" si="5"/>
        <v>15.763888888888889</v>
      </c>
      <c r="P75" s="2">
        <f t="shared" si="6"/>
        <v>790.38888888888891</v>
      </c>
    </row>
    <row r="76" spans="1:16" x14ac:dyDescent="0.45">
      <c r="B76" s="4">
        <v>44417</v>
      </c>
      <c r="C76" s="20">
        <v>5.66</v>
      </c>
      <c r="D76" s="19">
        <v>156</v>
      </c>
      <c r="E76" s="19">
        <v>0</v>
      </c>
      <c r="F76" s="19">
        <v>3797</v>
      </c>
      <c r="G76" s="2">
        <f t="shared" si="9"/>
        <v>5291</v>
      </c>
      <c r="H76" s="2"/>
      <c r="I76" s="1">
        <f t="shared" si="7"/>
        <v>7.8525</v>
      </c>
      <c r="J76" s="2">
        <f t="shared" si="8"/>
        <v>340.5</v>
      </c>
      <c r="L76" s="1">
        <f t="shared" si="10"/>
        <v>13.345500000000001</v>
      </c>
      <c r="M76" s="2">
        <f t="shared" si="11"/>
        <v>592.5</v>
      </c>
      <c r="O76" s="1">
        <f t="shared" si="5"/>
        <v>15.122499999999999</v>
      </c>
      <c r="P76" s="2">
        <f t="shared" si="6"/>
        <v>720.05555555555554</v>
      </c>
    </row>
    <row r="77" spans="1:16" x14ac:dyDescent="0.45">
      <c r="B77" s="4">
        <v>44424</v>
      </c>
      <c r="C77" s="20">
        <v>14</v>
      </c>
      <c r="D77" s="19">
        <v>378</v>
      </c>
      <c r="E77" s="19">
        <v>0</v>
      </c>
      <c r="F77" s="19">
        <v>8439</v>
      </c>
      <c r="G77" s="2">
        <f t="shared" si="9"/>
        <v>5160.25</v>
      </c>
      <c r="H77" s="2"/>
      <c r="I77" s="1">
        <f t="shared" si="7"/>
        <v>7.8525</v>
      </c>
      <c r="J77" s="2">
        <f t="shared" si="8"/>
        <v>274.25</v>
      </c>
      <c r="L77" s="1">
        <f t="shared" si="10"/>
        <v>11.440999999999999</v>
      </c>
      <c r="M77" s="2">
        <f t="shared" si="11"/>
        <v>483.25</v>
      </c>
      <c r="O77" s="1">
        <f t="shared" ref="O77:O140" si="12">((C77)+(C76*2)+(C75*3)+(C74*4)+(C73*5)+(C72*6)+(C71*7)+(C70*8))/36</f>
        <v>13.439444444444444</v>
      </c>
      <c r="P77" s="2">
        <f t="shared" ref="P77:P140" si="13">((D77)+(D76*2)+(D75*3)+(D74*4)+(D73*5)+(D72*6)+(D71*7)+(D70*8))/36</f>
        <v>588.55555555555554</v>
      </c>
    </row>
    <row r="78" spans="1:16" x14ac:dyDescent="0.45">
      <c r="B78" s="4">
        <v>44431</v>
      </c>
      <c r="C78" s="20">
        <v>35</v>
      </c>
      <c r="D78" s="19">
        <v>1209</v>
      </c>
      <c r="E78" s="19">
        <v>0</v>
      </c>
      <c r="F78" s="19">
        <v>24621</v>
      </c>
      <c r="G78" s="2">
        <f t="shared" si="9"/>
        <v>10214.25</v>
      </c>
      <c r="H78" s="2"/>
      <c r="I78" s="1">
        <f t="shared" si="7"/>
        <v>14.664999999999999</v>
      </c>
      <c r="J78" s="2">
        <f t="shared" si="8"/>
        <v>510.75</v>
      </c>
      <c r="L78" s="1">
        <f t="shared" si="10"/>
        <v>11.173999999999999</v>
      </c>
      <c r="M78" s="2">
        <f t="shared" si="11"/>
        <v>443.35</v>
      </c>
      <c r="O78" s="1">
        <f t="shared" si="12"/>
        <v>13.499444444444444</v>
      </c>
      <c r="P78" s="2">
        <f t="shared" si="13"/>
        <v>550.77777777777783</v>
      </c>
    </row>
    <row r="79" spans="1:16" x14ac:dyDescent="0.45">
      <c r="B79" s="4">
        <v>44438</v>
      </c>
      <c r="C79" s="20">
        <v>18</v>
      </c>
      <c r="D79" s="19">
        <v>828</v>
      </c>
      <c r="E79" s="19">
        <v>0</v>
      </c>
      <c r="F79" s="19">
        <v>13094</v>
      </c>
      <c r="G79" s="2">
        <f t="shared" si="9"/>
        <v>12487.75</v>
      </c>
      <c r="H79" s="2"/>
      <c r="I79" s="1">
        <f t="shared" si="7"/>
        <v>18.164999999999999</v>
      </c>
      <c r="J79" s="2">
        <f t="shared" si="8"/>
        <v>642.75</v>
      </c>
      <c r="L79" s="1">
        <f t="shared" si="10"/>
        <v>11.931999999999999</v>
      </c>
      <c r="M79" s="2">
        <f t="shared" si="11"/>
        <v>452.85</v>
      </c>
      <c r="O79" s="1">
        <f t="shared" si="12"/>
        <v>12.976111111111111</v>
      </c>
      <c r="P79" s="2">
        <f t="shared" si="13"/>
        <v>522.41666666666663</v>
      </c>
    </row>
    <row r="80" spans="1:16" x14ac:dyDescent="0.45">
      <c r="B80" s="4">
        <v>44445</v>
      </c>
      <c r="C80" s="20">
        <v>17</v>
      </c>
      <c r="D80" s="19">
        <v>731</v>
      </c>
      <c r="E80" s="19">
        <v>0</v>
      </c>
      <c r="F80" s="19">
        <v>13462</v>
      </c>
      <c r="G80" s="2">
        <f t="shared" si="9"/>
        <v>14904</v>
      </c>
      <c r="H80" s="2"/>
      <c r="I80" s="1">
        <f t="shared" si="7"/>
        <v>21</v>
      </c>
      <c r="J80" s="2">
        <f t="shared" si="8"/>
        <v>786.5</v>
      </c>
      <c r="L80" s="1">
        <f t="shared" si="10"/>
        <v>13.907</v>
      </c>
      <c r="M80" s="2">
        <f t="shared" si="11"/>
        <v>510.95</v>
      </c>
      <c r="O80" s="1">
        <f t="shared" si="12"/>
        <v>12.015277777777778</v>
      </c>
      <c r="P80" s="2">
        <f t="shared" si="13"/>
        <v>474.75</v>
      </c>
    </row>
    <row r="81" spans="1:16" x14ac:dyDescent="0.45">
      <c r="B81" s="4">
        <v>44452</v>
      </c>
      <c r="C81" s="20">
        <v>18</v>
      </c>
      <c r="D81" s="19">
        <v>719</v>
      </c>
      <c r="E81" s="19">
        <v>0</v>
      </c>
      <c r="F81" s="19">
        <v>8074</v>
      </c>
      <c r="G81" s="2">
        <f t="shared" si="9"/>
        <v>14812.75</v>
      </c>
      <c r="H81" s="2"/>
      <c r="I81" s="1">
        <f t="shared" si="7"/>
        <v>22</v>
      </c>
      <c r="J81" s="2">
        <f t="shared" si="8"/>
        <v>871.75</v>
      </c>
      <c r="L81" s="1">
        <f t="shared" si="10"/>
        <v>16.736499999999999</v>
      </c>
      <c r="M81" s="2">
        <f t="shared" si="11"/>
        <v>617.20000000000005</v>
      </c>
      <c r="O81" s="1">
        <f t="shared" si="12"/>
        <v>12.22111111111111</v>
      </c>
      <c r="P81" s="2">
        <f t="shared" si="13"/>
        <v>459.19444444444446</v>
      </c>
    </row>
    <row r="82" spans="1:16" x14ac:dyDescent="0.45">
      <c r="B82" s="4">
        <v>44459</v>
      </c>
      <c r="C82" s="20">
        <v>30.66</v>
      </c>
      <c r="D82" s="19">
        <v>1768</v>
      </c>
      <c r="E82" s="19">
        <v>0</v>
      </c>
      <c r="F82" s="19">
        <v>25225</v>
      </c>
      <c r="G82" s="2">
        <f t="shared" si="9"/>
        <v>14963.75</v>
      </c>
      <c r="H82" s="2"/>
      <c r="I82" s="1">
        <f t="shared" si="7"/>
        <v>20.914999999999999</v>
      </c>
      <c r="J82" s="2">
        <f t="shared" si="8"/>
        <v>1011.5</v>
      </c>
      <c r="L82" s="1">
        <f t="shared" si="10"/>
        <v>19.349</v>
      </c>
      <c r="M82" s="2">
        <f t="shared" si="11"/>
        <v>764.65</v>
      </c>
      <c r="O82" s="1">
        <f t="shared" si="12"/>
        <v>14.452222222222222</v>
      </c>
      <c r="P82" s="2">
        <f t="shared" si="13"/>
        <v>569.88888888888891</v>
      </c>
    </row>
    <row r="83" spans="1:16" x14ac:dyDescent="0.45">
      <c r="B83" s="4">
        <v>44466</v>
      </c>
      <c r="C83" s="20">
        <v>11</v>
      </c>
      <c r="D83" s="19">
        <v>707</v>
      </c>
      <c r="E83" s="19">
        <v>0</v>
      </c>
      <c r="F83" s="19">
        <v>9029</v>
      </c>
      <c r="G83" s="2">
        <f t="shared" si="9"/>
        <v>13947.5</v>
      </c>
      <c r="H83" s="2"/>
      <c r="I83" s="1">
        <f t="shared" si="7"/>
        <v>19.164999999999999</v>
      </c>
      <c r="J83" s="2">
        <f t="shared" si="8"/>
        <v>981.25</v>
      </c>
      <c r="L83" s="1">
        <f t="shared" si="10"/>
        <v>20.248999999999999</v>
      </c>
      <c r="M83" s="2">
        <f t="shared" si="11"/>
        <v>858.75</v>
      </c>
      <c r="O83" s="1">
        <f t="shared" si="12"/>
        <v>17.711111111111109</v>
      </c>
      <c r="P83" s="2">
        <f t="shared" si="13"/>
        <v>683.66666666666663</v>
      </c>
    </row>
    <row r="84" spans="1:16" x14ac:dyDescent="0.45">
      <c r="B84" s="4">
        <v>44473</v>
      </c>
      <c r="C84" s="20">
        <v>17.5</v>
      </c>
      <c r="D84" s="19">
        <v>836</v>
      </c>
      <c r="E84" s="19">
        <v>0</v>
      </c>
      <c r="F84" s="19">
        <v>14971</v>
      </c>
      <c r="G84" s="2">
        <f t="shared" si="9"/>
        <v>14324.75</v>
      </c>
      <c r="H84" s="2"/>
      <c r="I84" s="1">
        <f t="shared" si="7"/>
        <v>19.29</v>
      </c>
      <c r="J84" s="2">
        <f t="shared" si="8"/>
        <v>1007.5</v>
      </c>
      <c r="L84" s="1">
        <f t="shared" si="10"/>
        <v>20.474</v>
      </c>
      <c r="M84" s="2">
        <f t="shared" si="11"/>
        <v>931.7</v>
      </c>
      <c r="O84" s="1">
        <f t="shared" si="12"/>
        <v>20.93</v>
      </c>
      <c r="P84" s="2">
        <f t="shared" si="13"/>
        <v>848.33333333333337</v>
      </c>
    </row>
    <row r="85" spans="1:16" x14ac:dyDescent="0.45">
      <c r="B85" s="4">
        <v>44480</v>
      </c>
      <c r="C85" s="20">
        <v>13.5</v>
      </c>
      <c r="D85" s="19">
        <v>741</v>
      </c>
      <c r="E85" s="19">
        <v>0</v>
      </c>
      <c r="F85" s="19">
        <v>12253</v>
      </c>
      <c r="G85" s="2">
        <f t="shared" si="9"/>
        <v>15369.5</v>
      </c>
      <c r="H85" s="2"/>
      <c r="I85" s="1">
        <f t="shared" si="7"/>
        <v>18.164999999999999</v>
      </c>
      <c r="J85" s="2">
        <f t="shared" si="8"/>
        <v>1013</v>
      </c>
      <c r="L85" s="1">
        <f t="shared" si="10"/>
        <v>19.907</v>
      </c>
      <c r="M85" s="2">
        <f t="shared" si="11"/>
        <v>977</v>
      </c>
      <c r="O85" s="1">
        <f t="shared" si="12"/>
        <v>22.281666666666666</v>
      </c>
      <c r="P85" s="2">
        <f t="shared" si="13"/>
        <v>973.75</v>
      </c>
    </row>
    <row r="86" spans="1:16" x14ac:dyDescent="0.45">
      <c r="A86" t="s">
        <v>240</v>
      </c>
      <c r="B86" s="4">
        <v>44487</v>
      </c>
      <c r="C86" s="20">
        <v>10</v>
      </c>
      <c r="D86" s="19">
        <v>400</v>
      </c>
      <c r="E86" s="19">
        <v>0</v>
      </c>
      <c r="F86" s="19">
        <v>6500</v>
      </c>
      <c r="G86" s="2">
        <f t="shared" si="9"/>
        <v>10688.25</v>
      </c>
      <c r="H86" s="2"/>
      <c r="I86" s="1">
        <f t="shared" si="7"/>
        <v>13</v>
      </c>
      <c r="J86" s="2">
        <f t="shared" si="8"/>
        <v>671</v>
      </c>
      <c r="L86" s="1">
        <f t="shared" si="10"/>
        <v>18.106999999999999</v>
      </c>
      <c r="M86" s="2">
        <f t="shared" si="11"/>
        <v>936.85</v>
      </c>
      <c r="O86" s="1">
        <f t="shared" si="12"/>
        <v>18.272222222222222</v>
      </c>
      <c r="P86" s="2">
        <f t="shared" si="13"/>
        <v>892.02777777777783</v>
      </c>
    </row>
    <row r="87" spans="1:16" x14ac:dyDescent="0.45">
      <c r="B87" s="4">
        <v>44494</v>
      </c>
      <c r="C87" s="20">
        <v>1.66</v>
      </c>
      <c r="D87" s="19">
        <v>46</v>
      </c>
      <c r="E87" s="19">
        <v>0</v>
      </c>
      <c r="F87" s="19">
        <v>1081</v>
      </c>
      <c r="G87" s="2">
        <f t="shared" si="9"/>
        <v>8701.25</v>
      </c>
      <c r="H87" s="2"/>
      <c r="I87" s="1">
        <f t="shared" si="7"/>
        <v>10.664999999999999</v>
      </c>
      <c r="J87" s="2">
        <f t="shared" si="8"/>
        <v>505.75</v>
      </c>
      <c r="L87" s="1">
        <f t="shared" si="10"/>
        <v>16.057000000000002</v>
      </c>
      <c r="M87" s="2">
        <f t="shared" si="11"/>
        <v>835.7</v>
      </c>
      <c r="O87" s="1">
        <f t="shared" si="12"/>
        <v>17.586666666666666</v>
      </c>
      <c r="P87" s="2">
        <f t="shared" si="13"/>
        <v>873.25</v>
      </c>
    </row>
    <row r="88" spans="1:16" x14ac:dyDescent="0.45">
      <c r="A88" t="s">
        <v>241</v>
      </c>
      <c r="B88" s="4">
        <v>44501</v>
      </c>
      <c r="C88" s="20">
        <v>10</v>
      </c>
      <c r="D88" s="19">
        <v>445</v>
      </c>
      <c r="E88" s="19">
        <v>0</v>
      </c>
      <c r="F88" s="19">
        <v>7226</v>
      </c>
      <c r="G88" s="2">
        <f t="shared" si="9"/>
        <v>6765</v>
      </c>
      <c r="H88" s="2"/>
      <c r="I88" s="1">
        <f t="shared" si="7"/>
        <v>8.7899999999999991</v>
      </c>
      <c r="J88" s="2">
        <f t="shared" si="8"/>
        <v>408</v>
      </c>
      <c r="L88" s="1">
        <f t="shared" si="10"/>
        <v>13.981999999999999</v>
      </c>
      <c r="M88" s="2">
        <f t="shared" si="11"/>
        <v>721.05</v>
      </c>
      <c r="O88" s="1">
        <f t="shared" si="12"/>
        <v>16.928888888888892</v>
      </c>
      <c r="P88" s="2">
        <f t="shared" si="13"/>
        <v>868.08333333333337</v>
      </c>
    </row>
    <row r="89" spans="1:16" x14ac:dyDescent="0.45">
      <c r="B89" s="4">
        <v>44508</v>
      </c>
      <c r="C89" s="20">
        <v>14.75</v>
      </c>
      <c r="D89" s="19">
        <v>858</v>
      </c>
      <c r="E89" s="19">
        <v>0</v>
      </c>
      <c r="F89" s="19">
        <v>11298</v>
      </c>
      <c r="G89" s="2">
        <f t="shared" si="9"/>
        <v>6526.25</v>
      </c>
      <c r="H89" s="2"/>
      <c r="I89" s="1">
        <f t="shared" si="7"/>
        <v>9.1024999999999991</v>
      </c>
      <c r="J89" s="2">
        <f t="shared" si="8"/>
        <v>437.25</v>
      </c>
      <c r="L89" s="1">
        <f t="shared" si="10"/>
        <v>11.9445</v>
      </c>
      <c r="M89" s="2">
        <f t="shared" si="11"/>
        <v>607</v>
      </c>
      <c r="O89" s="1">
        <f t="shared" si="12"/>
        <v>15.958611111111111</v>
      </c>
      <c r="P89" s="2">
        <f t="shared" si="13"/>
        <v>869.44444444444446</v>
      </c>
    </row>
    <row r="90" spans="1:16" x14ac:dyDescent="0.45">
      <c r="B90" s="4">
        <v>44515</v>
      </c>
      <c r="C90" s="20">
        <v>20</v>
      </c>
      <c r="D90" s="19">
        <v>862</v>
      </c>
      <c r="E90" s="19">
        <v>0</v>
      </c>
      <c r="F90" s="19">
        <v>9942</v>
      </c>
      <c r="G90" s="2">
        <f t="shared" si="9"/>
        <v>7386.75</v>
      </c>
      <c r="H90" s="2"/>
      <c r="I90" s="1">
        <f t="shared" si="7"/>
        <v>11.602499999999999</v>
      </c>
      <c r="J90" s="2">
        <f t="shared" si="8"/>
        <v>552.75</v>
      </c>
      <c r="L90" s="1">
        <f t="shared" si="10"/>
        <v>10.632</v>
      </c>
      <c r="M90" s="2">
        <f t="shared" si="11"/>
        <v>514.95000000000005</v>
      </c>
      <c r="O90" s="1">
        <f t="shared" si="12"/>
        <v>11.878888888888888</v>
      </c>
      <c r="P90" s="2">
        <f t="shared" si="13"/>
        <v>612.52777777777783</v>
      </c>
    </row>
    <row r="91" spans="1:16" x14ac:dyDescent="0.45">
      <c r="A91" t="s">
        <v>242</v>
      </c>
      <c r="B91" s="4">
        <v>44522</v>
      </c>
      <c r="C91" s="20">
        <v>6</v>
      </c>
      <c r="D91" s="19">
        <v>307</v>
      </c>
      <c r="E91" s="19">
        <v>0</v>
      </c>
      <c r="F91" s="19">
        <v>5240</v>
      </c>
      <c r="G91" s="2">
        <f t="shared" si="9"/>
        <v>8426.5</v>
      </c>
      <c r="H91" s="2"/>
      <c r="I91" s="1">
        <f t="shared" si="7"/>
        <v>12.6875</v>
      </c>
      <c r="J91" s="2">
        <f t="shared" si="8"/>
        <v>618</v>
      </c>
      <c r="L91" s="1">
        <f t="shared" si="10"/>
        <v>10.5695</v>
      </c>
      <c r="M91" s="2">
        <f t="shared" si="11"/>
        <v>504.35</v>
      </c>
      <c r="O91" s="1">
        <f t="shared" si="12"/>
        <v>12.029166666666667</v>
      </c>
      <c r="P91" s="2">
        <f t="shared" si="13"/>
        <v>580.27777777777783</v>
      </c>
    </row>
    <row r="92" spans="1:16" x14ac:dyDescent="0.45">
      <c r="A92" t="s">
        <v>243</v>
      </c>
      <c r="B92" s="4">
        <v>44529</v>
      </c>
      <c r="C92" s="20">
        <v>11.75</v>
      </c>
      <c r="D92" s="19">
        <v>424</v>
      </c>
      <c r="E92" s="19">
        <v>0</v>
      </c>
      <c r="F92" s="19">
        <v>8355</v>
      </c>
      <c r="G92" s="2">
        <f t="shared" si="9"/>
        <v>8708.75</v>
      </c>
      <c r="H92" s="2"/>
      <c r="I92" s="1">
        <f t="shared" si="7"/>
        <v>13.125</v>
      </c>
      <c r="J92" s="2">
        <f t="shared" si="8"/>
        <v>612.75</v>
      </c>
      <c r="L92" s="1">
        <f t="shared" si="10"/>
        <v>11.061499999999999</v>
      </c>
      <c r="M92" s="2">
        <f t="shared" si="11"/>
        <v>525.75</v>
      </c>
      <c r="O92" s="1">
        <f t="shared" si="12"/>
        <v>10.575277777777778</v>
      </c>
      <c r="P92" s="2">
        <f t="shared" si="13"/>
        <v>507.91666666666669</v>
      </c>
    </row>
    <row r="93" spans="1:16" x14ac:dyDescent="0.45">
      <c r="B93" s="4">
        <v>44536</v>
      </c>
      <c r="C93" s="20">
        <v>3.5</v>
      </c>
      <c r="D93" s="19">
        <v>113</v>
      </c>
      <c r="E93" s="19">
        <v>0</v>
      </c>
      <c r="F93" s="19">
        <v>2500</v>
      </c>
      <c r="G93" s="2">
        <f t="shared" si="9"/>
        <v>6509.25</v>
      </c>
      <c r="H93" s="2"/>
      <c r="I93" s="1">
        <f t="shared" si="7"/>
        <v>10.3125</v>
      </c>
      <c r="J93" s="2">
        <f t="shared" si="8"/>
        <v>426.5</v>
      </c>
      <c r="L93" s="1">
        <f t="shared" si="10"/>
        <v>11.366</v>
      </c>
      <c r="M93" s="2">
        <f t="shared" si="11"/>
        <v>529.45000000000005</v>
      </c>
      <c r="O93" s="1">
        <f t="shared" si="12"/>
        <v>9.7324999999999999</v>
      </c>
      <c r="P93" s="2">
        <f t="shared" si="13"/>
        <v>439.22222222222223</v>
      </c>
    </row>
    <row r="94" spans="1:16" x14ac:dyDescent="0.45">
      <c r="B94" s="4">
        <v>44543</v>
      </c>
      <c r="C94" s="20">
        <v>0</v>
      </c>
      <c r="D94" s="19">
        <v>0</v>
      </c>
      <c r="E94" s="19">
        <v>0</v>
      </c>
      <c r="F94" s="19">
        <v>0</v>
      </c>
      <c r="G94" s="2">
        <f t="shared" si="9"/>
        <v>4023.75</v>
      </c>
      <c r="H94" s="2"/>
      <c r="I94" s="1">
        <f t="shared" si="7"/>
        <v>5.3125</v>
      </c>
      <c r="J94" s="2">
        <f t="shared" si="8"/>
        <v>211</v>
      </c>
      <c r="L94" s="1">
        <f t="shared" si="10"/>
        <v>10.608000000000001</v>
      </c>
      <c r="M94" s="2">
        <f t="shared" si="11"/>
        <v>484.2</v>
      </c>
      <c r="O94" s="1">
        <f t="shared" si="12"/>
        <v>9.3897222222222219</v>
      </c>
      <c r="P94" s="2">
        <f t="shared" si="13"/>
        <v>435.19444444444446</v>
      </c>
    </row>
    <row r="95" spans="1:16" x14ac:dyDescent="0.45">
      <c r="B95" s="4">
        <v>44550</v>
      </c>
      <c r="C95" s="20">
        <v>0</v>
      </c>
      <c r="D95" s="19">
        <v>0</v>
      </c>
      <c r="E95" s="19">
        <v>0</v>
      </c>
      <c r="F95" s="19">
        <v>0</v>
      </c>
      <c r="G95" s="2">
        <f t="shared" si="9"/>
        <v>2713.75</v>
      </c>
      <c r="H95" s="2"/>
      <c r="I95" s="1">
        <f t="shared" si="7"/>
        <v>3.8125</v>
      </c>
      <c r="J95" s="2">
        <f t="shared" si="8"/>
        <v>134.25</v>
      </c>
      <c r="L95" s="1">
        <f t="shared" si="10"/>
        <v>9.0500000000000007</v>
      </c>
      <c r="M95" s="2">
        <f t="shared" si="11"/>
        <v>400.5</v>
      </c>
      <c r="O95" s="1">
        <f t="shared" si="12"/>
        <v>10.854166666666666</v>
      </c>
      <c r="P95" s="2">
        <f t="shared" si="13"/>
        <v>508.55555555555554</v>
      </c>
    </row>
    <row r="96" spans="1:16" x14ac:dyDescent="0.45">
      <c r="B96" s="4">
        <v>44557</v>
      </c>
      <c r="C96" s="20">
        <v>2.25</v>
      </c>
      <c r="D96" s="19">
        <v>74</v>
      </c>
      <c r="E96" s="19">
        <v>0</v>
      </c>
      <c r="F96" s="19">
        <v>1529</v>
      </c>
      <c r="G96" s="2">
        <f t="shared" si="9"/>
        <v>1007.25</v>
      </c>
      <c r="H96" s="2"/>
      <c r="I96" s="1">
        <f t="shared" si="7"/>
        <v>1.4375</v>
      </c>
      <c r="J96" s="2">
        <f t="shared" si="8"/>
        <v>46.75</v>
      </c>
      <c r="L96" s="1">
        <f t="shared" si="10"/>
        <v>6.8</v>
      </c>
      <c r="M96" s="2">
        <f t="shared" si="11"/>
        <v>286.25</v>
      </c>
      <c r="O96" s="1">
        <f t="shared" si="12"/>
        <v>10.25</v>
      </c>
      <c r="P96" s="2">
        <f t="shared" si="13"/>
        <v>482.94444444444446</v>
      </c>
    </row>
    <row r="97" spans="1:16" x14ac:dyDescent="0.45">
      <c r="B97" s="4">
        <v>44564</v>
      </c>
      <c r="C97" s="20">
        <v>14.75</v>
      </c>
      <c r="D97" s="19">
        <v>442</v>
      </c>
      <c r="E97" s="19">
        <v>2</v>
      </c>
      <c r="F97" s="19">
        <v>9965</v>
      </c>
      <c r="G97" s="2">
        <f t="shared" si="9"/>
        <v>2873.5</v>
      </c>
      <c r="H97" s="2"/>
      <c r="I97" s="1">
        <f t="shared" si="7"/>
        <v>4.25</v>
      </c>
      <c r="J97" s="2">
        <f t="shared" si="8"/>
        <v>129</v>
      </c>
      <c r="L97" s="1">
        <f t="shared" si="10"/>
        <v>5.0250000000000004</v>
      </c>
      <c r="M97" s="2">
        <f t="shared" si="11"/>
        <v>189.5</v>
      </c>
      <c r="O97" s="1">
        <f t="shared" si="12"/>
        <v>8.5902777777777786</v>
      </c>
      <c r="P97" s="2">
        <f t="shared" si="13"/>
        <v>354</v>
      </c>
    </row>
    <row r="98" spans="1:16" x14ac:dyDescent="0.45">
      <c r="B98" s="4">
        <v>44571</v>
      </c>
      <c r="C98" s="20">
        <v>18.5</v>
      </c>
      <c r="D98" s="19">
        <v>653</v>
      </c>
      <c r="E98" s="19">
        <v>2</v>
      </c>
      <c r="F98" s="19">
        <v>13136</v>
      </c>
      <c r="G98" s="2">
        <f t="shared" si="9"/>
        <v>6157.5</v>
      </c>
      <c r="H98" s="2"/>
      <c r="I98" s="1">
        <f t="shared" si="7"/>
        <v>8.875</v>
      </c>
      <c r="J98" s="2">
        <f t="shared" si="8"/>
        <v>292.25</v>
      </c>
      <c r="L98" s="1">
        <f t="shared" si="10"/>
        <v>4.7374999999999998</v>
      </c>
      <c r="M98" s="2">
        <f t="shared" si="11"/>
        <v>162.65</v>
      </c>
      <c r="O98" s="1">
        <f t="shared" si="12"/>
        <v>5.7222222222222223</v>
      </c>
      <c r="P98" s="2">
        <f t="shared" si="13"/>
        <v>218.36111111111111</v>
      </c>
    </row>
    <row r="99" spans="1:16" x14ac:dyDescent="0.45">
      <c r="B99" s="4">
        <v>44578</v>
      </c>
      <c r="C99" s="20">
        <v>22.25</v>
      </c>
      <c r="D99" s="19">
        <v>813</v>
      </c>
      <c r="E99" s="19">
        <v>2</v>
      </c>
      <c r="F99" s="19">
        <v>14833</v>
      </c>
      <c r="G99" s="2">
        <f t="shared" si="9"/>
        <v>9865.75</v>
      </c>
      <c r="H99" s="2"/>
      <c r="I99" s="1">
        <f t="shared" si="7"/>
        <v>14.4375</v>
      </c>
      <c r="J99" s="2">
        <f t="shared" si="8"/>
        <v>495.5</v>
      </c>
      <c r="L99" s="1">
        <f t="shared" si="10"/>
        <v>6.5625</v>
      </c>
      <c r="M99" s="2">
        <f t="shared" si="11"/>
        <v>219.55</v>
      </c>
      <c r="O99" s="1">
        <f t="shared" si="12"/>
        <v>6.416666666666667</v>
      </c>
      <c r="P99" s="2">
        <f t="shared" si="13"/>
        <v>220.11111111111111</v>
      </c>
    </row>
    <row r="100" spans="1:16" x14ac:dyDescent="0.45">
      <c r="B100" s="4">
        <v>44585</v>
      </c>
      <c r="C100" s="20">
        <v>18</v>
      </c>
      <c r="D100" s="19">
        <v>657</v>
      </c>
      <c r="E100" s="19">
        <v>2</v>
      </c>
      <c r="F100" s="19">
        <v>13263</v>
      </c>
      <c r="G100" s="2">
        <f t="shared" si="9"/>
        <v>12799.25</v>
      </c>
      <c r="H100" s="2"/>
      <c r="I100" s="1">
        <f t="shared" si="7"/>
        <v>18.375</v>
      </c>
      <c r="J100" s="2">
        <f t="shared" si="8"/>
        <v>641.25</v>
      </c>
      <c r="L100" s="1">
        <f t="shared" si="10"/>
        <v>9.4749999999999996</v>
      </c>
      <c r="M100" s="2">
        <f t="shared" si="11"/>
        <v>320.95</v>
      </c>
      <c r="O100" s="1">
        <f t="shared" si="12"/>
        <v>6.0069444444444446</v>
      </c>
      <c r="P100" s="2">
        <f t="shared" si="13"/>
        <v>202.33333333333334</v>
      </c>
    </row>
    <row r="101" spans="1:16" x14ac:dyDescent="0.45">
      <c r="B101" s="4">
        <v>44592</v>
      </c>
      <c r="C101" s="20">
        <v>21.75</v>
      </c>
      <c r="D101" s="19">
        <v>911</v>
      </c>
      <c r="E101" s="19">
        <v>2</v>
      </c>
      <c r="F101" s="19">
        <v>17058</v>
      </c>
      <c r="G101" s="2">
        <f t="shared" si="9"/>
        <v>14572.5</v>
      </c>
      <c r="H101" s="2"/>
      <c r="I101" s="1">
        <f t="shared" si="7"/>
        <v>20.125</v>
      </c>
      <c r="J101" s="2">
        <f t="shared" si="8"/>
        <v>758.5</v>
      </c>
      <c r="L101" s="1">
        <f t="shared" si="10"/>
        <v>13.2125</v>
      </c>
      <c r="M101" s="2">
        <f t="shared" si="11"/>
        <v>463.3</v>
      </c>
      <c r="O101" s="1">
        <f t="shared" si="12"/>
        <v>7.9375</v>
      </c>
      <c r="P101" s="2">
        <f t="shared" si="13"/>
        <v>275.83333333333331</v>
      </c>
    </row>
    <row r="102" spans="1:16" x14ac:dyDescent="0.45">
      <c r="B102" s="4">
        <v>44599</v>
      </c>
      <c r="C102" s="20">
        <v>25</v>
      </c>
      <c r="D102" s="19">
        <v>1060</v>
      </c>
      <c r="E102" s="19">
        <v>2</v>
      </c>
      <c r="F102" s="19">
        <v>16438</v>
      </c>
      <c r="G102" s="2">
        <f t="shared" si="9"/>
        <v>15398</v>
      </c>
      <c r="H102" s="2"/>
      <c r="I102" s="1">
        <f t="shared" si="7"/>
        <v>21.75</v>
      </c>
      <c r="J102" s="2">
        <f t="shared" si="8"/>
        <v>860.25</v>
      </c>
      <c r="L102" s="1">
        <f t="shared" si="10"/>
        <v>16.712499999999999</v>
      </c>
      <c r="M102" s="2">
        <f t="shared" si="11"/>
        <v>609.54999999999995</v>
      </c>
      <c r="O102" s="1">
        <f t="shared" si="12"/>
        <v>11.340277777777779</v>
      </c>
      <c r="P102" s="2">
        <f t="shared" si="13"/>
        <v>403.88888888888891</v>
      </c>
    </row>
    <row r="103" spans="1:16" x14ac:dyDescent="0.45">
      <c r="B103" s="4">
        <v>44606</v>
      </c>
      <c r="C103" s="20">
        <v>15.66</v>
      </c>
      <c r="D103" s="19">
        <v>669</v>
      </c>
      <c r="E103" s="19">
        <v>1</v>
      </c>
      <c r="F103" s="19">
        <v>12113</v>
      </c>
      <c r="G103" s="2">
        <f t="shared" si="9"/>
        <v>14718</v>
      </c>
      <c r="H103" s="2"/>
      <c r="I103" s="1">
        <f t="shared" si="7"/>
        <v>20.102499999999999</v>
      </c>
      <c r="J103" s="2">
        <f t="shared" si="8"/>
        <v>824.25</v>
      </c>
      <c r="L103" s="1">
        <f t="shared" si="10"/>
        <v>18.958000000000002</v>
      </c>
      <c r="M103" s="2">
        <f t="shared" si="11"/>
        <v>715.95</v>
      </c>
      <c r="O103" s="1">
        <f t="shared" si="12"/>
        <v>15.178055555555554</v>
      </c>
      <c r="P103" s="2">
        <f t="shared" si="13"/>
        <v>550.52777777777783</v>
      </c>
    </row>
    <row r="104" spans="1:16" x14ac:dyDescent="0.45">
      <c r="B104" s="4">
        <v>44613</v>
      </c>
      <c r="C104" s="20">
        <v>21.75</v>
      </c>
      <c r="D104" s="19">
        <v>967</v>
      </c>
      <c r="E104" s="19">
        <v>2</v>
      </c>
      <c r="F104" s="19">
        <v>17333</v>
      </c>
      <c r="G104" s="2">
        <f t="shared" si="9"/>
        <v>15735.5</v>
      </c>
      <c r="H104" s="2"/>
      <c r="I104" s="1">
        <f t="shared" si="7"/>
        <v>21.04</v>
      </c>
      <c r="J104" s="2">
        <f t="shared" si="8"/>
        <v>901.75</v>
      </c>
      <c r="L104" s="1">
        <f t="shared" si="10"/>
        <v>20.278500000000001</v>
      </c>
      <c r="M104" s="2">
        <f t="shared" si="11"/>
        <v>797.2</v>
      </c>
      <c r="O104" s="1">
        <f t="shared" si="12"/>
        <v>19.057499999999997</v>
      </c>
      <c r="P104" s="2">
        <f t="shared" si="13"/>
        <v>705.52777777777783</v>
      </c>
    </row>
    <row r="105" spans="1:16" x14ac:dyDescent="0.45">
      <c r="B105" s="4">
        <v>44620</v>
      </c>
      <c r="C105" s="20">
        <v>23</v>
      </c>
      <c r="D105" s="19">
        <v>975</v>
      </c>
      <c r="E105" s="19">
        <v>2</v>
      </c>
      <c r="F105" s="19">
        <v>18436</v>
      </c>
      <c r="G105" s="2">
        <f t="shared" si="9"/>
        <v>16080</v>
      </c>
      <c r="H105" s="2"/>
      <c r="I105" s="1">
        <f t="shared" si="7"/>
        <v>21.352499999999999</v>
      </c>
      <c r="J105" s="2">
        <f t="shared" si="8"/>
        <v>917.75</v>
      </c>
      <c r="L105" s="1">
        <f t="shared" si="10"/>
        <v>20.874000000000002</v>
      </c>
      <c r="M105" s="2">
        <f t="shared" si="11"/>
        <v>852.5</v>
      </c>
      <c r="O105" s="1">
        <f t="shared" si="12"/>
        <v>20.388333333333335</v>
      </c>
      <c r="P105" s="2">
        <f t="shared" si="13"/>
        <v>793.55555555555554</v>
      </c>
    </row>
    <row r="106" spans="1:16" x14ac:dyDescent="0.45">
      <c r="B106" s="4">
        <v>44627</v>
      </c>
      <c r="C106" s="20">
        <v>19.5</v>
      </c>
      <c r="D106" s="19">
        <v>870</v>
      </c>
      <c r="E106" s="19">
        <v>2</v>
      </c>
      <c r="F106" s="19">
        <v>16006</v>
      </c>
      <c r="G106" s="2">
        <f t="shared" si="9"/>
        <v>15972</v>
      </c>
      <c r="H106" s="2"/>
      <c r="I106" s="1">
        <f t="shared" si="7"/>
        <v>19.977499999999999</v>
      </c>
      <c r="J106" s="2">
        <f t="shared" si="8"/>
        <v>870.25</v>
      </c>
      <c r="L106" s="1">
        <f t="shared" si="10"/>
        <v>20.8445</v>
      </c>
      <c r="M106" s="2">
        <f t="shared" si="11"/>
        <v>874.85</v>
      </c>
      <c r="O106" s="1">
        <f t="shared" si="12"/>
        <v>20.913611111111109</v>
      </c>
      <c r="P106" s="2">
        <f t="shared" si="13"/>
        <v>840.72222222222217</v>
      </c>
    </row>
    <row r="107" spans="1:16" x14ac:dyDescent="0.45">
      <c r="B107" s="4">
        <v>44634</v>
      </c>
      <c r="C107" s="20">
        <v>19.25</v>
      </c>
      <c r="D107" s="19">
        <v>983</v>
      </c>
      <c r="E107" s="19">
        <v>2</v>
      </c>
      <c r="F107" s="19">
        <v>16466</v>
      </c>
      <c r="G107" s="2">
        <f t="shared" si="9"/>
        <v>17060.25</v>
      </c>
      <c r="H107" s="2"/>
      <c r="I107" s="1">
        <f t="shared" si="7"/>
        <v>20.875</v>
      </c>
      <c r="J107" s="2">
        <f t="shared" si="8"/>
        <v>948.75</v>
      </c>
      <c r="L107" s="1">
        <f t="shared" si="10"/>
        <v>20.669499999999999</v>
      </c>
      <c r="M107" s="2">
        <f t="shared" si="11"/>
        <v>892.55</v>
      </c>
      <c r="O107" s="1">
        <f t="shared" si="12"/>
        <v>20.522222222222222</v>
      </c>
      <c r="P107" s="2">
        <f t="shared" si="13"/>
        <v>857.05555555555554</v>
      </c>
    </row>
    <row r="108" spans="1:16" x14ac:dyDescent="0.45">
      <c r="B108" s="4">
        <v>44641</v>
      </c>
      <c r="C108" s="20">
        <v>21.5</v>
      </c>
      <c r="D108" s="19">
        <v>1047</v>
      </c>
      <c r="E108" s="19">
        <v>0</v>
      </c>
      <c r="F108" s="19">
        <v>18096</v>
      </c>
      <c r="G108" s="2">
        <f t="shared" si="9"/>
        <v>17251</v>
      </c>
      <c r="H108" s="2"/>
      <c r="I108" s="1">
        <f t="shared" si="7"/>
        <v>20.8125</v>
      </c>
      <c r="J108" s="2">
        <f t="shared" si="8"/>
        <v>968.75</v>
      </c>
      <c r="L108" s="1">
        <f t="shared" si="10"/>
        <v>20.811500000000002</v>
      </c>
      <c r="M108" s="2">
        <f t="shared" si="11"/>
        <v>921.45</v>
      </c>
      <c r="O108" s="1">
        <f t="shared" si="12"/>
        <v>21.172499999999999</v>
      </c>
      <c r="P108" s="2">
        <f t="shared" si="13"/>
        <v>918.88888888888891</v>
      </c>
    </row>
    <row r="109" spans="1:16" x14ac:dyDescent="0.45">
      <c r="A109" t="s">
        <v>171</v>
      </c>
      <c r="B109" s="4">
        <v>44648</v>
      </c>
      <c r="C109" s="20">
        <v>13.75</v>
      </c>
      <c r="D109" s="19">
        <v>478</v>
      </c>
      <c r="E109" s="19">
        <v>0</v>
      </c>
      <c r="F109" s="19">
        <v>7859</v>
      </c>
      <c r="G109" s="2">
        <f t="shared" si="9"/>
        <v>14606.75</v>
      </c>
      <c r="H109" s="2"/>
      <c r="I109" s="1">
        <f t="shared" si="7"/>
        <v>18.5</v>
      </c>
      <c r="J109" s="2">
        <f t="shared" si="8"/>
        <v>844.5</v>
      </c>
      <c r="L109" s="1">
        <f t="shared" si="10"/>
        <v>20.3035</v>
      </c>
      <c r="M109" s="2">
        <f t="shared" si="11"/>
        <v>910</v>
      </c>
      <c r="O109" s="1">
        <f t="shared" si="12"/>
        <v>20.767222222222223</v>
      </c>
      <c r="P109" s="2">
        <f t="shared" si="13"/>
        <v>912.25</v>
      </c>
    </row>
    <row r="110" spans="1:16" x14ac:dyDescent="0.45">
      <c r="A110" t="s">
        <v>140</v>
      </c>
      <c r="B110" s="4">
        <v>44655</v>
      </c>
      <c r="C110" s="20">
        <v>14</v>
      </c>
      <c r="D110" s="19">
        <v>734</v>
      </c>
      <c r="E110" s="19">
        <v>0</v>
      </c>
      <c r="F110" s="19">
        <v>11088</v>
      </c>
      <c r="G110" s="2">
        <f t="shared" si="9"/>
        <v>13377.25</v>
      </c>
      <c r="H110" s="2"/>
      <c r="I110" s="1">
        <f t="shared" si="7"/>
        <v>17.125</v>
      </c>
      <c r="J110" s="2">
        <f t="shared" si="8"/>
        <v>810.5</v>
      </c>
      <c r="L110" s="1">
        <f t="shared" si="10"/>
        <v>19.457999999999998</v>
      </c>
      <c r="M110" s="2">
        <f t="shared" si="11"/>
        <v>888.55</v>
      </c>
      <c r="O110" s="1">
        <f t="shared" si="12"/>
        <v>19.334166666666665</v>
      </c>
      <c r="P110" s="2">
        <f t="shared" si="13"/>
        <v>863.44444444444446</v>
      </c>
    </row>
    <row r="111" spans="1:16" x14ac:dyDescent="0.45">
      <c r="B111" s="4">
        <v>44662</v>
      </c>
      <c r="C111" s="20">
        <v>24.5</v>
      </c>
      <c r="D111" s="19">
        <v>1211</v>
      </c>
      <c r="E111" s="19">
        <v>0</v>
      </c>
      <c r="F111" s="19">
        <v>18844</v>
      </c>
      <c r="G111" s="2">
        <f t="shared" si="9"/>
        <v>13971.75</v>
      </c>
      <c r="H111" s="2"/>
      <c r="I111" s="1">
        <f t="shared" si="7"/>
        <v>18.4375</v>
      </c>
      <c r="J111" s="2">
        <f t="shared" si="8"/>
        <v>867.5</v>
      </c>
      <c r="L111" s="1">
        <f t="shared" si="10"/>
        <v>19.149999999999999</v>
      </c>
      <c r="M111" s="2">
        <f t="shared" si="11"/>
        <v>888</v>
      </c>
      <c r="O111" s="1">
        <f t="shared" si="12"/>
        <v>20.222222222222221</v>
      </c>
      <c r="P111" s="2">
        <f t="shared" si="13"/>
        <v>916.58333333333337</v>
      </c>
    </row>
    <row r="112" spans="1:16" x14ac:dyDescent="0.45">
      <c r="B112" s="4">
        <v>44669</v>
      </c>
      <c r="C112" s="20">
        <v>16.5</v>
      </c>
      <c r="D112" s="19">
        <v>705</v>
      </c>
      <c r="E112" s="19">
        <v>0</v>
      </c>
      <c r="F112" s="19">
        <v>12160</v>
      </c>
      <c r="G112" s="2">
        <f t="shared" si="9"/>
        <v>12487.75</v>
      </c>
      <c r="H112" s="2"/>
      <c r="I112" s="1">
        <f t="shared" si="7"/>
        <v>17.1875</v>
      </c>
      <c r="J112" s="2">
        <f t="shared" si="8"/>
        <v>782</v>
      </c>
      <c r="L112" s="1">
        <f t="shared" si="10"/>
        <v>18.412500000000001</v>
      </c>
      <c r="M112" s="2">
        <f t="shared" si="11"/>
        <v>854.65</v>
      </c>
      <c r="O112" s="1">
        <f t="shared" si="12"/>
        <v>19.611111111111111</v>
      </c>
      <c r="P112" s="2">
        <f t="shared" si="13"/>
        <v>896.22222222222217</v>
      </c>
    </row>
    <row r="113" spans="1:16" x14ac:dyDescent="0.45">
      <c r="B113" s="4">
        <v>44676</v>
      </c>
      <c r="C113" s="20">
        <v>26.25</v>
      </c>
      <c r="D113" s="19">
        <v>1414</v>
      </c>
      <c r="E113" s="19">
        <v>0</v>
      </c>
      <c r="F113" s="19">
        <v>21486</v>
      </c>
      <c r="G113" s="2">
        <f t="shared" si="9"/>
        <v>15894.5</v>
      </c>
      <c r="H113" s="2"/>
      <c r="I113" s="1">
        <f t="shared" si="7"/>
        <v>20.3125</v>
      </c>
      <c r="J113" s="2">
        <f t="shared" si="8"/>
        <v>1016</v>
      </c>
      <c r="L113" s="1">
        <f t="shared" si="10"/>
        <v>18.3125</v>
      </c>
      <c r="M113" s="2">
        <f t="shared" si="11"/>
        <v>864.1</v>
      </c>
      <c r="O113" s="1">
        <f t="shared" si="12"/>
        <v>18.8125</v>
      </c>
      <c r="P113" s="2">
        <f t="shared" si="13"/>
        <v>886.27777777777783</v>
      </c>
    </row>
    <row r="114" spans="1:16" x14ac:dyDescent="0.45">
      <c r="B114" s="4">
        <v>44683</v>
      </c>
      <c r="C114" s="20">
        <v>15</v>
      </c>
      <c r="D114" s="19">
        <v>657</v>
      </c>
      <c r="E114" s="19">
        <v>0</v>
      </c>
      <c r="F114" s="19">
        <v>11630</v>
      </c>
      <c r="G114" s="2">
        <f t="shared" si="9"/>
        <v>16030</v>
      </c>
      <c r="H114" s="2"/>
      <c r="I114" s="1">
        <f t="shared" si="7"/>
        <v>20.5625</v>
      </c>
      <c r="J114" s="2">
        <f t="shared" si="8"/>
        <v>996.75</v>
      </c>
      <c r="L114" s="1">
        <f t="shared" si="10"/>
        <v>18.725000000000001</v>
      </c>
      <c r="M114" s="2">
        <f t="shared" si="11"/>
        <v>894.55</v>
      </c>
      <c r="O114" s="1">
        <f t="shared" si="12"/>
        <v>18.666666666666668</v>
      </c>
      <c r="P114" s="2">
        <f t="shared" si="13"/>
        <v>893.75</v>
      </c>
    </row>
    <row r="115" spans="1:16" x14ac:dyDescent="0.45">
      <c r="B115" s="4">
        <v>44690</v>
      </c>
      <c r="C115" s="20">
        <v>23.66</v>
      </c>
      <c r="D115" s="19">
        <v>1097</v>
      </c>
      <c r="E115" s="19">
        <v>1</v>
      </c>
      <c r="F115" s="19">
        <v>17024</v>
      </c>
      <c r="G115" s="2">
        <f t="shared" si="9"/>
        <v>15575</v>
      </c>
      <c r="H115" s="2"/>
      <c r="I115" s="1">
        <f t="shared" si="7"/>
        <v>20.352499999999999</v>
      </c>
      <c r="J115" s="2">
        <f t="shared" si="8"/>
        <v>968.25</v>
      </c>
      <c r="L115" s="1">
        <f t="shared" si="10"/>
        <v>19.3705</v>
      </c>
      <c r="M115" s="2">
        <f t="shared" si="11"/>
        <v>926.1</v>
      </c>
      <c r="O115" s="1">
        <f t="shared" si="12"/>
        <v>18.698888888888888</v>
      </c>
      <c r="P115" s="2">
        <f t="shared" si="13"/>
        <v>879.27777777777783</v>
      </c>
    </row>
    <row r="116" spans="1:16" x14ac:dyDescent="0.45">
      <c r="A116" t="s">
        <v>244</v>
      </c>
      <c r="B116" s="4">
        <v>44697</v>
      </c>
      <c r="C116" s="20">
        <v>9</v>
      </c>
      <c r="D116" s="19">
        <v>266</v>
      </c>
      <c r="E116" s="19">
        <v>0</v>
      </c>
      <c r="F116" s="19">
        <v>6041</v>
      </c>
      <c r="G116" s="2">
        <f t="shared" si="9"/>
        <v>14045.25</v>
      </c>
      <c r="H116" s="2"/>
      <c r="I116" s="1">
        <f t="shared" si="7"/>
        <v>18.477499999999999</v>
      </c>
      <c r="J116" s="2">
        <f t="shared" si="8"/>
        <v>858.5</v>
      </c>
      <c r="L116" s="1">
        <f t="shared" si="10"/>
        <v>19.378499999999999</v>
      </c>
      <c r="M116" s="2">
        <f t="shared" si="11"/>
        <v>924.3</v>
      </c>
      <c r="O116" s="1">
        <f t="shared" si="12"/>
        <v>17.883888888888887</v>
      </c>
      <c r="P116" s="2">
        <f t="shared" si="13"/>
        <v>828.88888888888891</v>
      </c>
    </row>
    <row r="117" spans="1:16" x14ac:dyDescent="0.45">
      <c r="B117" s="4">
        <v>44704</v>
      </c>
      <c r="C117" s="20">
        <v>21</v>
      </c>
      <c r="D117" s="19">
        <v>1140</v>
      </c>
      <c r="E117" s="19">
        <v>0</v>
      </c>
      <c r="F117" s="19">
        <v>17329</v>
      </c>
      <c r="G117" s="2">
        <f t="shared" si="9"/>
        <v>13006</v>
      </c>
      <c r="H117" s="2"/>
      <c r="I117" s="1">
        <f t="shared" si="7"/>
        <v>17.164999999999999</v>
      </c>
      <c r="J117" s="2">
        <f t="shared" si="8"/>
        <v>790</v>
      </c>
      <c r="L117" s="1">
        <f t="shared" si="10"/>
        <v>19.374000000000002</v>
      </c>
      <c r="M117" s="2">
        <f t="shared" si="11"/>
        <v>925.9</v>
      </c>
      <c r="O117" s="1">
        <f t="shared" si="12"/>
        <v>18.9925</v>
      </c>
      <c r="P117" s="2">
        <f t="shared" si="13"/>
        <v>923.33333333333337</v>
      </c>
    </row>
    <row r="118" spans="1:16" x14ac:dyDescent="0.45">
      <c r="B118" s="4">
        <v>44711</v>
      </c>
      <c r="C118" s="20">
        <v>26</v>
      </c>
      <c r="D118" s="19">
        <v>1345</v>
      </c>
      <c r="E118" s="19">
        <v>0</v>
      </c>
      <c r="F118" s="19">
        <v>19889</v>
      </c>
      <c r="G118" s="2">
        <f t="shared" si="9"/>
        <v>15070.75</v>
      </c>
      <c r="H118" s="2"/>
      <c r="I118" s="1">
        <f t="shared" si="7"/>
        <v>19.914999999999999</v>
      </c>
      <c r="J118" s="2">
        <f t="shared" si="8"/>
        <v>962</v>
      </c>
      <c r="L118" s="1">
        <f t="shared" si="10"/>
        <v>19.294499999999999</v>
      </c>
      <c r="M118" s="2">
        <f t="shared" si="11"/>
        <v>915.1</v>
      </c>
      <c r="O118" s="1">
        <f t="shared" si="12"/>
        <v>20.378888888888888</v>
      </c>
      <c r="P118" s="2">
        <f t="shared" si="13"/>
        <v>977.86111111111109</v>
      </c>
    </row>
    <row r="119" spans="1:16" x14ac:dyDescent="0.45">
      <c r="B119" s="4">
        <v>44718</v>
      </c>
      <c r="C119" s="20">
        <v>16.5</v>
      </c>
      <c r="D119" s="19">
        <v>709</v>
      </c>
      <c r="E119" s="19">
        <v>0</v>
      </c>
      <c r="F119" s="19">
        <v>11867</v>
      </c>
      <c r="G119" s="2">
        <f t="shared" si="9"/>
        <v>13781.5</v>
      </c>
      <c r="H119" s="2"/>
      <c r="I119" s="1">
        <f t="shared" si="7"/>
        <v>18.125</v>
      </c>
      <c r="J119" s="2">
        <f t="shared" si="8"/>
        <v>865</v>
      </c>
      <c r="L119" s="1">
        <f t="shared" si="10"/>
        <v>18.806999999999999</v>
      </c>
      <c r="M119" s="2">
        <f t="shared" si="11"/>
        <v>888.75</v>
      </c>
      <c r="O119" s="1">
        <f t="shared" si="12"/>
        <v>19.209722222222222</v>
      </c>
      <c r="P119" s="2">
        <f t="shared" si="13"/>
        <v>912.44444444444446</v>
      </c>
    </row>
    <row r="120" spans="1:16" x14ac:dyDescent="0.45">
      <c r="B120" s="4">
        <v>44725</v>
      </c>
      <c r="C120" s="20">
        <v>25.33</v>
      </c>
      <c r="D120" s="19">
        <v>1228</v>
      </c>
      <c r="E120" s="19">
        <v>0</v>
      </c>
      <c r="F120" s="19">
        <v>18920</v>
      </c>
      <c r="G120" s="2">
        <f t="shared" si="9"/>
        <v>17001.25</v>
      </c>
      <c r="H120" s="2"/>
      <c r="I120" s="1">
        <f t="shared" si="7"/>
        <v>22.2075</v>
      </c>
      <c r="J120" s="2">
        <f t="shared" si="8"/>
        <v>1105.5</v>
      </c>
      <c r="L120" s="1">
        <f t="shared" si="10"/>
        <v>19.178000000000001</v>
      </c>
      <c r="M120" s="2">
        <f t="shared" si="11"/>
        <v>916.2</v>
      </c>
      <c r="O120" s="1">
        <f t="shared" si="12"/>
        <v>20.063611111111111</v>
      </c>
      <c r="P120" s="2">
        <f t="shared" si="13"/>
        <v>974</v>
      </c>
    </row>
    <row r="121" spans="1:16" x14ac:dyDescent="0.45">
      <c r="B121" s="4">
        <v>44732</v>
      </c>
      <c r="C121" s="20">
        <v>5.33</v>
      </c>
      <c r="D121" s="19">
        <v>217</v>
      </c>
      <c r="E121" s="19">
        <v>0</v>
      </c>
      <c r="F121" s="19">
        <v>4005</v>
      </c>
      <c r="G121" s="2">
        <f t="shared" si="9"/>
        <v>13670.25</v>
      </c>
      <c r="H121" s="2"/>
      <c r="I121" s="1">
        <f t="shared" si="7"/>
        <v>18.29</v>
      </c>
      <c r="J121" s="2">
        <f t="shared" si="8"/>
        <v>874.75</v>
      </c>
      <c r="L121" s="1">
        <f t="shared" si="10"/>
        <v>19.140499999999999</v>
      </c>
      <c r="M121" s="2">
        <f t="shared" si="11"/>
        <v>919.45</v>
      </c>
      <c r="O121" s="1">
        <f t="shared" si="12"/>
        <v>18.169722222222223</v>
      </c>
      <c r="P121" s="2">
        <f t="shared" si="13"/>
        <v>844.75</v>
      </c>
    </row>
    <row r="122" spans="1:16" x14ac:dyDescent="0.45">
      <c r="B122" s="4">
        <v>44739</v>
      </c>
      <c r="C122" s="20">
        <v>21.25</v>
      </c>
      <c r="D122" s="19">
        <v>959</v>
      </c>
      <c r="E122" s="19">
        <v>1</v>
      </c>
      <c r="F122" s="19">
        <v>16601</v>
      </c>
      <c r="G122" s="2">
        <f t="shared" si="9"/>
        <v>12848.25</v>
      </c>
      <c r="H122" s="2"/>
      <c r="I122" s="1">
        <f t="shared" si="7"/>
        <v>17.102499999999999</v>
      </c>
      <c r="J122" s="2">
        <f t="shared" si="8"/>
        <v>778.25</v>
      </c>
      <c r="L122" s="1">
        <f t="shared" si="10"/>
        <v>19.128</v>
      </c>
      <c r="M122" s="2">
        <f t="shared" si="11"/>
        <v>917.1</v>
      </c>
      <c r="O122" s="1">
        <f t="shared" si="12"/>
        <v>18.949444444444442</v>
      </c>
      <c r="P122" s="2">
        <f t="shared" si="13"/>
        <v>892.11111111111109</v>
      </c>
    </row>
    <row r="123" spans="1:16" x14ac:dyDescent="0.45">
      <c r="A123" t="s">
        <v>36</v>
      </c>
      <c r="B123" s="4">
        <v>44746</v>
      </c>
      <c r="C123" s="20">
        <v>18.75</v>
      </c>
      <c r="D123" s="19">
        <v>842</v>
      </c>
      <c r="E123" s="19">
        <v>1</v>
      </c>
      <c r="F123" s="19">
        <v>12979</v>
      </c>
      <c r="G123" s="2">
        <f t="shared" si="9"/>
        <v>13126.25</v>
      </c>
      <c r="H123" s="2"/>
      <c r="I123" s="1">
        <f t="shared" si="7"/>
        <v>17.664999999999999</v>
      </c>
      <c r="J123" s="2">
        <f t="shared" si="8"/>
        <v>811.5</v>
      </c>
      <c r="L123" s="1">
        <f t="shared" si="10"/>
        <v>18.678000000000001</v>
      </c>
      <c r="M123" s="2">
        <f t="shared" si="11"/>
        <v>887</v>
      </c>
      <c r="O123" s="1">
        <f t="shared" si="12"/>
        <v>17.668333333333333</v>
      </c>
      <c r="P123" s="2">
        <f t="shared" si="13"/>
        <v>834.61111111111109</v>
      </c>
    </row>
    <row r="124" spans="1:16" x14ac:dyDescent="0.45">
      <c r="B124" s="4">
        <v>44753</v>
      </c>
      <c r="C124" s="20">
        <v>23.5</v>
      </c>
      <c r="D124" s="19">
        <v>1186</v>
      </c>
      <c r="E124" s="19">
        <v>1</v>
      </c>
      <c r="F124" s="19">
        <v>17368</v>
      </c>
      <c r="G124" s="2">
        <f t="shared" si="9"/>
        <v>12738.25</v>
      </c>
      <c r="H124" s="2"/>
      <c r="I124" s="1">
        <f t="shared" si="7"/>
        <v>17.2075</v>
      </c>
      <c r="J124" s="2">
        <f t="shared" si="8"/>
        <v>801</v>
      </c>
      <c r="L124" s="1">
        <f t="shared" si="10"/>
        <v>18.494499999999999</v>
      </c>
      <c r="M124" s="2">
        <f t="shared" si="11"/>
        <v>874.2</v>
      </c>
      <c r="O124" s="1">
        <f t="shared" si="12"/>
        <v>20.047777777777778</v>
      </c>
      <c r="P124" s="2">
        <f t="shared" si="13"/>
        <v>987.33333333333337</v>
      </c>
    </row>
    <row r="125" spans="1:16" x14ac:dyDescent="0.45">
      <c r="B125" s="4">
        <v>44760</v>
      </c>
      <c r="C125" s="20">
        <v>12.75</v>
      </c>
      <c r="D125" s="19">
        <v>484</v>
      </c>
      <c r="E125" s="19">
        <v>2</v>
      </c>
      <c r="F125" s="19">
        <v>7327</v>
      </c>
      <c r="G125" s="2">
        <f t="shared" si="9"/>
        <v>13568.75</v>
      </c>
      <c r="H125" s="2"/>
      <c r="I125" s="1">
        <f t="shared" si="7"/>
        <v>19.0625</v>
      </c>
      <c r="J125" s="2">
        <f t="shared" si="8"/>
        <v>867.75</v>
      </c>
      <c r="L125" s="1">
        <f t="shared" si="10"/>
        <v>17.865500000000001</v>
      </c>
      <c r="M125" s="2">
        <f t="shared" si="11"/>
        <v>826.65</v>
      </c>
      <c r="O125" s="1">
        <f t="shared" si="12"/>
        <v>19.531388888888888</v>
      </c>
      <c r="P125" s="2">
        <f t="shared" si="13"/>
        <v>927.61111111111109</v>
      </c>
    </row>
    <row r="126" spans="1:16" x14ac:dyDescent="0.45">
      <c r="A126" t="s">
        <v>245</v>
      </c>
      <c r="B126" s="4">
        <v>44767</v>
      </c>
      <c r="C126" s="20">
        <v>11</v>
      </c>
      <c r="D126" s="19">
        <v>308</v>
      </c>
      <c r="E126" s="19">
        <v>0</v>
      </c>
      <c r="F126" s="19">
        <v>5332</v>
      </c>
      <c r="G126" s="2">
        <f t="shared" si="9"/>
        <v>10751.5</v>
      </c>
      <c r="H126" s="2"/>
      <c r="I126" s="1">
        <f t="shared" si="7"/>
        <v>16.5</v>
      </c>
      <c r="J126" s="2">
        <f t="shared" si="8"/>
        <v>705</v>
      </c>
      <c r="L126" s="1">
        <f t="shared" si="10"/>
        <v>17.5075</v>
      </c>
      <c r="M126" s="2">
        <f t="shared" si="11"/>
        <v>792.7</v>
      </c>
      <c r="O126" s="1">
        <f t="shared" si="12"/>
        <v>17.487222222222222</v>
      </c>
      <c r="P126" s="2">
        <f t="shared" si="13"/>
        <v>793.52777777777783</v>
      </c>
    </row>
    <row r="127" spans="1:16" x14ac:dyDescent="0.45">
      <c r="B127" s="4">
        <v>44774</v>
      </c>
      <c r="C127" s="20">
        <v>12.66</v>
      </c>
      <c r="D127" s="19">
        <v>603</v>
      </c>
      <c r="E127" s="19">
        <v>0</v>
      </c>
      <c r="F127" s="19">
        <v>9440</v>
      </c>
      <c r="G127" s="2">
        <f t="shared" si="9"/>
        <v>9866.75</v>
      </c>
      <c r="H127" s="2"/>
      <c r="I127" s="1">
        <f t="shared" si="7"/>
        <v>14.977499999999999</v>
      </c>
      <c r="J127" s="2">
        <f t="shared" si="8"/>
        <v>645.25</v>
      </c>
      <c r="L127" s="1">
        <f t="shared" si="10"/>
        <v>17.082500000000003</v>
      </c>
      <c r="M127" s="2">
        <f t="shared" si="11"/>
        <v>766.1</v>
      </c>
      <c r="O127" s="1">
        <f t="shared" si="12"/>
        <v>17.447499999999998</v>
      </c>
      <c r="P127" s="2">
        <f t="shared" si="13"/>
        <v>797.83333333333337</v>
      </c>
    </row>
    <row r="128" spans="1:16" x14ac:dyDescent="0.45">
      <c r="B128" s="4">
        <v>44781</v>
      </c>
      <c r="C128" s="20">
        <v>17.5</v>
      </c>
      <c r="D128" s="19">
        <v>860</v>
      </c>
      <c r="E128" s="19">
        <v>0</v>
      </c>
      <c r="F128" s="19">
        <v>14122</v>
      </c>
      <c r="G128" s="2">
        <f t="shared" si="9"/>
        <v>9055.25</v>
      </c>
      <c r="H128" s="2"/>
      <c r="I128" s="1">
        <f t="shared" si="7"/>
        <v>13.477499999999999</v>
      </c>
      <c r="J128" s="2">
        <f t="shared" si="8"/>
        <v>563.75</v>
      </c>
      <c r="L128" s="1">
        <f t="shared" si="10"/>
        <v>16.244999999999997</v>
      </c>
      <c r="M128" s="2">
        <f t="shared" si="11"/>
        <v>716.55</v>
      </c>
      <c r="O128" s="1">
        <f t="shared" si="12"/>
        <v>15.228055555555557</v>
      </c>
      <c r="P128" s="2">
        <f t="shared" si="13"/>
        <v>676.58333333333337</v>
      </c>
    </row>
    <row r="129" spans="1:16" x14ac:dyDescent="0.45">
      <c r="B129" s="4">
        <v>44788</v>
      </c>
      <c r="C129" s="20">
        <v>17.329999999999998</v>
      </c>
      <c r="D129" s="19">
        <v>710</v>
      </c>
      <c r="E129" s="19">
        <v>0</v>
      </c>
      <c r="F129" s="19">
        <v>13133</v>
      </c>
      <c r="G129" s="2">
        <f t="shared" si="9"/>
        <v>10506.75</v>
      </c>
      <c r="H129" s="2"/>
      <c r="I129" s="1">
        <f t="shared" si="7"/>
        <v>14.622499999999999</v>
      </c>
      <c r="J129" s="2">
        <f t="shared" si="8"/>
        <v>620.25</v>
      </c>
      <c r="L129" s="1">
        <f t="shared" si="10"/>
        <v>15.728</v>
      </c>
      <c r="M129" s="2">
        <f t="shared" si="11"/>
        <v>680.4</v>
      </c>
      <c r="O129" s="1">
        <f t="shared" si="12"/>
        <v>17.786388888888887</v>
      </c>
      <c r="P129" s="2">
        <f t="shared" si="13"/>
        <v>793.69444444444446</v>
      </c>
    </row>
    <row r="130" spans="1:16" x14ac:dyDescent="0.45">
      <c r="B130" s="4">
        <v>44795</v>
      </c>
      <c r="C130" s="20">
        <v>19.75</v>
      </c>
      <c r="D130" s="19">
        <v>935</v>
      </c>
      <c r="E130" s="19">
        <v>0</v>
      </c>
      <c r="F130" s="19">
        <v>15673</v>
      </c>
      <c r="G130" s="2">
        <f t="shared" si="9"/>
        <v>13092</v>
      </c>
      <c r="H130" s="2"/>
      <c r="I130" s="1">
        <f t="shared" si="7"/>
        <v>16.809999999999999</v>
      </c>
      <c r="J130" s="2">
        <f t="shared" si="8"/>
        <v>777</v>
      </c>
      <c r="L130" s="1">
        <f t="shared" si="10"/>
        <v>15.277499999999998</v>
      </c>
      <c r="M130" s="2">
        <f t="shared" si="11"/>
        <v>662.25</v>
      </c>
      <c r="O130" s="1">
        <f t="shared" si="12"/>
        <v>16.765277777777776</v>
      </c>
      <c r="P130" s="2">
        <f t="shared" si="13"/>
        <v>745.25</v>
      </c>
    </row>
    <row r="131" spans="1:16" x14ac:dyDescent="0.45">
      <c r="B131" s="4">
        <v>44802</v>
      </c>
      <c r="C131" s="20">
        <v>18.25</v>
      </c>
      <c r="D131" s="19">
        <v>799</v>
      </c>
      <c r="E131" s="19">
        <v>0</v>
      </c>
      <c r="F131" s="19">
        <v>13548</v>
      </c>
      <c r="G131" s="2">
        <f t="shared" si="9"/>
        <v>14119</v>
      </c>
      <c r="H131" s="2"/>
      <c r="I131" s="1">
        <f t="shared" si="7"/>
        <v>18.2075</v>
      </c>
      <c r="J131" s="2">
        <f t="shared" si="8"/>
        <v>826</v>
      </c>
      <c r="L131" s="1">
        <f t="shared" si="10"/>
        <v>15.619</v>
      </c>
      <c r="M131" s="2">
        <f t="shared" si="11"/>
        <v>686.45</v>
      </c>
      <c r="O131" s="1">
        <f t="shared" si="12"/>
        <v>16.285833333333333</v>
      </c>
      <c r="P131" s="2">
        <f t="shared" si="13"/>
        <v>721.61111111111109</v>
      </c>
    </row>
    <row r="132" spans="1:16" x14ac:dyDescent="0.45">
      <c r="B132" s="4">
        <v>44809</v>
      </c>
      <c r="C132" s="20">
        <v>21.75</v>
      </c>
      <c r="D132" s="19">
        <v>1040</v>
      </c>
      <c r="E132" s="19">
        <v>0</v>
      </c>
      <c r="F132" s="19">
        <v>15406</v>
      </c>
      <c r="G132" s="2">
        <f t="shared" si="9"/>
        <v>14440</v>
      </c>
      <c r="H132" s="2"/>
      <c r="I132" s="1">
        <f t="shared" si="7"/>
        <v>19.27</v>
      </c>
      <c r="J132" s="2">
        <f t="shared" si="8"/>
        <v>871</v>
      </c>
      <c r="L132" s="1">
        <f t="shared" si="10"/>
        <v>16.477499999999999</v>
      </c>
      <c r="M132" s="2">
        <f t="shared" si="11"/>
        <v>731.6</v>
      </c>
      <c r="O132" s="1">
        <f t="shared" si="12"/>
        <v>14.702222222222222</v>
      </c>
      <c r="P132" s="2">
        <f t="shared" si="13"/>
        <v>617.47222222222217</v>
      </c>
    </row>
    <row r="133" spans="1:16" x14ac:dyDescent="0.45">
      <c r="B133" s="4">
        <v>44816</v>
      </c>
      <c r="C133" s="20">
        <v>21.5</v>
      </c>
      <c r="D133" s="19">
        <v>1159</v>
      </c>
      <c r="E133" s="19">
        <v>0</v>
      </c>
      <c r="F133" s="19">
        <v>15396</v>
      </c>
      <c r="G133" s="2">
        <f t="shared" si="9"/>
        <v>15005.75</v>
      </c>
      <c r="H133" s="2"/>
      <c r="I133" s="1">
        <f t="shared" ref="I133:I196" si="14">AVERAGE(C130:C133)</f>
        <v>20.3125</v>
      </c>
      <c r="J133" s="2">
        <f t="shared" ref="J133:J196" si="15">AVERAGE(D130:D133)</f>
        <v>983.25</v>
      </c>
      <c r="L133" s="1">
        <f t="shared" si="10"/>
        <v>17.8445</v>
      </c>
      <c r="M133" s="2">
        <f t="shared" si="11"/>
        <v>815.5</v>
      </c>
      <c r="O133" s="1">
        <f t="shared" si="12"/>
        <v>15.750555555555556</v>
      </c>
      <c r="P133" s="2">
        <f t="shared" si="13"/>
        <v>688.08333333333337</v>
      </c>
    </row>
    <row r="134" spans="1:16" x14ac:dyDescent="0.45">
      <c r="B134" s="4">
        <v>44823</v>
      </c>
      <c r="C134" s="20">
        <v>16.75</v>
      </c>
      <c r="D134" s="19">
        <v>720</v>
      </c>
      <c r="E134" s="19">
        <v>0</v>
      </c>
      <c r="F134" s="19">
        <v>12643</v>
      </c>
      <c r="G134" s="2">
        <f t="shared" ref="G134:G197" si="16">AVERAGE(F131:F134)</f>
        <v>14248.25</v>
      </c>
      <c r="H134" s="2"/>
      <c r="I134" s="1">
        <f t="shared" si="14"/>
        <v>19.5625</v>
      </c>
      <c r="J134" s="2">
        <f t="shared" si="15"/>
        <v>929.5</v>
      </c>
      <c r="L134" s="1">
        <f t="shared" si="10"/>
        <v>18.8325</v>
      </c>
      <c r="M134" s="2">
        <f t="shared" si="11"/>
        <v>877.35</v>
      </c>
      <c r="O134" s="1">
        <f t="shared" si="12"/>
        <v>17.3475</v>
      </c>
      <c r="P134" s="2">
        <f t="shared" si="13"/>
        <v>809.25</v>
      </c>
    </row>
    <row r="135" spans="1:16" x14ac:dyDescent="0.45">
      <c r="B135" s="4">
        <v>44830</v>
      </c>
      <c r="C135" s="20">
        <v>21</v>
      </c>
      <c r="D135" s="19">
        <v>984</v>
      </c>
      <c r="E135" s="19">
        <v>0</v>
      </c>
      <c r="F135" s="19">
        <v>15939</v>
      </c>
      <c r="G135" s="2">
        <f t="shared" si="16"/>
        <v>14846</v>
      </c>
      <c r="H135" s="2"/>
      <c r="I135" s="1">
        <f t="shared" si="14"/>
        <v>20.25</v>
      </c>
      <c r="J135" s="2">
        <f t="shared" si="15"/>
        <v>975.75</v>
      </c>
      <c r="L135" s="1">
        <f t="shared" si="10"/>
        <v>19.520499999999998</v>
      </c>
      <c r="M135" s="2">
        <f t="shared" si="11"/>
        <v>917.1</v>
      </c>
      <c r="O135" s="1">
        <f t="shared" si="12"/>
        <v>18.807222222222222</v>
      </c>
      <c r="P135" s="2">
        <f t="shared" si="13"/>
        <v>875.44444444444446</v>
      </c>
    </row>
    <row r="136" spans="1:16" x14ac:dyDescent="0.45">
      <c r="A136" s="12"/>
      <c r="B136" s="4">
        <v>44837</v>
      </c>
      <c r="C136" s="20">
        <f>10+36/60</f>
        <v>10.6</v>
      </c>
      <c r="D136" s="19">
        <v>290</v>
      </c>
      <c r="E136" s="19">
        <v>0</v>
      </c>
      <c r="F136" s="19">
        <v>6861</v>
      </c>
      <c r="G136" s="2">
        <f t="shared" si="16"/>
        <v>12709.75</v>
      </c>
      <c r="H136" s="2"/>
      <c r="I136" s="1">
        <f t="shared" si="14"/>
        <v>17.462499999999999</v>
      </c>
      <c r="J136" s="2">
        <f t="shared" si="15"/>
        <v>788.25</v>
      </c>
      <c r="L136" s="1">
        <f t="shared" si="10"/>
        <v>19.371500000000001</v>
      </c>
      <c r="M136" s="2">
        <f t="shared" si="11"/>
        <v>909.55</v>
      </c>
      <c r="O136" s="1">
        <f t="shared" si="12"/>
        <v>18.999722222222221</v>
      </c>
      <c r="P136" s="2">
        <f t="shared" si="13"/>
        <v>868.69444444444446</v>
      </c>
    </row>
    <row r="137" spans="1:16" x14ac:dyDescent="0.45">
      <c r="A137" s="12" t="s">
        <v>38</v>
      </c>
      <c r="B137" s="4">
        <v>44844</v>
      </c>
      <c r="C137" s="20">
        <v>10</v>
      </c>
      <c r="D137" s="19">
        <v>700</v>
      </c>
      <c r="E137" s="19">
        <v>0</v>
      </c>
      <c r="F137" s="19">
        <v>6000</v>
      </c>
      <c r="G137" s="2">
        <f t="shared" si="16"/>
        <v>10360.75</v>
      </c>
      <c r="H137" s="2"/>
      <c r="I137" s="1">
        <f t="shared" si="14"/>
        <v>14.5875</v>
      </c>
      <c r="J137" s="2">
        <f t="shared" si="15"/>
        <v>673.5</v>
      </c>
      <c r="L137" s="1">
        <f t="shared" ref="L137:L200" si="17">((C130)+(2*C131)+(3*C132)+(4*C133)+(4*C134)+(3*C135)+(2*C136)+(C137))/20</f>
        <v>18.434999999999999</v>
      </c>
      <c r="M137" s="2">
        <f t="shared" ref="M137:M200" si="18">((D130)+(2*D131)+(3*D132)+(4*D133)+(4*D134)+(3*D135)+(2*D136)+(D137))/20</f>
        <v>870.05</v>
      </c>
      <c r="O137" s="1">
        <f t="shared" si="12"/>
        <v>19.026388888888889</v>
      </c>
      <c r="P137" s="2">
        <f t="shared" si="13"/>
        <v>895</v>
      </c>
    </row>
    <row r="138" spans="1:16" x14ac:dyDescent="0.45">
      <c r="A138" s="12"/>
      <c r="B138" s="4">
        <v>44851</v>
      </c>
      <c r="C138" s="20">
        <v>0</v>
      </c>
      <c r="D138" s="19">
        <v>0</v>
      </c>
      <c r="E138" s="19">
        <v>0</v>
      </c>
      <c r="F138" s="19">
        <v>0</v>
      </c>
      <c r="G138" s="2">
        <f t="shared" si="16"/>
        <v>7200</v>
      </c>
      <c r="H138" s="2"/>
      <c r="I138" s="1">
        <f t="shared" si="14"/>
        <v>10.4</v>
      </c>
      <c r="J138" s="2">
        <f t="shared" si="15"/>
        <v>493.5</v>
      </c>
      <c r="L138" s="1">
        <f t="shared" si="17"/>
        <v>16.452500000000001</v>
      </c>
      <c r="M138" s="2">
        <f t="shared" si="18"/>
        <v>772.1</v>
      </c>
      <c r="O138" s="1">
        <f t="shared" si="12"/>
        <v>17.966666666666665</v>
      </c>
      <c r="P138" s="2">
        <f t="shared" si="13"/>
        <v>845.33333333333337</v>
      </c>
    </row>
    <row r="139" spans="1:16" x14ac:dyDescent="0.45">
      <c r="A139" s="12"/>
      <c r="B139" s="4">
        <v>44858</v>
      </c>
      <c r="C139" s="20">
        <v>0</v>
      </c>
      <c r="D139" s="19">
        <v>0</v>
      </c>
      <c r="E139" s="19">
        <v>0</v>
      </c>
      <c r="F139" s="19">
        <v>0</v>
      </c>
      <c r="G139" s="2">
        <f t="shared" si="16"/>
        <v>3215.25</v>
      </c>
      <c r="H139" s="2"/>
      <c r="I139" s="1">
        <f t="shared" si="14"/>
        <v>5.15</v>
      </c>
      <c r="J139" s="2">
        <f t="shared" si="15"/>
        <v>247.5</v>
      </c>
      <c r="L139" s="1">
        <f t="shared" si="17"/>
        <v>13.569999999999999</v>
      </c>
      <c r="M139" s="2">
        <f t="shared" si="18"/>
        <v>635.70000000000005</v>
      </c>
      <c r="O139" s="1">
        <f t="shared" si="12"/>
        <v>16.733333333333334</v>
      </c>
      <c r="P139" s="2">
        <f t="shared" si="13"/>
        <v>803.69444444444446</v>
      </c>
    </row>
    <row r="140" spans="1:16" x14ac:dyDescent="0.45">
      <c r="A140" s="12"/>
      <c r="B140" s="4">
        <v>44865</v>
      </c>
      <c r="C140" s="20">
        <v>3.75</v>
      </c>
      <c r="D140" s="19">
        <v>97</v>
      </c>
      <c r="E140" s="19">
        <v>0</v>
      </c>
      <c r="F140" s="19">
        <v>1843</v>
      </c>
      <c r="G140" s="2">
        <f t="shared" si="16"/>
        <v>1960.75</v>
      </c>
      <c r="H140" s="2"/>
      <c r="I140" s="1">
        <f t="shared" si="14"/>
        <v>3.4375</v>
      </c>
      <c r="J140" s="2">
        <f t="shared" si="15"/>
        <v>199.25</v>
      </c>
      <c r="L140" s="1">
        <f t="shared" si="17"/>
        <v>10.2075</v>
      </c>
      <c r="M140" s="2">
        <f t="shared" si="18"/>
        <v>480.4</v>
      </c>
      <c r="O140" s="1">
        <f t="shared" si="12"/>
        <v>14.222222222222221</v>
      </c>
      <c r="P140" s="2">
        <f t="shared" si="13"/>
        <v>682.30555555555554</v>
      </c>
    </row>
    <row r="141" spans="1:16" x14ac:dyDescent="0.45">
      <c r="A141" s="12"/>
      <c r="B141" s="4">
        <v>44872</v>
      </c>
      <c r="C141" s="20">
        <f>1+33/60</f>
        <v>1.55</v>
      </c>
      <c r="D141" s="19">
        <v>50</v>
      </c>
      <c r="E141" s="19">
        <v>0</v>
      </c>
      <c r="F141" s="19">
        <v>1075</v>
      </c>
      <c r="G141" s="2">
        <f t="shared" si="16"/>
        <v>729.5</v>
      </c>
      <c r="H141" s="2"/>
      <c r="I141" s="1">
        <f t="shared" si="14"/>
        <v>1.325</v>
      </c>
      <c r="J141" s="2">
        <f t="shared" si="15"/>
        <v>36.75</v>
      </c>
      <c r="L141" s="1">
        <f t="shared" si="17"/>
        <v>6.9800000000000013</v>
      </c>
      <c r="M141" s="2">
        <f t="shared" si="18"/>
        <v>330.1</v>
      </c>
      <c r="O141" s="1">
        <f t="shared" ref="O141:O204" si="19">((C141)+(C140*2)+(C139*3)+(C138*4)+(C137*5)+(C136*6)+(C135*7)+(C134*8))/36</f>
        <v>11.212499999999999</v>
      </c>
      <c r="P141" s="2">
        <f t="shared" ref="P141:P204" si="20">((D141)+(D140*2)+(D139*3)+(D138*4)+(D137*5)+(D136*6)+(D135*7)+(D134*8))/36</f>
        <v>503.66666666666669</v>
      </c>
    </row>
    <row r="142" spans="1:16" x14ac:dyDescent="0.45">
      <c r="A142" s="12"/>
      <c r="B142" s="4">
        <v>44879</v>
      </c>
      <c r="C142" s="20">
        <v>12.333299999999999</v>
      </c>
      <c r="D142" s="19">
        <v>383</v>
      </c>
      <c r="E142" s="19">
        <v>0</v>
      </c>
      <c r="F142" s="19">
        <v>8031</v>
      </c>
      <c r="G142" s="2">
        <f t="shared" si="16"/>
        <v>2737.25</v>
      </c>
      <c r="H142" s="2"/>
      <c r="I142" s="1">
        <f t="shared" si="14"/>
        <v>4.4083249999999996</v>
      </c>
      <c r="J142" s="2">
        <f t="shared" si="15"/>
        <v>132.5</v>
      </c>
      <c r="L142" s="1">
        <f t="shared" si="17"/>
        <v>4.9441649999999999</v>
      </c>
      <c r="M142" s="2">
        <f t="shared" si="18"/>
        <v>221.9</v>
      </c>
      <c r="O142" s="1">
        <f t="shared" si="19"/>
        <v>9.1356472222222234</v>
      </c>
      <c r="P142" s="2">
        <f t="shared" si="20"/>
        <v>413.22222222222223</v>
      </c>
    </row>
    <row r="143" spans="1:16" x14ac:dyDescent="0.45">
      <c r="A143" s="12"/>
      <c r="B143" s="4">
        <v>44886</v>
      </c>
      <c r="C143" s="20">
        <v>16.25</v>
      </c>
      <c r="D143" s="19">
        <v>641</v>
      </c>
      <c r="E143" s="19">
        <v>0</v>
      </c>
      <c r="F143" s="19">
        <v>12278</v>
      </c>
      <c r="G143" s="2">
        <f t="shared" si="16"/>
        <v>5806.75</v>
      </c>
      <c r="H143" s="2"/>
      <c r="I143" s="1">
        <f t="shared" si="14"/>
        <v>8.4708249999999996</v>
      </c>
      <c r="J143" s="2">
        <f t="shared" si="15"/>
        <v>292.75</v>
      </c>
      <c r="L143" s="1">
        <f t="shared" si="17"/>
        <v>4.5583299999999998</v>
      </c>
      <c r="M143" s="2">
        <f t="shared" si="18"/>
        <v>181.75</v>
      </c>
      <c r="O143" s="1">
        <f t="shared" si="19"/>
        <v>5.9824055555555553</v>
      </c>
      <c r="P143" s="2">
        <f t="shared" si="20"/>
        <v>254.58333333333334</v>
      </c>
    </row>
    <row r="144" spans="1:16" x14ac:dyDescent="0.45">
      <c r="A144" s="12"/>
      <c r="B144" s="4">
        <v>44893</v>
      </c>
      <c r="C144" s="20">
        <v>22.75</v>
      </c>
      <c r="D144" s="19">
        <v>819</v>
      </c>
      <c r="E144" s="19">
        <v>0</v>
      </c>
      <c r="F144" s="19">
        <v>15901</v>
      </c>
      <c r="G144" s="2">
        <f t="shared" si="16"/>
        <v>9321.25</v>
      </c>
      <c r="H144" s="2"/>
      <c r="I144" s="1">
        <f t="shared" si="14"/>
        <v>13.220825</v>
      </c>
      <c r="J144" s="2">
        <f t="shared" si="15"/>
        <v>473.25</v>
      </c>
      <c r="L144" s="1">
        <f t="shared" si="17"/>
        <v>6.1724949999999996</v>
      </c>
      <c r="M144" s="2">
        <f t="shared" si="18"/>
        <v>226.9</v>
      </c>
      <c r="O144" s="1">
        <f t="shared" si="19"/>
        <v>5.4777750000000003</v>
      </c>
      <c r="P144" s="2">
        <f t="shared" si="20"/>
        <v>264.86111111111109</v>
      </c>
    </row>
    <row r="145" spans="1:16" x14ac:dyDescent="0.45">
      <c r="A145" s="12"/>
      <c r="B145" s="4">
        <v>44900</v>
      </c>
      <c r="C145" s="20">
        <f>14+42/60</f>
        <v>14.7</v>
      </c>
      <c r="D145" s="19">
        <v>666</v>
      </c>
      <c r="E145" s="19">
        <v>0</v>
      </c>
      <c r="F145" s="19">
        <v>11695</v>
      </c>
      <c r="G145" s="2">
        <f t="shared" si="16"/>
        <v>11976.25</v>
      </c>
      <c r="H145" s="2"/>
      <c r="I145" s="1">
        <f t="shared" si="14"/>
        <v>16.508324999999999</v>
      </c>
      <c r="J145" s="2">
        <f t="shared" si="15"/>
        <v>627.25</v>
      </c>
      <c r="L145" s="1">
        <f t="shared" si="17"/>
        <v>8.7866599999999995</v>
      </c>
      <c r="M145" s="2">
        <f t="shared" si="18"/>
        <v>312.5</v>
      </c>
      <c r="O145" s="1">
        <f t="shared" si="19"/>
        <v>5.2370333333333328</v>
      </c>
      <c r="P145" s="2">
        <f t="shared" si="20"/>
        <v>183.08333333333334</v>
      </c>
    </row>
    <row r="146" spans="1:16" x14ac:dyDescent="0.45">
      <c r="A146" s="12"/>
      <c r="B146" s="4">
        <v>44907</v>
      </c>
      <c r="C146" s="20">
        <f>21+18/60</f>
        <v>21.3</v>
      </c>
      <c r="D146" s="19">
        <v>821</v>
      </c>
      <c r="E146" s="19">
        <v>0</v>
      </c>
      <c r="F146" s="19">
        <v>15980</v>
      </c>
      <c r="G146" s="2">
        <f t="shared" si="16"/>
        <v>13963.5</v>
      </c>
      <c r="H146" s="2"/>
      <c r="I146" s="1">
        <f t="shared" si="14"/>
        <v>18.75</v>
      </c>
      <c r="J146" s="2">
        <f t="shared" si="15"/>
        <v>736.75</v>
      </c>
      <c r="L146" s="1">
        <f t="shared" si="17"/>
        <v>12.271660000000001</v>
      </c>
      <c r="M146" s="2">
        <f t="shared" si="18"/>
        <v>452.5</v>
      </c>
      <c r="O146" s="1">
        <f t="shared" si="19"/>
        <v>7.8101805555555552</v>
      </c>
      <c r="P146" s="2">
        <f t="shared" si="20"/>
        <v>279.66666666666669</v>
      </c>
    </row>
    <row r="147" spans="1:16" x14ac:dyDescent="0.45">
      <c r="B147" s="4">
        <v>44914</v>
      </c>
      <c r="C147" s="20">
        <v>19.333300000000001</v>
      </c>
      <c r="D147" s="19">
        <v>848</v>
      </c>
      <c r="E147" s="19">
        <v>0</v>
      </c>
      <c r="F147" s="19">
        <v>15062</v>
      </c>
      <c r="G147" s="2">
        <f t="shared" si="16"/>
        <v>14659.5</v>
      </c>
      <c r="H147" s="2"/>
      <c r="I147" s="1">
        <f t="shared" si="14"/>
        <v>19.520825000000002</v>
      </c>
      <c r="J147" s="2">
        <f t="shared" si="15"/>
        <v>788.5</v>
      </c>
      <c r="L147" s="1">
        <f t="shared" si="17"/>
        <v>15.29416</v>
      </c>
      <c r="M147" s="2">
        <f t="shared" si="18"/>
        <v>583.70000000000005</v>
      </c>
      <c r="O147" s="1">
        <f t="shared" si="19"/>
        <v>10.92036388888889</v>
      </c>
      <c r="P147" s="2">
        <f t="shared" si="20"/>
        <v>399.80555555555554</v>
      </c>
    </row>
    <row r="148" spans="1:16" x14ac:dyDescent="0.45">
      <c r="A148" s="12"/>
      <c r="B148" s="4">
        <v>44921</v>
      </c>
      <c r="C148" s="20">
        <v>18.75</v>
      </c>
      <c r="D148" s="19">
        <v>770</v>
      </c>
      <c r="E148" s="19">
        <v>0</v>
      </c>
      <c r="F148" s="19">
        <v>14517</v>
      </c>
      <c r="G148" s="2">
        <f t="shared" si="16"/>
        <v>14313.5</v>
      </c>
      <c r="H148" s="2"/>
      <c r="I148" s="1">
        <f t="shared" si="14"/>
        <v>18.520825000000002</v>
      </c>
      <c r="J148" s="2">
        <f t="shared" si="15"/>
        <v>776.25</v>
      </c>
      <c r="L148" s="1">
        <f t="shared" si="17"/>
        <v>17.304160000000003</v>
      </c>
      <c r="M148" s="2">
        <f t="shared" si="18"/>
        <v>680.4</v>
      </c>
      <c r="O148" s="1">
        <f t="shared" si="19"/>
        <v>13.613880555555555</v>
      </c>
      <c r="P148" s="2">
        <f t="shared" si="20"/>
        <v>517.08333333333337</v>
      </c>
    </row>
    <row r="149" spans="1:16" x14ac:dyDescent="0.45">
      <c r="A149" s="12"/>
      <c r="B149" s="4">
        <v>44928</v>
      </c>
      <c r="C149" s="20">
        <v>22</v>
      </c>
      <c r="D149" s="19">
        <v>1056</v>
      </c>
      <c r="E149" s="19">
        <v>1</v>
      </c>
      <c r="F149" s="19">
        <v>17523</v>
      </c>
      <c r="G149" s="2">
        <f t="shared" si="16"/>
        <v>15770.5</v>
      </c>
      <c r="H149" s="2"/>
      <c r="I149" s="1">
        <f t="shared" si="14"/>
        <v>20.345825000000001</v>
      </c>
      <c r="J149" s="2">
        <f t="shared" si="15"/>
        <v>873.75</v>
      </c>
      <c r="L149" s="1">
        <f t="shared" si="17"/>
        <v>18.72916</v>
      </c>
      <c r="M149" s="2">
        <f t="shared" si="18"/>
        <v>760.5</v>
      </c>
      <c r="O149" s="1">
        <f t="shared" si="19"/>
        <v>17.364341666666668</v>
      </c>
      <c r="P149" s="2">
        <f t="shared" si="20"/>
        <v>672.75</v>
      </c>
    </row>
    <row r="150" spans="1:16" x14ac:dyDescent="0.45">
      <c r="A150" s="12"/>
      <c r="B150" s="4">
        <v>44935</v>
      </c>
      <c r="C150" s="20">
        <v>21.333300000000001</v>
      </c>
      <c r="D150" s="19">
        <v>1077</v>
      </c>
      <c r="E150" s="19">
        <v>2</v>
      </c>
      <c r="F150" s="19">
        <v>18585</v>
      </c>
      <c r="G150" s="2">
        <f t="shared" si="16"/>
        <v>16421.75</v>
      </c>
      <c r="H150" s="2"/>
      <c r="I150" s="1">
        <f t="shared" si="14"/>
        <v>20.354150000000001</v>
      </c>
      <c r="J150" s="2">
        <f t="shared" si="15"/>
        <v>937.75</v>
      </c>
      <c r="L150" s="1">
        <f t="shared" si="17"/>
        <v>19.498325000000001</v>
      </c>
      <c r="M150" s="2">
        <f t="shared" si="18"/>
        <v>822.6</v>
      </c>
      <c r="O150" s="1">
        <f t="shared" si="19"/>
        <v>18.968513888888893</v>
      </c>
      <c r="P150" s="2">
        <f t="shared" si="20"/>
        <v>773.69444444444446</v>
      </c>
    </row>
    <row r="151" spans="1:16" x14ac:dyDescent="0.45">
      <c r="A151" s="12"/>
      <c r="B151" s="4">
        <v>44942</v>
      </c>
      <c r="C151" s="20">
        <f>17+28/60</f>
        <v>17.466666666666665</v>
      </c>
      <c r="D151" s="19">
        <v>876</v>
      </c>
      <c r="E151" s="19">
        <v>1</v>
      </c>
      <c r="F151" s="19">
        <v>14336</v>
      </c>
      <c r="G151" s="2">
        <f t="shared" si="16"/>
        <v>16240.25</v>
      </c>
      <c r="H151" s="2"/>
      <c r="I151" s="1">
        <f t="shared" si="14"/>
        <v>19.887491666666666</v>
      </c>
      <c r="J151" s="2">
        <f t="shared" si="15"/>
        <v>944.75</v>
      </c>
      <c r="L151" s="1">
        <f t="shared" si="17"/>
        <v>19.725823333333331</v>
      </c>
      <c r="M151" s="2">
        <f t="shared" si="18"/>
        <v>864.2</v>
      </c>
      <c r="O151" s="1">
        <f t="shared" si="19"/>
        <v>19.736104629629629</v>
      </c>
      <c r="P151" s="2">
        <f t="shared" si="20"/>
        <v>823.83333333333337</v>
      </c>
    </row>
    <row r="152" spans="1:16" x14ac:dyDescent="0.45">
      <c r="A152" s="12" t="s">
        <v>246</v>
      </c>
      <c r="B152" s="4">
        <v>44949</v>
      </c>
      <c r="C152" s="20">
        <f>16+56/60</f>
        <v>16.933333333333334</v>
      </c>
      <c r="D152" s="19">
        <v>739</v>
      </c>
      <c r="E152" s="19">
        <v>2</v>
      </c>
      <c r="F152" s="19">
        <v>12131</v>
      </c>
      <c r="G152" s="2">
        <f t="shared" si="16"/>
        <v>15643.75</v>
      </c>
      <c r="H152" s="2"/>
      <c r="I152" s="1">
        <f t="shared" si="14"/>
        <v>19.433325</v>
      </c>
      <c r="J152" s="2">
        <f t="shared" si="15"/>
        <v>937</v>
      </c>
      <c r="L152" s="1">
        <f t="shared" si="17"/>
        <v>19.708323333333333</v>
      </c>
      <c r="M152" s="2">
        <f t="shared" si="18"/>
        <v>893.9</v>
      </c>
      <c r="O152" s="1">
        <f t="shared" si="19"/>
        <v>18.897676851851852</v>
      </c>
      <c r="P152" s="2">
        <f t="shared" si="20"/>
        <v>832.19444444444446</v>
      </c>
    </row>
    <row r="153" spans="1:16" x14ac:dyDescent="0.45">
      <c r="A153" s="12"/>
      <c r="B153" s="4">
        <v>44956</v>
      </c>
      <c r="C153" s="20">
        <v>19.5</v>
      </c>
      <c r="D153" s="19">
        <v>990</v>
      </c>
      <c r="E153" s="19">
        <v>2</v>
      </c>
      <c r="F153" s="19">
        <v>15266</v>
      </c>
      <c r="G153" s="2">
        <f t="shared" si="16"/>
        <v>15079.5</v>
      </c>
      <c r="H153" s="2"/>
      <c r="I153" s="1">
        <f t="shared" si="14"/>
        <v>18.808325</v>
      </c>
      <c r="J153" s="2">
        <f t="shared" si="15"/>
        <v>920.5</v>
      </c>
      <c r="L153" s="1">
        <f t="shared" si="17"/>
        <v>19.765823333333334</v>
      </c>
      <c r="M153" s="2">
        <f t="shared" si="18"/>
        <v>922.75</v>
      </c>
      <c r="O153" s="1">
        <f t="shared" si="19"/>
        <v>19.981471296296299</v>
      </c>
      <c r="P153" s="2">
        <f t="shared" si="20"/>
        <v>883.55555555555554</v>
      </c>
    </row>
    <row r="154" spans="1:16" x14ac:dyDescent="0.45">
      <c r="A154" s="12" t="s">
        <v>247</v>
      </c>
      <c r="B154" s="4">
        <v>44963</v>
      </c>
      <c r="C154" s="20">
        <v>13.5</v>
      </c>
      <c r="D154" s="19">
        <v>753</v>
      </c>
      <c r="E154" s="19">
        <v>2</v>
      </c>
      <c r="F154" s="19">
        <v>8482</v>
      </c>
      <c r="G154" s="2">
        <f t="shared" si="16"/>
        <v>12553.75</v>
      </c>
      <c r="H154" s="2"/>
      <c r="I154" s="1">
        <f t="shared" si="14"/>
        <v>16.850000000000001</v>
      </c>
      <c r="J154" s="2">
        <f t="shared" si="15"/>
        <v>839.5</v>
      </c>
      <c r="L154" s="1">
        <f t="shared" si="17"/>
        <v>19.066658333333333</v>
      </c>
      <c r="M154" s="2">
        <f t="shared" si="18"/>
        <v>915.9</v>
      </c>
      <c r="O154" s="1">
        <f t="shared" si="19"/>
        <v>19.381932407407405</v>
      </c>
      <c r="P154" s="2">
        <f t="shared" si="20"/>
        <v>898.58333333333337</v>
      </c>
    </row>
    <row r="155" spans="1:16" x14ac:dyDescent="0.45">
      <c r="A155" s="12"/>
      <c r="B155" s="4">
        <v>44970</v>
      </c>
      <c r="C155" s="20">
        <f>22+49/60</f>
        <v>22.816666666666666</v>
      </c>
      <c r="D155" s="19">
        <v>1018</v>
      </c>
      <c r="E155" s="19">
        <v>2</v>
      </c>
      <c r="F155" s="19">
        <v>15574</v>
      </c>
      <c r="G155" s="2">
        <f t="shared" si="16"/>
        <v>12863.25</v>
      </c>
      <c r="H155" s="2"/>
      <c r="I155" s="1">
        <f t="shared" si="14"/>
        <v>18.1875</v>
      </c>
      <c r="J155" s="2">
        <f t="shared" si="15"/>
        <v>875</v>
      </c>
      <c r="L155" s="1">
        <f t="shared" si="17"/>
        <v>18.633328333333331</v>
      </c>
      <c r="M155" s="2">
        <f t="shared" si="18"/>
        <v>903.35</v>
      </c>
      <c r="O155" s="1">
        <f t="shared" si="19"/>
        <v>19.316198148148146</v>
      </c>
      <c r="P155" s="2">
        <f t="shared" si="20"/>
        <v>912.33333333333337</v>
      </c>
    </row>
    <row r="156" spans="1:16" x14ac:dyDescent="0.45">
      <c r="A156" s="12" t="s">
        <v>44</v>
      </c>
      <c r="B156" s="4">
        <v>44977</v>
      </c>
      <c r="C156" s="20">
        <v>11</v>
      </c>
      <c r="D156" s="19">
        <v>700</v>
      </c>
      <c r="E156" s="19">
        <v>0</v>
      </c>
      <c r="F156" s="19">
        <v>6500</v>
      </c>
      <c r="G156" s="2">
        <f t="shared" si="16"/>
        <v>11455.5</v>
      </c>
      <c r="H156" s="2"/>
      <c r="I156" s="1">
        <f t="shared" si="14"/>
        <v>16.704166666666666</v>
      </c>
      <c r="J156" s="2">
        <f t="shared" si="15"/>
        <v>865.25</v>
      </c>
      <c r="L156" s="1">
        <f t="shared" si="17"/>
        <v>17.996663333333334</v>
      </c>
      <c r="M156" s="2">
        <f t="shared" si="18"/>
        <v>887.45</v>
      </c>
      <c r="O156" s="1">
        <f t="shared" si="19"/>
        <v>19.164808333333333</v>
      </c>
      <c r="P156" s="2">
        <f t="shared" si="20"/>
        <v>941.47222222222217</v>
      </c>
    </row>
    <row r="157" spans="1:16" x14ac:dyDescent="0.45">
      <c r="A157" s="12"/>
      <c r="B157" s="4">
        <v>44984</v>
      </c>
      <c r="C157" s="20">
        <f>15+57/60</f>
        <v>15.95</v>
      </c>
      <c r="D157" s="19">
        <v>598</v>
      </c>
      <c r="E157" s="19">
        <v>1</v>
      </c>
      <c r="F157" s="19">
        <v>11452</v>
      </c>
      <c r="G157" s="2">
        <f t="shared" si="16"/>
        <v>10502</v>
      </c>
      <c r="H157" s="2"/>
      <c r="I157" s="1">
        <f t="shared" si="14"/>
        <v>15.816666666666666</v>
      </c>
      <c r="J157" s="2">
        <f t="shared" si="15"/>
        <v>767.25</v>
      </c>
      <c r="L157" s="1">
        <f t="shared" si="17"/>
        <v>17.273331666666667</v>
      </c>
      <c r="M157" s="2">
        <f t="shared" si="18"/>
        <v>853.5</v>
      </c>
      <c r="O157" s="1">
        <f t="shared" si="19"/>
        <v>18.123140740740741</v>
      </c>
      <c r="P157" s="2">
        <f t="shared" si="20"/>
        <v>894.33333333333337</v>
      </c>
    </row>
    <row r="158" spans="1:16" x14ac:dyDescent="0.45">
      <c r="A158" s="15"/>
      <c r="B158" s="4">
        <v>44991</v>
      </c>
      <c r="C158" s="20">
        <f>24+50/60</f>
        <v>24.833333333333332</v>
      </c>
      <c r="D158" s="19">
        <v>1056</v>
      </c>
      <c r="E158" s="19">
        <v>3</v>
      </c>
      <c r="F158" s="19">
        <v>18948</v>
      </c>
      <c r="G158" s="2">
        <f t="shared" si="16"/>
        <v>13118.5</v>
      </c>
      <c r="H158" s="2"/>
      <c r="I158" s="1">
        <f t="shared" si="14"/>
        <v>18.649999999999999</v>
      </c>
      <c r="J158" s="2">
        <f t="shared" si="15"/>
        <v>843</v>
      </c>
      <c r="L158" s="1">
        <f t="shared" si="17"/>
        <v>17.241666666666664</v>
      </c>
      <c r="M158" s="2">
        <f t="shared" si="18"/>
        <v>838</v>
      </c>
      <c r="O158" s="1">
        <f t="shared" si="19"/>
        <v>17.326851851851853</v>
      </c>
      <c r="P158" s="2">
        <f t="shared" si="20"/>
        <v>841.94444444444446</v>
      </c>
    </row>
    <row r="159" spans="1:16" x14ac:dyDescent="0.45">
      <c r="A159" s="12"/>
      <c r="B159" s="4">
        <v>44998</v>
      </c>
      <c r="C159" s="20">
        <f>18+35/60</f>
        <v>18.583333333333332</v>
      </c>
      <c r="D159" s="19">
        <v>1125</v>
      </c>
      <c r="E159" s="19">
        <v>1</v>
      </c>
      <c r="F159" s="19">
        <v>14646</v>
      </c>
      <c r="G159" s="2">
        <f t="shared" si="16"/>
        <v>12886.5</v>
      </c>
      <c r="H159" s="2"/>
      <c r="I159" s="1">
        <f t="shared" si="14"/>
        <v>17.591666666666665</v>
      </c>
      <c r="J159" s="2">
        <f t="shared" si="15"/>
        <v>869.75</v>
      </c>
      <c r="L159" s="1">
        <f t="shared" si="17"/>
        <v>17.389999999999997</v>
      </c>
      <c r="M159" s="2">
        <f t="shared" si="18"/>
        <v>844.05</v>
      </c>
      <c r="O159" s="1">
        <f t="shared" si="19"/>
        <v>17.420833333333334</v>
      </c>
      <c r="P159" s="2">
        <f t="shared" si="20"/>
        <v>841.13888888888891</v>
      </c>
    </row>
    <row r="160" spans="1:16" x14ac:dyDescent="0.45">
      <c r="A160" s="12"/>
      <c r="B160" s="4">
        <v>45005</v>
      </c>
      <c r="C160" s="20">
        <f>17+18/60</f>
        <v>17.3</v>
      </c>
      <c r="D160" s="19">
        <v>994</v>
      </c>
      <c r="E160" s="19">
        <v>1</v>
      </c>
      <c r="F160" s="19">
        <v>15525</v>
      </c>
      <c r="G160" s="2">
        <f t="shared" si="16"/>
        <v>15142.75</v>
      </c>
      <c r="H160" s="2"/>
      <c r="I160" s="1">
        <f t="shared" si="14"/>
        <v>19.166666666666664</v>
      </c>
      <c r="J160" s="2">
        <f t="shared" si="15"/>
        <v>943.25</v>
      </c>
      <c r="L160" s="1">
        <f t="shared" si="17"/>
        <v>17.585833333333333</v>
      </c>
      <c r="M160" s="2">
        <f t="shared" si="18"/>
        <v>857.7</v>
      </c>
      <c r="O160" s="1">
        <f t="shared" si="19"/>
        <v>17.643518518518519</v>
      </c>
      <c r="P160" s="2">
        <f t="shared" si="20"/>
        <v>877.86111111111109</v>
      </c>
    </row>
    <row r="161" spans="1:16" x14ac:dyDescent="0.45">
      <c r="A161" s="12"/>
      <c r="B161" s="4">
        <v>45012</v>
      </c>
      <c r="C161" s="20">
        <f>16+26/60</f>
        <v>16.433333333333334</v>
      </c>
      <c r="D161" s="19">
        <v>805</v>
      </c>
      <c r="E161" s="19">
        <v>0</v>
      </c>
      <c r="F161" s="19">
        <v>13508</v>
      </c>
      <c r="G161" s="2">
        <f t="shared" si="16"/>
        <v>15656.75</v>
      </c>
      <c r="H161" s="2"/>
      <c r="I161" s="1">
        <f t="shared" si="14"/>
        <v>19.287500000000001</v>
      </c>
      <c r="J161" s="2">
        <f t="shared" si="15"/>
        <v>995</v>
      </c>
      <c r="L161" s="1">
        <f t="shared" si="17"/>
        <v>18.102499999999999</v>
      </c>
      <c r="M161" s="2">
        <f t="shared" si="18"/>
        <v>883.65</v>
      </c>
      <c r="O161" s="1">
        <f t="shared" si="19"/>
        <v>17.210648148148149</v>
      </c>
      <c r="P161" s="2">
        <f t="shared" si="20"/>
        <v>853.66666666666663</v>
      </c>
    </row>
    <row r="162" spans="1:16" x14ac:dyDescent="0.45">
      <c r="A162" s="12"/>
      <c r="B162" s="4">
        <v>45019</v>
      </c>
      <c r="C162" s="20">
        <f>20+15/60</f>
        <v>20.25</v>
      </c>
      <c r="D162" s="19">
        <v>914</v>
      </c>
      <c r="E162" s="19">
        <v>1</v>
      </c>
      <c r="F162" s="19">
        <v>15876</v>
      </c>
      <c r="G162" s="2">
        <f t="shared" si="16"/>
        <v>14888.75</v>
      </c>
      <c r="H162" s="2"/>
      <c r="I162" s="1">
        <f t="shared" si="14"/>
        <v>18.141666666666666</v>
      </c>
      <c r="J162" s="2">
        <f t="shared" si="15"/>
        <v>959.5</v>
      </c>
      <c r="L162" s="1">
        <f t="shared" si="17"/>
        <v>18.567500000000003</v>
      </c>
      <c r="M162" s="2">
        <f t="shared" si="18"/>
        <v>922.1</v>
      </c>
      <c r="O162" s="1">
        <f t="shared" si="19"/>
        <v>18.298611111111111</v>
      </c>
      <c r="P162" s="2">
        <f t="shared" si="20"/>
        <v>886.61111111111109</v>
      </c>
    </row>
    <row r="163" spans="1:16" x14ac:dyDescent="0.45">
      <c r="A163" s="12"/>
      <c r="B163" s="4">
        <v>45026</v>
      </c>
      <c r="C163" s="20">
        <f>23+51/60</f>
        <v>23.85</v>
      </c>
      <c r="D163" s="19">
        <v>1403</v>
      </c>
      <c r="E163" s="19">
        <v>0</v>
      </c>
      <c r="F163" s="19">
        <v>20086</v>
      </c>
      <c r="G163" s="2">
        <f t="shared" si="16"/>
        <v>16248.75</v>
      </c>
      <c r="H163" s="2"/>
      <c r="I163" s="1">
        <f t="shared" si="14"/>
        <v>19.458333333333336</v>
      </c>
      <c r="J163" s="2">
        <f t="shared" si="15"/>
        <v>1029</v>
      </c>
      <c r="L163" s="1">
        <f t="shared" si="17"/>
        <v>18.729166666666668</v>
      </c>
      <c r="M163" s="2">
        <f t="shared" si="18"/>
        <v>959.3</v>
      </c>
      <c r="O163" s="1">
        <f t="shared" si="19"/>
        <v>17.344907407407405</v>
      </c>
      <c r="P163" s="2">
        <f t="shared" si="20"/>
        <v>871.36111111111109</v>
      </c>
    </row>
    <row r="164" spans="1:16" x14ac:dyDescent="0.45">
      <c r="A164" s="12"/>
      <c r="B164" s="4">
        <v>45033</v>
      </c>
      <c r="C164" s="20">
        <f>22+14/60</f>
        <v>22.233333333333334</v>
      </c>
      <c r="D164" s="19">
        <v>944</v>
      </c>
      <c r="E164" s="19">
        <v>1</v>
      </c>
      <c r="F164" s="19">
        <v>17023</v>
      </c>
      <c r="G164" s="2">
        <f t="shared" si="16"/>
        <v>16623.25</v>
      </c>
      <c r="H164" s="2"/>
      <c r="I164" s="1">
        <f t="shared" si="14"/>
        <v>20.69166666666667</v>
      </c>
      <c r="J164" s="2">
        <f t="shared" si="15"/>
        <v>1016.5</v>
      </c>
      <c r="L164" s="1">
        <f t="shared" si="17"/>
        <v>19.349166666666669</v>
      </c>
      <c r="M164" s="2">
        <f t="shared" si="18"/>
        <v>988.65</v>
      </c>
      <c r="O164" s="1">
        <f t="shared" si="19"/>
        <v>19.329166666666666</v>
      </c>
      <c r="P164" s="2">
        <f t="shared" si="20"/>
        <v>933.55555555555554</v>
      </c>
    </row>
    <row r="165" spans="1:16" x14ac:dyDescent="0.45">
      <c r="A165" s="12"/>
      <c r="B165" s="4">
        <v>45040</v>
      </c>
      <c r="C165" s="20">
        <v>16.5</v>
      </c>
      <c r="D165" s="19">
        <v>775</v>
      </c>
      <c r="E165" s="19">
        <v>2</v>
      </c>
      <c r="F165" s="19">
        <v>13384</v>
      </c>
      <c r="G165" s="2">
        <f t="shared" si="16"/>
        <v>16592.25</v>
      </c>
      <c r="H165" s="2"/>
      <c r="I165" s="1">
        <f t="shared" si="14"/>
        <v>20.708333333333336</v>
      </c>
      <c r="J165" s="2">
        <f t="shared" si="15"/>
        <v>1009</v>
      </c>
      <c r="L165" s="1">
        <f t="shared" si="17"/>
        <v>19.657499999999999</v>
      </c>
      <c r="M165" s="2">
        <f t="shared" si="18"/>
        <v>1001.8</v>
      </c>
      <c r="O165" s="1">
        <f t="shared" si="19"/>
        <v>20.228703703703701</v>
      </c>
      <c r="P165" s="2">
        <f t="shared" si="20"/>
        <v>1023.3333333333334</v>
      </c>
    </row>
    <row r="166" spans="1:16" x14ac:dyDescent="0.45">
      <c r="A166" s="12"/>
      <c r="B166" s="4">
        <v>45047</v>
      </c>
      <c r="C166" s="20">
        <f>20+43/60</f>
        <v>20.716666666666665</v>
      </c>
      <c r="D166" s="19">
        <v>1298</v>
      </c>
      <c r="E166" s="19">
        <v>0</v>
      </c>
      <c r="F166" s="19">
        <v>17958</v>
      </c>
      <c r="G166" s="2">
        <f t="shared" si="16"/>
        <v>17112.75</v>
      </c>
      <c r="H166" s="2"/>
      <c r="I166" s="1">
        <f t="shared" si="14"/>
        <v>20.824999999999999</v>
      </c>
      <c r="J166" s="2">
        <f t="shared" si="15"/>
        <v>1105</v>
      </c>
      <c r="L166" s="1">
        <f t="shared" si="17"/>
        <v>19.964999999999996</v>
      </c>
      <c r="M166" s="2">
        <f t="shared" si="18"/>
        <v>1023.8</v>
      </c>
      <c r="O166" s="1">
        <f t="shared" si="19"/>
        <v>19.039814814814815</v>
      </c>
      <c r="P166" s="2">
        <f t="shared" si="20"/>
        <v>1018.0555555555555</v>
      </c>
    </row>
    <row r="167" spans="1:16" x14ac:dyDescent="0.45">
      <c r="A167" s="12"/>
      <c r="B167" s="4">
        <v>45054</v>
      </c>
      <c r="C167" s="20">
        <f>16+52/60</f>
        <v>16.866666666666667</v>
      </c>
      <c r="D167" s="19">
        <v>675</v>
      </c>
      <c r="E167" s="19">
        <v>0</v>
      </c>
      <c r="F167" s="19">
        <v>12811</v>
      </c>
      <c r="G167" s="2">
        <f t="shared" si="16"/>
        <v>15294</v>
      </c>
      <c r="H167" s="2"/>
      <c r="I167" s="1">
        <f t="shared" si="14"/>
        <v>19.079166666666666</v>
      </c>
      <c r="J167" s="2">
        <f t="shared" si="15"/>
        <v>923</v>
      </c>
      <c r="L167" s="1">
        <f t="shared" si="17"/>
        <v>20.1525</v>
      </c>
      <c r="M167" s="2">
        <f t="shared" si="18"/>
        <v>1016.5</v>
      </c>
      <c r="O167" s="1">
        <f t="shared" si="19"/>
        <v>19.19212962962963</v>
      </c>
      <c r="P167" s="2">
        <f t="shared" si="20"/>
        <v>984.94444444444446</v>
      </c>
    </row>
    <row r="168" spans="1:16" x14ac:dyDescent="0.45">
      <c r="A168" s="12" t="s">
        <v>248</v>
      </c>
      <c r="B168" s="4">
        <v>45061</v>
      </c>
      <c r="C168" s="20">
        <f>27+26/60</f>
        <v>27.433333333333334</v>
      </c>
      <c r="D168" s="19">
        <v>1673</v>
      </c>
      <c r="E168" s="19">
        <v>0</v>
      </c>
      <c r="F168" s="19">
        <v>10903</v>
      </c>
      <c r="G168" s="2">
        <f t="shared" si="16"/>
        <v>13764</v>
      </c>
      <c r="H168" s="2"/>
      <c r="I168" s="1">
        <f t="shared" si="14"/>
        <v>20.379166666666666</v>
      </c>
      <c r="J168" s="2">
        <f t="shared" si="15"/>
        <v>1105.25</v>
      </c>
      <c r="L168" s="1">
        <f t="shared" si="17"/>
        <v>20.336666666666666</v>
      </c>
      <c r="M168" s="2">
        <f t="shared" si="18"/>
        <v>1031.75</v>
      </c>
      <c r="O168" s="1">
        <f t="shared" si="19"/>
        <v>19.911111111111111</v>
      </c>
      <c r="P168" s="2">
        <f t="shared" si="20"/>
        <v>999.80555555555554</v>
      </c>
    </row>
    <row r="169" spans="1:16" x14ac:dyDescent="0.45">
      <c r="A169" s="12" t="s">
        <v>183</v>
      </c>
      <c r="B169" s="4">
        <v>45068</v>
      </c>
      <c r="C169" s="20">
        <f>12+14/60</f>
        <v>12.233333333333333</v>
      </c>
      <c r="D169" s="19">
        <v>502</v>
      </c>
      <c r="E169" s="19">
        <v>0</v>
      </c>
      <c r="F169" s="19">
        <v>8358</v>
      </c>
      <c r="G169" s="2">
        <f t="shared" si="16"/>
        <v>12507.5</v>
      </c>
      <c r="H169" s="2"/>
      <c r="I169" s="1">
        <f t="shared" si="14"/>
        <v>19.3125</v>
      </c>
      <c r="J169" s="2">
        <f t="shared" si="15"/>
        <v>1037</v>
      </c>
      <c r="L169" s="1">
        <f t="shared" si="17"/>
        <v>20.060833333333335</v>
      </c>
      <c r="M169" s="2">
        <f t="shared" si="18"/>
        <v>1035.8499999999999</v>
      </c>
      <c r="O169" s="1">
        <f t="shared" si="19"/>
        <v>20.706018518518519</v>
      </c>
      <c r="P169" s="2">
        <f t="shared" si="20"/>
        <v>1048.25</v>
      </c>
    </row>
    <row r="170" spans="1:16" x14ac:dyDescent="0.45">
      <c r="A170" s="12" t="s">
        <v>184</v>
      </c>
      <c r="B170" s="4">
        <v>45075</v>
      </c>
      <c r="C170" s="20">
        <v>18.5</v>
      </c>
      <c r="D170" s="19">
        <v>785</v>
      </c>
      <c r="E170" s="19">
        <v>2</v>
      </c>
      <c r="F170" s="19">
        <v>12071</v>
      </c>
      <c r="G170" s="2">
        <f t="shared" si="16"/>
        <v>11035.75</v>
      </c>
      <c r="H170" s="2"/>
      <c r="I170" s="1">
        <f t="shared" si="14"/>
        <v>18.758333333333333</v>
      </c>
      <c r="J170" s="2">
        <f t="shared" si="15"/>
        <v>908.75</v>
      </c>
      <c r="L170" s="1">
        <f t="shared" si="17"/>
        <v>19.670833333333331</v>
      </c>
      <c r="M170" s="2">
        <f t="shared" si="18"/>
        <v>1015.8</v>
      </c>
      <c r="O170" s="1">
        <f t="shared" si="19"/>
        <v>20.604166666666668</v>
      </c>
      <c r="P170" s="2">
        <f t="shared" si="20"/>
        <v>1068.8888888888889</v>
      </c>
    </row>
    <row r="171" spans="1:16" x14ac:dyDescent="0.45">
      <c r="A171" s="12"/>
      <c r="B171" s="4">
        <v>45082</v>
      </c>
      <c r="C171" s="20">
        <f>22+26/60</f>
        <v>22.433333333333334</v>
      </c>
      <c r="D171" s="19">
        <v>1012</v>
      </c>
      <c r="E171" s="19">
        <v>1</v>
      </c>
      <c r="F171" s="19">
        <v>15830</v>
      </c>
      <c r="G171" s="2">
        <f t="shared" si="16"/>
        <v>11790.5</v>
      </c>
      <c r="H171" s="2"/>
      <c r="I171" s="1">
        <f t="shared" si="14"/>
        <v>20.149999999999999</v>
      </c>
      <c r="J171" s="2">
        <f t="shared" si="15"/>
        <v>993</v>
      </c>
      <c r="L171" s="1">
        <f t="shared" si="17"/>
        <v>19.535833333333333</v>
      </c>
      <c r="M171" s="2">
        <f t="shared" si="18"/>
        <v>993.4</v>
      </c>
      <c r="O171" s="1">
        <f t="shared" si="19"/>
        <v>19.662962962962965</v>
      </c>
      <c r="P171" s="2">
        <f t="shared" si="20"/>
        <v>970</v>
      </c>
    </row>
    <row r="172" spans="1:16" x14ac:dyDescent="0.45">
      <c r="A172" s="12"/>
      <c r="B172" s="4">
        <v>45089</v>
      </c>
      <c r="C172" s="20">
        <f>23+17/60</f>
        <v>23.283333333333335</v>
      </c>
      <c r="D172" s="19">
        <v>1324</v>
      </c>
      <c r="E172" s="19">
        <v>0</v>
      </c>
      <c r="F172" s="19">
        <v>19427</v>
      </c>
      <c r="G172" s="2">
        <f t="shared" si="16"/>
        <v>13921.5</v>
      </c>
      <c r="H172" s="2"/>
      <c r="I172" s="1">
        <f t="shared" si="14"/>
        <v>19.112500000000001</v>
      </c>
      <c r="J172" s="2">
        <f t="shared" si="15"/>
        <v>905.75</v>
      </c>
      <c r="L172" s="1">
        <f t="shared" si="17"/>
        <v>19.5425</v>
      </c>
      <c r="M172" s="2">
        <f t="shared" si="18"/>
        <v>989.95</v>
      </c>
      <c r="O172" s="1">
        <f t="shared" si="19"/>
        <v>19.110185185185188</v>
      </c>
      <c r="P172" s="2">
        <f t="shared" si="20"/>
        <v>983.66666666666663</v>
      </c>
    </row>
    <row r="173" spans="1:16" x14ac:dyDescent="0.45">
      <c r="A173" s="12"/>
      <c r="B173" s="4">
        <v>45096</v>
      </c>
      <c r="C173" s="20">
        <v>13</v>
      </c>
      <c r="D173" s="19">
        <v>550</v>
      </c>
      <c r="E173" s="19">
        <v>2</v>
      </c>
      <c r="F173" s="19">
        <v>10247</v>
      </c>
      <c r="G173" s="2">
        <f t="shared" si="16"/>
        <v>14393.75</v>
      </c>
      <c r="H173" s="2"/>
      <c r="I173" s="1">
        <f t="shared" si="14"/>
        <v>19.304166666666667</v>
      </c>
      <c r="J173" s="2">
        <f t="shared" si="15"/>
        <v>917.75</v>
      </c>
      <c r="L173" s="1">
        <f t="shared" si="17"/>
        <v>19.327500000000001</v>
      </c>
      <c r="M173" s="2">
        <f t="shared" si="18"/>
        <v>952.45</v>
      </c>
      <c r="O173" s="1">
        <f t="shared" si="19"/>
        <v>19.734259259259261</v>
      </c>
      <c r="P173" s="2">
        <f t="shared" si="20"/>
        <v>1028.6388888888889</v>
      </c>
    </row>
    <row r="174" spans="1:16" x14ac:dyDescent="0.45">
      <c r="A174" s="12"/>
      <c r="B174" s="4">
        <v>45103</v>
      </c>
      <c r="C174" s="20">
        <f>22+36/60</f>
        <v>22.6</v>
      </c>
      <c r="D174" s="19">
        <v>999</v>
      </c>
      <c r="E174" s="19">
        <v>2</v>
      </c>
      <c r="F174" s="19">
        <v>16923</v>
      </c>
      <c r="G174" s="2">
        <f t="shared" si="16"/>
        <v>15606.75</v>
      </c>
      <c r="H174" s="2"/>
      <c r="I174" s="1">
        <f t="shared" si="14"/>
        <v>20.329166666666666</v>
      </c>
      <c r="J174" s="2">
        <f t="shared" si="15"/>
        <v>971.25</v>
      </c>
      <c r="L174" s="1">
        <f t="shared" si="17"/>
        <v>19.530833333333337</v>
      </c>
      <c r="M174" s="2">
        <f t="shared" si="18"/>
        <v>939.3</v>
      </c>
      <c r="O174" s="1">
        <f t="shared" si="19"/>
        <v>19.473611111111111</v>
      </c>
      <c r="P174" s="2">
        <f t="shared" si="20"/>
        <v>949.08333333333337</v>
      </c>
    </row>
    <row r="175" spans="1:16" x14ac:dyDescent="0.45">
      <c r="A175" s="12"/>
      <c r="B175" s="4">
        <v>45110</v>
      </c>
      <c r="C175" s="20">
        <f>20+6/60</f>
        <v>20.100000000000001</v>
      </c>
      <c r="D175" s="19">
        <v>1019</v>
      </c>
      <c r="E175" s="19">
        <v>1</v>
      </c>
      <c r="F175" s="19">
        <v>16123</v>
      </c>
      <c r="G175" s="2">
        <f t="shared" si="16"/>
        <v>15680</v>
      </c>
      <c r="H175" s="2"/>
      <c r="I175" s="1">
        <f t="shared" si="14"/>
        <v>19.745833333333334</v>
      </c>
      <c r="J175" s="2">
        <f t="shared" si="15"/>
        <v>973</v>
      </c>
      <c r="L175" s="1">
        <f t="shared" si="17"/>
        <v>19.728333333333332</v>
      </c>
      <c r="M175" s="2">
        <f t="shared" si="18"/>
        <v>952.15</v>
      </c>
      <c r="O175" s="1">
        <f t="shared" si="19"/>
        <v>20.158333333333335</v>
      </c>
      <c r="P175" s="2">
        <f t="shared" si="20"/>
        <v>1017.5277777777778</v>
      </c>
    </row>
    <row r="176" spans="1:16" x14ac:dyDescent="0.45">
      <c r="A176" s="12"/>
      <c r="B176" s="4">
        <v>45117</v>
      </c>
      <c r="C176" s="20">
        <f>24+8/60</f>
        <v>24.133333333333333</v>
      </c>
      <c r="D176" s="19">
        <v>1080</v>
      </c>
      <c r="E176" s="19">
        <v>1</v>
      </c>
      <c r="F176" s="19">
        <v>17556</v>
      </c>
      <c r="G176" s="2">
        <f t="shared" si="16"/>
        <v>15212.25</v>
      </c>
      <c r="H176" s="2"/>
      <c r="I176" s="1">
        <f t="shared" si="14"/>
        <v>19.958333333333336</v>
      </c>
      <c r="J176" s="2">
        <f t="shared" si="15"/>
        <v>912</v>
      </c>
      <c r="L176" s="1">
        <f t="shared" si="17"/>
        <v>19.690000000000001</v>
      </c>
      <c r="M176" s="2">
        <f t="shared" si="18"/>
        <v>935.95</v>
      </c>
      <c r="O176" s="1">
        <f t="shared" si="19"/>
        <v>18.403240740740742</v>
      </c>
      <c r="P176" s="2">
        <f t="shared" si="20"/>
        <v>847.72222222222217</v>
      </c>
    </row>
    <row r="177" spans="1:16" x14ac:dyDescent="0.45">
      <c r="A177" s="12"/>
      <c r="B177" s="4">
        <v>45124</v>
      </c>
      <c r="C177" s="20">
        <f>16+46/60</f>
        <v>16.766666666666666</v>
      </c>
      <c r="D177" s="19">
        <v>807</v>
      </c>
      <c r="E177" s="19">
        <v>1</v>
      </c>
      <c r="F177" s="19">
        <v>11240</v>
      </c>
      <c r="G177" s="2">
        <f t="shared" si="16"/>
        <v>15460.5</v>
      </c>
      <c r="H177" s="2"/>
      <c r="I177" s="1">
        <f t="shared" si="14"/>
        <v>20.900000000000002</v>
      </c>
      <c r="J177" s="2">
        <f t="shared" si="15"/>
        <v>976.25</v>
      </c>
      <c r="L177" s="1">
        <f t="shared" si="17"/>
        <v>20.047499999999999</v>
      </c>
      <c r="M177" s="2">
        <f t="shared" si="18"/>
        <v>950.05</v>
      </c>
      <c r="O177" s="1">
        <f t="shared" si="19"/>
        <v>20.151851851851852</v>
      </c>
      <c r="P177" s="2">
        <f t="shared" si="20"/>
        <v>946.61111111111109</v>
      </c>
    </row>
    <row r="178" spans="1:16" x14ac:dyDescent="0.45">
      <c r="A178" s="12"/>
      <c r="B178" s="4">
        <v>45131</v>
      </c>
      <c r="C178" s="20">
        <v>15.25</v>
      </c>
      <c r="D178" s="19">
        <v>749</v>
      </c>
      <c r="E178" s="19">
        <v>1</v>
      </c>
      <c r="F178" s="19">
        <v>10444</v>
      </c>
      <c r="G178" s="2">
        <f t="shared" si="16"/>
        <v>13840.75</v>
      </c>
      <c r="H178" s="2"/>
      <c r="I178" s="1">
        <f t="shared" si="14"/>
        <v>19.0625</v>
      </c>
      <c r="J178" s="2">
        <f t="shared" si="15"/>
        <v>913.75</v>
      </c>
      <c r="L178" s="1">
        <f t="shared" si="17"/>
        <v>19.999166666666667</v>
      </c>
      <c r="M178" s="2">
        <f t="shared" si="18"/>
        <v>949.25</v>
      </c>
      <c r="O178" s="1">
        <f t="shared" si="19"/>
        <v>20.417592592592595</v>
      </c>
      <c r="P178" s="2">
        <f t="shared" si="20"/>
        <v>981.61111111111109</v>
      </c>
    </row>
    <row r="179" spans="1:16" x14ac:dyDescent="0.45">
      <c r="A179" s="12" t="s">
        <v>148</v>
      </c>
      <c r="B179" s="4">
        <v>45138</v>
      </c>
      <c r="C179" s="20">
        <f>17+25/60</f>
        <v>17.416666666666668</v>
      </c>
      <c r="D179" s="19">
        <v>530</v>
      </c>
      <c r="E179" s="19">
        <v>0</v>
      </c>
      <c r="F179" s="19">
        <v>10061</v>
      </c>
      <c r="G179" s="2">
        <f t="shared" si="16"/>
        <v>12325.25</v>
      </c>
      <c r="H179" s="2"/>
      <c r="I179" s="1">
        <f t="shared" si="14"/>
        <v>18.391666666666666</v>
      </c>
      <c r="J179" s="2">
        <f t="shared" si="15"/>
        <v>791.5</v>
      </c>
      <c r="L179" s="1">
        <f t="shared" si="17"/>
        <v>19.611666666666668</v>
      </c>
      <c r="M179" s="2">
        <f t="shared" si="18"/>
        <v>913.3</v>
      </c>
      <c r="O179" s="1">
        <f t="shared" si="19"/>
        <v>19.669907407407408</v>
      </c>
      <c r="P179" s="2">
        <f t="shared" si="20"/>
        <v>952.77777777777783</v>
      </c>
    </row>
    <row r="180" spans="1:16" x14ac:dyDescent="0.45">
      <c r="A180" s="12"/>
      <c r="B180" s="4">
        <v>45145</v>
      </c>
      <c r="C180" s="20">
        <v>9</v>
      </c>
      <c r="D180" s="19">
        <v>370</v>
      </c>
      <c r="E180" s="19">
        <v>0</v>
      </c>
      <c r="F180" s="19">
        <v>6332</v>
      </c>
      <c r="G180" s="2">
        <f t="shared" si="16"/>
        <v>9519.25</v>
      </c>
      <c r="H180" s="2"/>
      <c r="I180" s="1">
        <f t="shared" si="14"/>
        <v>14.608333333333334</v>
      </c>
      <c r="J180" s="2">
        <f t="shared" si="15"/>
        <v>614</v>
      </c>
      <c r="L180" s="1">
        <f t="shared" si="17"/>
        <v>18.584166666666668</v>
      </c>
      <c r="M180" s="2">
        <f t="shared" si="18"/>
        <v>841.5</v>
      </c>
      <c r="O180" s="1">
        <f t="shared" si="19"/>
        <v>18.336574074074075</v>
      </c>
      <c r="P180" s="2">
        <f t="shared" si="20"/>
        <v>828.11111111111109</v>
      </c>
    </row>
    <row r="181" spans="1:16" x14ac:dyDescent="0.45">
      <c r="A181" s="12" t="s">
        <v>249</v>
      </c>
      <c r="B181" s="4">
        <v>45152</v>
      </c>
      <c r="C181" s="20">
        <v>10</v>
      </c>
      <c r="D181" s="19">
        <v>574</v>
      </c>
      <c r="E181" s="19">
        <v>0</v>
      </c>
      <c r="F181" s="19">
        <v>8494</v>
      </c>
      <c r="G181" s="2">
        <f t="shared" si="16"/>
        <v>8832.75</v>
      </c>
      <c r="H181" s="2"/>
      <c r="I181" s="1">
        <f t="shared" si="14"/>
        <v>12.916666666666668</v>
      </c>
      <c r="J181" s="2">
        <f t="shared" si="15"/>
        <v>555.75</v>
      </c>
      <c r="L181" s="1">
        <f t="shared" si="17"/>
        <v>17.175833333333333</v>
      </c>
      <c r="M181" s="2">
        <f t="shared" si="18"/>
        <v>770.25</v>
      </c>
      <c r="O181" s="1">
        <f t="shared" si="19"/>
        <v>19.205092592592596</v>
      </c>
      <c r="P181" s="2">
        <f t="shared" si="20"/>
        <v>876.11111111111109</v>
      </c>
    </row>
    <row r="182" spans="1:16" x14ac:dyDescent="0.45">
      <c r="A182" s="12"/>
      <c r="B182" s="4">
        <v>45159</v>
      </c>
      <c r="C182" s="20">
        <v>0</v>
      </c>
      <c r="D182" s="19">
        <v>0</v>
      </c>
      <c r="E182" s="19">
        <v>0</v>
      </c>
      <c r="F182" s="19">
        <v>0</v>
      </c>
      <c r="G182" s="2">
        <f t="shared" si="16"/>
        <v>6221.75</v>
      </c>
      <c r="H182" s="2"/>
      <c r="I182" s="1">
        <f t="shared" si="14"/>
        <v>9.1041666666666679</v>
      </c>
      <c r="J182" s="2">
        <f t="shared" si="15"/>
        <v>368.5</v>
      </c>
      <c r="L182" s="1">
        <f t="shared" si="17"/>
        <v>14.816666666666668</v>
      </c>
      <c r="M182" s="2">
        <f t="shared" si="18"/>
        <v>648.70000000000005</v>
      </c>
      <c r="O182" s="1">
        <f t="shared" si="19"/>
        <v>17.3125</v>
      </c>
      <c r="P182" s="2">
        <f t="shared" si="20"/>
        <v>796.58333333333337</v>
      </c>
    </row>
    <row r="183" spans="1:16" x14ac:dyDescent="0.45">
      <c r="A183" s="12"/>
      <c r="B183" s="4">
        <v>45166</v>
      </c>
      <c r="C183" s="20">
        <f>1+49/60</f>
        <v>1.8166666666666667</v>
      </c>
      <c r="D183" s="19">
        <v>41</v>
      </c>
      <c r="E183" s="19">
        <v>0</v>
      </c>
      <c r="F183" s="19">
        <v>1012</v>
      </c>
      <c r="G183" s="2">
        <f t="shared" si="16"/>
        <v>3959.5</v>
      </c>
      <c r="H183" s="2"/>
      <c r="I183" s="1">
        <f t="shared" si="14"/>
        <v>5.2041666666666666</v>
      </c>
      <c r="J183" s="2">
        <f t="shared" si="15"/>
        <v>246.25</v>
      </c>
      <c r="L183" s="1">
        <f t="shared" si="17"/>
        <v>12.044999999999998</v>
      </c>
      <c r="M183" s="2">
        <f t="shared" si="18"/>
        <v>515.20000000000005</v>
      </c>
      <c r="O183" s="1">
        <f t="shared" si="19"/>
        <v>15.46759259259259</v>
      </c>
      <c r="P183" s="2">
        <f t="shared" si="20"/>
        <v>685.44444444444446</v>
      </c>
    </row>
    <row r="184" spans="1:16" x14ac:dyDescent="0.45">
      <c r="A184" s="12"/>
      <c r="B184" s="4">
        <v>45173</v>
      </c>
      <c r="C184" s="20">
        <v>0</v>
      </c>
      <c r="D184" s="19">
        <v>0</v>
      </c>
      <c r="E184" s="19">
        <v>1</v>
      </c>
      <c r="F184" s="19">
        <v>0</v>
      </c>
      <c r="G184" s="2">
        <f t="shared" si="16"/>
        <v>2376.5</v>
      </c>
      <c r="H184" s="2"/>
      <c r="I184" s="1">
        <f t="shared" si="14"/>
        <v>2.9541666666666666</v>
      </c>
      <c r="J184" s="2">
        <f t="shared" si="15"/>
        <v>153.75</v>
      </c>
      <c r="L184" s="1">
        <f t="shared" si="17"/>
        <v>8.9574999999999996</v>
      </c>
      <c r="M184" s="2">
        <f t="shared" si="18"/>
        <v>387.65</v>
      </c>
      <c r="O184" s="1">
        <f t="shared" si="19"/>
        <v>12.056018518518519</v>
      </c>
      <c r="P184" s="2">
        <f t="shared" si="20"/>
        <v>530.75</v>
      </c>
    </row>
    <row r="185" spans="1:16" x14ac:dyDescent="0.45">
      <c r="A185" s="12"/>
      <c r="B185" s="4">
        <v>45180</v>
      </c>
      <c r="C185" s="20">
        <f>4+4/60</f>
        <v>4.0666666666666664</v>
      </c>
      <c r="D185" s="19">
        <v>92</v>
      </c>
      <c r="E185" s="19">
        <v>1</v>
      </c>
      <c r="F185" s="19">
        <v>2094</v>
      </c>
      <c r="G185" s="2">
        <f t="shared" si="16"/>
        <v>776.5</v>
      </c>
      <c r="H185" s="2"/>
      <c r="I185" s="1">
        <f t="shared" si="14"/>
        <v>1.4708333333333332</v>
      </c>
      <c r="J185" s="2">
        <f t="shared" si="15"/>
        <v>33.25</v>
      </c>
      <c r="L185" s="1">
        <f t="shared" si="17"/>
        <v>6.33</v>
      </c>
      <c r="M185" s="2">
        <f t="shared" si="18"/>
        <v>271.5</v>
      </c>
      <c r="O185" s="1">
        <f t="shared" si="19"/>
        <v>9.9287037037037038</v>
      </c>
      <c r="P185" s="2">
        <f t="shared" si="20"/>
        <v>416.86111111111109</v>
      </c>
    </row>
    <row r="186" spans="1:16" x14ac:dyDescent="0.45">
      <c r="A186" s="12"/>
      <c r="B186" s="4">
        <v>45187</v>
      </c>
      <c r="C186" s="20">
        <f>20+55/60</f>
        <v>20.916666666666668</v>
      </c>
      <c r="D186" s="19">
        <v>651</v>
      </c>
      <c r="E186" s="19">
        <v>1</v>
      </c>
      <c r="F186" s="19">
        <v>12473</v>
      </c>
      <c r="G186" s="2">
        <f t="shared" si="16"/>
        <v>3894.75</v>
      </c>
      <c r="H186" s="2"/>
      <c r="I186" s="1">
        <f t="shared" si="14"/>
        <v>6.7</v>
      </c>
      <c r="J186" s="2">
        <f t="shared" si="15"/>
        <v>196</v>
      </c>
      <c r="L186" s="1">
        <f t="shared" si="17"/>
        <v>5.0866666666666669</v>
      </c>
      <c r="M186" s="2">
        <f t="shared" si="18"/>
        <v>199.55</v>
      </c>
      <c r="O186" s="1">
        <f t="shared" si="19"/>
        <v>8.2958333333333325</v>
      </c>
      <c r="P186" s="2">
        <f t="shared" si="20"/>
        <v>313.13888888888891</v>
      </c>
    </row>
    <row r="187" spans="1:16" x14ac:dyDescent="0.45">
      <c r="A187" s="12"/>
      <c r="B187" s="10">
        <v>45194</v>
      </c>
      <c r="C187" s="20">
        <f>30+23/60</f>
        <v>30.383333333333333</v>
      </c>
      <c r="D187" s="19">
        <v>1040</v>
      </c>
      <c r="E187" s="19">
        <v>2</v>
      </c>
      <c r="F187" s="19">
        <v>20893</v>
      </c>
      <c r="G187" s="2">
        <f t="shared" si="16"/>
        <v>8865</v>
      </c>
      <c r="H187" s="2"/>
      <c r="I187" s="1">
        <f t="shared" si="14"/>
        <v>13.841666666666667</v>
      </c>
      <c r="J187" s="2">
        <f t="shared" si="15"/>
        <v>445.75</v>
      </c>
      <c r="L187" s="1">
        <f t="shared" si="17"/>
        <v>6.0341666666666667</v>
      </c>
      <c r="M187" s="2">
        <f t="shared" si="18"/>
        <v>215</v>
      </c>
      <c r="O187" s="1">
        <f t="shared" si="19"/>
        <v>6.541666666666667</v>
      </c>
      <c r="P187" s="2">
        <f t="shared" si="20"/>
        <v>272.25</v>
      </c>
    </row>
    <row r="188" spans="1:16" x14ac:dyDescent="0.45">
      <c r="A188" s="12"/>
      <c r="B188" s="10">
        <v>45201</v>
      </c>
      <c r="C188" s="20">
        <f>26+32/60</f>
        <v>26.533333333333335</v>
      </c>
      <c r="D188" s="19">
        <v>944</v>
      </c>
      <c r="E188" s="19">
        <v>2</v>
      </c>
      <c r="F188" s="19">
        <v>17690</v>
      </c>
      <c r="G188" s="2">
        <f t="shared" si="16"/>
        <v>13287.5</v>
      </c>
      <c r="H188" s="2"/>
      <c r="I188" s="1">
        <f t="shared" si="14"/>
        <v>20.475000000000001</v>
      </c>
      <c r="J188" s="2">
        <f t="shared" si="15"/>
        <v>681.75</v>
      </c>
      <c r="L188" s="1">
        <f t="shared" si="17"/>
        <v>9.0883333333333347</v>
      </c>
      <c r="M188" s="2">
        <f t="shared" si="18"/>
        <v>302.10000000000002</v>
      </c>
      <c r="O188" s="1">
        <f t="shared" si="19"/>
        <v>7.1449074074074082</v>
      </c>
      <c r="P188" s="2">
        <f t="shared" si="20"/>
        <v>282.86111111111109</v>
      </c>
    </row>
    <row r="189" spans="1:16" x14ac:dyDescent="0.45">
      <c r="A189" s="12"/>
      <c r="B189" s="10">
        <v>45208</v>
      </c>
      <c r="C189" s="20">
        <f>23+4/60</f>
        <v>23.066666666666666</v>
      </c>
      <c r="D189" s="19">
        <v>853</v>
      </c>
      <c r="E189" s="19">
        <v>2</v>
      </c>
      <c r="F189" s="19">
        <v>14858</v>
      </c>
      <c r="G189" s="2">
        <f t="shared" si="16"/>
        <v>16478.5</v>
      </c>
      <c r="H189" s="2"/>
      <c r="I189" s="1">
        <f t="shared" si="14"/>
        <v>25.224999999999998</v>
      </c>
      <c r="J189" s="2">
        <f t="shared" si="15"/>
        <v>872</v>
      </c>
      <c r="L189" s="1">
        <f t="shared" si="17"/>
        <v>13.5425</v>
      </c>
      <c r="M189" s="2">
        <f t="shared" si="18"/>
        <v>445.75</v>
      </c>
      <c r="O189" s="1">
        <f t="shared" si="19"/>
        <v>7.8888888888888893</v>
      </c>
      <c r="P189" s="2">
        <f t="shared" si="20"/>
        <v>255.88888888888889</v>
      </c>
    </row>
    <row r="190" spans="1:16" x14ac:dyDescent="0.45">
      <c r="A190" s="12"/>
      <c r="B190" s="10">
        <v>45215</v>
      </c>
      <c r="C190" s="20">
        <f>13+43/60</f>
        <v>13.716666666666667</v>
      </c>
      <c r="D190" s="19">
        <v>597</v>
      </c>
      <c r="E190" s="19">
        <v>0</v>
      </c>
      <c r="F190" s="19">
        <v>10352</v>
      </c>
      <c r="G190" s="2">
        <f t="shared" si="16"/>
        <v>15948.25</v>
      </c>
      <c r="H190" s="2"/>
      <c r="I190" s="1">
        <f t="shared" si="14"/>
        <v>23.425000000000001</v>
      </c>
      <c r="J190" s="2">
        <f t="shared" si="15"/>
        <v>858.5</v>
      </c>
      <c r="L190" s="1">
        <f t="shared" si="17"/>
        <v>17.93333333333333</v>
      </c>
      <c r="M190" s="2">
        <f t="shared" si="18"/>
        <v>610.79999999999995</v>
      </c>
      <c r="O190" s="1">
        <f t="shared" si="19"/>
        <v>11.236111111111112</v>
      </c>
      <c r="P190" s="2">
        <f t="shared" si="20"/>
        <v>373.05555555555554</v>
      </c>
    </row>
    <row r="191" spans="1:16" x14ac:dyDescent="0.45">
      <c r="A191" s="12"/>
      <c r="B191" s="4">
        <v>45222</v>
      </c>
      <c r="C191" s="20">
        <f>24+40/60</f>
        <v>24.666666666666668</v>
      </c>
      <c r="D191" s="19">
        <v>1082</v>
      </c>
      <c r="E191" s="19">
        <v>2</v>
      </c>
      <c r="F191" s="19">
        <v>18832</v>
      </c>
      <c r="G191" s="2">
        <f t="shared" si="16"/>
        <v>15433</v>
      </c>
      <c r="H191" s="2"/>
      <c r="I191" s="1">
        <f t="shared" si="14"/>
        <v>21.995833333333334</v>
      </c>
      <c r="J191" s="2">
        <f t="shared" si="15"/>
        <v>869</v>
      </c>
      <c r="L191" s="1">
        <f t="shared" si="17"/>
        <v>20.9925</v>
      </c>
      <c r="M191" s="2">
        <f t="shared" si="18"/>
        <v>745.4</v>
      </c>
      <c r="O191" s="1">
        <f t="shared" si="19"/>
        <v>14.814351851851853</v>
      </c>
      <c r="P191" s="2">
        <f t="shared" si="20"/>
        <v>510.02777777777777</v>
      </c>
    </row>
    <row r="192" spans="1:16" x14ac:dyDescent="0.45">
      <c r="A192" s="12"/>
      <c r="B192" s="4">
        <v>45229</v>
      </c>
      <c r="C192" s="20">
        <f>23</f>
        <v>23</v>
      </c>
      <c r="D192" s="19">
        <v>985</v>
      </c>
      <c r="E192" s="19">
        <v>2</v>
      </c>
      <c r="F192" s="19">
        <v>17837</v>
      </c>
      <c r="G192" s="2">
        <f t="shared" si="16"/>
        <v>15469.75</v>
      </c>
      <c r="H192" s="2"/>
      <c r="I192" s="1">
        <f t="shared" si="14"/>
        <v>21.112500000000001</v>
      </c>
      <c r="J192" s="2">
        <f t="shared" si="15"/>
        <v>879.25</v>
      </c>
      <c r="L192" s="1">
        <f t="shared" si="17"/>
        <v>22.446666666666665</v>
      </c>
      <c r="M192" s="2">
        <f t="shared" si="18"/>
        <v>832.1</v>
      </c>
      <c r="O192" s="1">
        <f t="shared" si="19"/>
        <v>19.435185185185187</v>
      </c>
      <c r="P192" s="2">
        <f t="shared" si="20"/>
        <v>683.47222222222217</v>
      </c>
    </row>
    <row r="193" spans="1:16" x14ac:dyDescent="0.45">
      <c r="A193" s="12"/>
      <c r="B193" s="4">
        <v>45236</v>
      </c>
      <c r="C193" s="20">
        <f>14+47/60</f>
        <v>14.783333333333333</v>
      </c>
      <c r="D193" s="19">
        <v>729</v>
      </c>
      <c r="E193" s="19">
        <v>1</v>
      </c>
      <c r="F193" s="19">
        <v>6890</v>
      </c>
      <c r="G193" s="2">
        <f t="shared" si="16"/>
        <v>13477.75</v>
      </c>
      <c r="H193" s="2"/>
      <c r="I193" s="1">
        <f t="shared" si="14"/>
        <v>19.041666666666668</v>
      </c>
      <c r="J193" s="2">
        <f t="shared" si="15"/>
        <v>848.25</v>
      </c>
      <c r="L193" s="1">
        <f t="shared" si="17"/>
        <v>22.160000000000004</v>
      </c>
      <c r="M193" s="2">
        <f t="shared" si="18"/>
        <v>865.4</v>
      </c>
      <c r="O193" s="1">
        <f t="shared" si="19"/>
        <v>23.450000000000003</v>
      </c>
      <c r="P193" s="2">
        <f t="shared" si="20"/>
        <v>854.16666666666663</v>
      </c>
    </row>
    <row r="194" spans="1:16" x14ac:dyDescent="0.45">
      <c r="A194" s="12"/>
      <c r="B194" s="4">
        <v>45243</v>
      </c>
      <c r="C194" s="20">
        <f>15+1/60</f>
        <v>15.016666666666667</v>
      </c>
      <c r="D194" s="19">
        <v>784</v>
      </c>
      <c r="E194" s="19">
        <v>0</v>
      </c>
      <c r="F194" s="19">
        <v>5319</v>
      </c>
      <c r="G194" s="2">
        <f t="shared" si="16"/>
        <v>12219.5</v>
      </c>
      <c r="H194" s="2"/>
      <c r="I194" s="1">
        <f t="shared" si="14"/>
        <v>19.366666666666667</v>
      </c>
      <c r="J194" s="2">
        <f t="shared" si="15"/>
        <v>895</v>
      </c>
      <c r="L194" s="1">
        <f t="shared" si="17"/>
        <v>20.988333333333333</v>
      </c>
      <c r="M194" s="2">
        <f t="shared" si="18"/>
        <v>870</v>
      </c>
      <c r="O194" s="1">
        <f t="shared" si="19"/>
        <v>23.55648148148148</v>
      </c>
      <c r="P194" s="2">
        <f t="shared" si="20"/>
        <v>904.33333333333337</v>
      </c>
    </row>
    <row r="195" spans="1:16" x14ac:dyDescent="0.45">
      <c r="A195" s="12"/>
      <c r="B195" s="4">
        <v>45250</v>
      </c>
      <c r="C195" s="20">
        <f>10+9/60</f>
        <v>10.15</v>
      </c>
      <c r="D195" s="19">
        <v>405</v>
      </c>
      <c r="E195" s="19">
        <v>0</v>
      </c>
      <c r="F195" s="19">
        <v>7484</v>
      </c>
      <c r="G195" s="2">
        <f t="shared" si="16"/>
        <v>9382.5</v>
      </c>
      <c r="H195" s="2"/>
      <c r="I195" s="1">
        <f t="shared" si="14"/>
        <v>15.737499999999999</v>
      </c>
      <c r="J195" s="2">
        <f t="shared" si="15"/>
        <v>725.75</v>
      </c>
      <c r="L195" s="1">
        <f t="shared" si="17"/>
        <v>19.450833333333335</v>
      </c>
      <c r="M195" s="2">
        <f t="shared" si="18"/>
        <v>843.45</v>
      </c>
      <c r="O195" s="1">
        <f t="shared" si="19"/>
        <v>20.99722222222222</v>
      </c>
      <c r="P195" s="2">
        <f t="shared" si="20"/>
        <v>850.41666666666663</v>
      </c>
    </row>
    <row r="196" spans="1:16" x14ac:dyDescent="0.45">
      <c r="A196" s="12" t="s">
        <v>250</v>
      </c>
      <c r="B196" s="4">
        <v>45257</v>
      </c>
      <c r="C196" s="20">
        <f>20+18/60</f>
        <v>20.3</v>
      </c>
      <c r="D196" s="19">
        <v>1003</v>
      </c>
      <c r="E196" s="19">
        <v>1</v>
      </c>
      <c r="F196" s="19">
        <v>14223</v>
      </c>
      <c r="G196" s="2">
        <f t="shared" si="16"/>
        <v>8479</v>
      </c>
      <c r="H196" s="2"/>
      <c r="I196" s="1">
        <f t="shared" si="14"/>
        <v>15.0625</v>
      </c>
      <c r="J196" s="2">
        <f t="shared" si="15"/>
        <v>730.25</v>
      </c>
      <c r="L196" s="1">
        <f t="shared" si="17"/>
        <v>18.064166666666669</v>
      </c>
      <c r="M196" s="2">
        <f t="shared" si="18"/>
        <v>815.7</v>
      </c>
      <c r="O196" s="1">
        <f t="shared" si="19"/>
        <v>19.120370370370367</v>
      </c>
      <c r="P196" s="2">
        <f t="shared" si="20"/>
        <v>819.47222222222217</v>
      </c>
    </row>
    <row r="197" spans="1:16" x14ac:dyDescent="0.45">
      <c r="A197" s="12"/>
      <c r="B197" s="4">
        <v>45264</v>
      </c>
      <c r="C197" s="20">
        <f>21+54/60</f>
        <v>21.9</v>
      </c>
      <c r="D197" s="19">
        <v>761</v>
      </c>
      <c r="E197" s="19">
        <v>2</v>
      </c>
      <c r="F197" s="19">
        <v>10696</v>
      </c>
      <c r="G197" s="2">
        <f t="shared" si="16"/>
        <v>9430.5</v>
      </c>
      <c r="H197" s="2"/>
      <c r="I197" s="1">
        <f t="shared" ref="I197:I239" si="21">AVERAGE(C194:C197)</f>
        <v>16.841666666666669</v>
      </c>
      <c r="J197" s="2">
        <f t="shared" ref="J197:J239" si="22">AVERAGE(D194:D197)</f>
        <v>738.25</v>
      </c>
      <c r="L197" s="1">
        <f t="shared" si="17"/>
        <v>17.21</v>
      </c>
      <c r="M197" s="2">
        <f t="shared" si="18"/>
        <v>787.5</v>
      </c>
      <c r="O197" s="1">
        <f t="shared" si="19"/>
        <v>17.981481481481481</v>
      </c>
      <c r="P197" s="2">
        <f t="shared" si="20"/>
        <v>806.19444444444446</v>
      </c>
    </row>
    <row r="198" spans="1:16" x14ac:dyDescent="0.45">
      <c r="A198" s="12"/>
      <c r="B198" s="4">
        <v>45271</v>
      </c>
      <c r="C198" s="20">
        <f>6+52/60</f>
        <v>6.8666666666666671</v>
      </c>
      <c r="D198" s="19">
        <v>321</v>
      </c>
      <c r="E198" s="19">
        <v>2</v>
      </c>
      <c r="F198" s="19">
        <v>4454</v>
      </c>
      <c r="G198" s="2">
        <f t="shared" ref="G198:G261" si="23">AVERAGE(F195:F198)</f>
        <v>9214.25</v>
      </c>
      <c r="H198" s="2"/>
      <c r="I198" s="1">
        <f t="shared" si="21"/>
        <v>14.804166666666667</v>
      </c>
      <c r="J198" s="2">
        <f t="shared" si="22"/>
        <v>622.5</v>
      </c>
      <c r="L198" s="1">
        <f t="shared" si="17"/>
        <v>16.362500000000004</v>
      </c>
      <c r="M198" s="2">
        <f t="shared" si="18"/>
        <v>742.35</v>
      </c>
      <c r="O198" s="1">
        <f t="shared" si="19"/>
        <v>18.730092592592591</v>
      </c>
      <c r="P198" s="2">
        <f t="shared" si="20"/>
        <v>842.13888888888891</v>
      </c>
    </row>
    <row r="199" spans="1:16" x14ac:dyDescent="0.45">
      <c r="A199" s="12"/>
      <c r="B199" s="4">
        <v>45278</v>
      </c>
      <c r="C199" s="20">
        <f>26+57/60</f>
        <v>26.95</v>
      </c>
      <c r="D199" s="19">
        <v>1190</v>
      </c>
      <c r="E199" s="19">
        <v>1</v>
      </c>
      <c r="F199" s="19">
        <v>19506</v>
      </c>
      <c r="G199" s="2">
        <f t="shared" si="23"/>
        <v>12219.75</v>
      </c>
      <c r="H199" s="2"/>
      <c r="I199" s="1">
        <f t="shared" si="21"/>
        <v>19.004166666666666</v>
      </c>
      <c r="J199" s="2">
        <f t="shared" si="22"/>
        <v>818.75</v>
      </c>
      <c r="L199" s="1">
        <f t="shared" si="17"/>
        <v>16.29</v>
      </c>
      <c r="M199" s="2">
        <f t="shared" si="18"/>
        <v>727.1</v>
      </c>
      <c r="O199" s="1">
        <f t="shared" si="19"/>
        <v>17.108796296296298</v>
      </c>
      <c r="P199" s="2">
        <f t="shared" si="20"/>
        <v>773.30555555555554</v>
      </c>
    </row>
    <row r="200" spans="1:16" x14ac:dyDescent="0.45">
      <c r="A200" s="12"/>
      <c r="B200" s="4">
        <v>45285</v>
      </c>
      <c r="C200" s="20">
        <f>19+41/60</f>
        <v>19.683333333333334</v>
      </c>
      <c r="D200" s="19">
        <v>1021</v>
      </c>
      <c r="E200" s="19">
        <v>0</v>
      </c>
      <c r="F200" s="19">
        <v>17025</v>
      </c>
      <c r="G200" s="2">
        <f t="shared" si="23"/>
        <v>12920.25</v>
      </c>
      <c r="H200" s="2"/>
      <c r="I200" s="1">
        <f t="shared" si="21"/>
        <v>18.850000000000001</v>
      </c>
      <c r="J200" s="2">
        <f t="shared" si="22"/>
        <v>823.25</v>
      </c>
      <c r="L200" s="1">
        <f t="shared" si="17"/>
        <v>16.912500000000001</v>
      </c>
      <c r="M200" s="2">
        <f t="shared" si="18"/>
        <v>746.6</v>
      </c>
      <c r="O200" s="1">
        <f t="shared" si="19"/>
        <v>15.765740740740739</v>
      </c>
      <c r="P200" s="2">
        <f t="shared" si="20"/>
        <v>727.02777777777783</v>
      </c>
    </row>
    <row r="201" spans="1:16" x14ac:dyDescent="0.45">
      <c r="A201" s="12"/>
      <c r="B201" s="4">
        <v>45292</v>
      </c>
      <c r="C201" s="20">
        <f>17+2/60</f>
        <v>17.033333333333335</v>
      </c>
      <c r="D201" s="19">
        <v>867</v>
      </c>
      <c r="E201" s="19">
        <v>0</v>
      </c>
      <c r="F201" s="19">
        <v>11941</v>
      </c>
      <c r="G201" s="2">
        <f t="shared" si="23"/>
        <v>13231.5</v>
      </c>
      <c r="H201" s="2"/>
      <c r="I201" s="1">
        <f t="shared" si="21"/>
        <v>17.633333333333333</v>
      </c>
      <c r="J201" s="2">
        <f t="shared" si="22"/>
        <v>849.75</v>
      </c>
      <c r="L201" s="1">
        <f t="shared" ref="L201:L239" si="24">((C194)+(2*C195)+(3*C196)+(4*C197)+(4*C198)+(3*C199)+(2*C200)+(C201))/20</f>
        <v>17.426666666666669</v>
      </c>
      <c r="M201" s="2">
        <f t="shared" ref="M201:M239" si="25">((D194)+(2*D195)+(3*D196)+(4*D197)+(4*D198)+(3*D199)+(2*D200)+(D201))/20</f>
        <v>770.5</v>
      </c>
      <c r="O201" s="1">
        <f t="shared" si="19"/>
        <v>16.311111111111114</v>
      </c>
      <c r="P201" s="2">
        <f t="shared" si="20"/>
        <v>741.47222222222217</v>
      </c>
    </row>
    <row r="202" spans="1:16" x14ac:dyDescent="0.45">
      <c r="A202" s="12" t="s">
        <v>186</v>
      </c>
      <c r="B202" s="4">
        <v>45299</v>
      </c>
      <c r="C202" s="20">
        <f>20+50/60</f>
        <v>20.833333333333332</v>
      </c>
      <c r="D202" s="19">
        <v>1161</v>
      </c>
      <c r="E202" s="19">
        <v>0</v>
      </c>
      <c r="F202" s="19">
        <v>17093</v>
      </c>
      <c r="G202" s="2">
        <f t="shared" si="23"/>
        <v>16391.25</v>
      </c>
      <c r="H202" s="2"/>
      <c r="I202" s="1">
        <f t="shared" si="21"/>
        <v>21.125</v>
      </c>
      <c r="J202" s="2">
        <f t="shared" si="22"/>
        <v>1059.75</v>
      </c>
      <c r="L202" s="1">
        <f t="shared" si="24"/>
        <v>18.283333333333331</v>
      </c>
      <c r="M202" s="2">
        <f t="shared" si="25"/>
        <v>834.8</v>
      </c>
      <c r="O202" s="1">
        <f t="shared" si="19"/>
        <v>16.966203703703702</v>
      </c>
      <c r="P202" s="2">
        <f t="shared" si="20"/>
        <v>754.16666666666663</v>
      </c>
    </row>
    <row r="203" spans="1:16" x14ac:dyDescent="0.45">
      <c r="A203" s="12"/>
      <c r="B203" s="4">
        <v>45306</v>
      </c>
      <c r="C203" s="20">
        <f>16+8/60</f>
        <v>16.133333333333333</v>
      </c>
      <c r="D203" s="19">
        <v>808</v>
      </c>
      <c r="E203" s="19">
        <v>1</v>
      </c>
      <c r="F203" s="19">
        <v>13115</v>
      </c>
      <c r="G203" s="2">
        <f t="shared" si="23"/>
        <v>14793.5</v>
      </c>
      <c r="H203" s="2"/>
      <c r="I203" s="1">
        <f t="shared" si="21"/>
        <v>18.420833333333334</v>
      </c>
      <c r="J203" s="2">
        <f t="shared" si="22"/>
        <v>964.25</v>
      </c>
      <c r="L203" s="1">
        <f t="shared" si="24"/>
        <v>19.006666666666668</v>
      </c>
      <c r="M203" s="2">
        <f t="shared" si="25"/>
        <v>903.15</v>
      </c>
      <c r="O203" s="1">
        <f t="shared" si="19"/>
        <v>18.86898148148148</v>
      </c>
      <c r="P203" s="2">
        <f t="shared" si="20"/>
        <v>862.27777777777783</v>
      </c>
    </row>
    <row r="204" spans="1:16" x14ac:dyDescent="0.45">
      <c r="A204" s="12"/>
      <c r="B204" s="4">
        <v>45313</v>
      </c>
      <c r="C204" s="20">
        <f>18+50/60</f>
        <v>18.833333333333332</v>
      </c>
      <c r="D204" s="19">
        <v>1026</v>
      </c>
      <c r="E204" s="19">
        <v>2</v>
      </c>
      <c r="F204" s="19">
        <v>14195</v>
      </c>
      <c r="G204" s="2">
        <f t="shared" si="23"/>
        <v>14086</v>
      </c>
      <c r="H204" s="2"/>
      <c r="I204" s="1">
        <f t="shared" si="21"/>
        <v>18.208333333333332</v>
      </c>
      <c r="J204" s="2">
        <f t="shared" si="22"/>
        <v>965.5</v>
      </c>
      <c r="L204" s="1">
        <f t="shared" si="24"/>
        <v>18.847499999999997</v>
      </c>
      <c r="M204" s="2">
        <f t="shared" si="25"/>
        <v>932.5</v>
      </c>
      <c r="O204" s="1">
        <f t="shared" si="19"/>
        <v>18.475462962962965</v>
      </c>
      <c r="P204" s="2">
        <f t="shared" si="20"/>
        <v>838.13888888888891</v>
      </c>
    </row>
    <row r="205" spans="1:16" x14ac:dyDescent="0.45">
      <c r="A205" s="12" t="s">
        <v>57</v>
      </c>
      <c r="B205" s="4">
        <v>45320</v>
      </c>
      <c r="C205" s="20">
        <f>22+45/60</f>
        <v>22.75</v>
      </c>
      <c r="D205" s="19">
        <v>901</v>
      </c>
      <c r="E205" s="19">
        <v>0</v>
      </c>
      <c r="F205" s="19">
        <v>14583</v>
      </c>
      <c r="G205" s="2">
        <f t="shared" si="23"/>
        <v>14746.5</v>
      </c>
      <c r="H205" s="2"/>
      <c r="I205" s="1">
        <f t="shared" si="21"/>
        <v>19.637499999999999</v>
      </c>
      <c r="J205" s="2">
        <f t="shared" si="22"/>
        <v>974</v>
      </c>
      <c r="L205" s="1">
        <f t="shared" si="24"/>
        <v>19.004999999999999</v>
      </c>
      <c r="M205" s="2">
        <f t="shared" si="25"/>
        <v>962.65</v>
      </c>
      <c r="O205" s="1">
        <f t="shared" ref="O205:O239" si="26">((C205)+(C204*2)+(C203*3)+(C202*4)+(C201*5)+(C200*6)+(C199*7)+(C198*8))/36</f>
        <v>17.75</v>
      </c>
      <c r="P205" s="2">
        <f t="shared" ref="P205:P239" si="27">((D205)+(D204*2)+(D203*3)+(D202*4)+(D201*5)+(D200*6)+(D199*7)+(D198*8))/36</f>
        <v>871.66666666666663</v>
      </c>
    </row>
    <row r="206" spans="1:16" x14ac:dyDescent="0.45">
      <c r="A206" s="12" t="s">
        <v>180</v>
      </c>
      <c r="B206" s="4">
        <v>45327</v>
      </c>
      <c r="C206" s="20">
        <v>11.25</v>
      </c>
      <c r="D206" s="19">
        <v>663</v>
      </c>
      <c r="E206" s="19">
        <v>0</v>
      </c>
      <c r="F206" s="19">
        <v>9976</v>
      </c>
      <c r="G206" s="2">
        <f t="shared" si="23"/>
        <v>12967.25</v>
      </c>
      <c r="H206" s="2"/>
      <c r="I206" s="1">
        <f t="shared" si="21"/>
        <v>17.241666666666667</v>
      </c>
      <c r="J206" s="2">
        <f t="shared" si="22"/>
        <v>849.5</v>
      </c>
      <c r="L206" s="1">
        <f t="shared" si="24"/>
        <v>18.926666666666666</v>
      </c>
      <c r="M206" s="2">
        <f t="shared" si="25"/>
        <v>962.6</v>
      </c>
      <c r="O206" s="1">
        <f t="shared" si="26"/>
        <v>20.487037037037037</v>
      </c>
      <c r="P206" s="2">
        <f t="shared" si="27"/>
        <v>1012.4722222222222</v>
      </c>
    </row>
    <row r="207" spans="1:16" x14ac:dyDescent="0.45">
      <c r="A207" s="12" t="s">
        <v>102</v>
      </c>
      <c r="B207" s="4">
        <v>45334</v>
      </c>
      <c r="C207" s="20">
        <f>17+23/60</f>
        <v>17.383333333333333</v>
      </c>
      <c r="D207" s="19">
        <v>731</v>
      </c>
      <c r="E207" s="19">
        <v>1</v>
      </c>
      <c r="F207" s="19">
        <v>12496</v>
      </c>
      <c r="G207" s="2">
        <f t="shared" si="23"/>
        <v>12812.5</v>
      </c>
      <c r="H207" s="2"/>
      <c r="I207" s="1">
        <f t="shared" si="21"/>
        <v>17.554166666666667</v>
      </c>
      <c r="J207" s="2">
        <f t="shared" si="22"/>
        <v>830.25</v>
      </c>
      <c r="L207" s="1">
        <f t="shared" si="24"/>
        <v>18.212499999999999</v>
      </c>
      <c r="M207" s="2">
        <f t="shared" si="25"/>
        <v>916.7</v>
      </c>
      <c r="O207" s="1">
        <f t="shared" si="26"/>
        <v>18.49537037037037</v>
      </c>
      <c r="P207" s="2">
        <f t="shared" si="27"/>
        <v>947.41666666666663</v>
      </c>
    </row>
    <row r="208" spans="1:16" x14ac:dyDescent="0.45">
      <c r="A208" s="12"/>
      <c r="B208" s="4">
        <v>45341</v>
      </c>
      <c r="C208" s="20">
        <f>17+41/60</f>
        <v>17.683333333333334</v>
      </c>
      <c r="D208" s="19">
        <v>757</v>
      </c>
      <c r="E208" s="19">
        <v>2</v>
      </c>
      <c r="F208" s="19">
        <v>13224</v>
      </c>
      <c r="G208" s="2">
        <f t="shared" si="23"/>
        <v>12569.75</v>
      </c>
      <c r="H208" s="2"/>
      <c r="I208" s="1">
        <f t="shared" si="21"/>
        <v>17.266666666666666</v>
      </c>
      <c r="J208" s="2">
        <f t="shared" si="22"/>
        <v>763</v>
      </c>
      <c r="L208" s="1">
        <f t="shared" si="24"/>
        <v>17.981666666666666</v>
      </c>
      <c r="M208" s="2">
        <f t="shared" si="25"/>
        <v>876.45</v>
      </c>
      <c r="O208" s="1">
        <f t="shared" si="26"/>
        <v>18.062962962962963</v>
      </c>
      <c r="P208" s="2">
        <f t="shared" si="27"/>
        <v>912.58333333333337</v>
      </c>
    </row>
    <row r="209" spans="1:16" x14ac:dyDescent="0.45">
      <c r="A209" s="12"/>
      <c r="B209" s="4">
        <v>45348</v>
      </c>
      <c r="C209" s="20">
        <f>22+25/60</f>
        <v>22.416666666666668</v>
      </c>
      <c r="D209" s="19">
        <v>1185</v>
      </c>
      <c r="E209" s="19">
        <v>1</v>
      </c>
      <c r="F209" s="19">
        <v>15982</v>
      </c>
      <c r="G209" s="2">
        <f t="shared" si="23"/>
        <v>12919.5</v>
      </c>
      <c r="H209" s="2"/>
      <c r="I209" s="1">
        <f t="shared" si="21"/>
        <v>17.183333333333334</v>
      </c>
      <c r="J209" s="2">
        <f t="shared" si="22"/>
        <v>834</v>
      </c>
      <c r="L209" s="1">
        <f t="shared" si="24"/>
        <v>17.776666666666667</v>
      </c>
      <c r="M209" s="2">
        <f t="shared" si="25"/>
        <v>850.15</v>
      </c>
      <c r="O209" s="1">
        <f t="shared" si="26"/>
        <v>18.36898148148148</v>
      </c>
      <c r="P209" s="2">
        <f t="shared" si="27"/>
        <v>920.80555555555554</v>
      </c>
    </row>
    <row r="210" spans="1:16" x14ac:dyDescent="0.45">
      <c r="A210" s="12"/>
      <c r="B210" s="4">
        <v>45355</v>
      </c>
      <c r="C210" s="20">
        <f>15+14/60</f>
        <v>15.233333333333333</v>
      </c>
      <c r="D210" s="19">
        <v>678</v>
      </c>
      <c r="E210" s="19">
        <v>0</v>
      </c>
      <c r="F210" s="19">
        <v>12044</v>
      </c>
      <c r="G210" s="2">
        <f t="shared" si="23"/>
        <v>13436.5</v>
      </c>
      <c r="H210" s="2"/>
      <c r="I210" s="1">
        <f t="shared" si="21"/>
        <v>18.179166666666667</v>
      </c>
      <c r="J210" s="2">
        <f t="shared" si="22"/>
        <v>837.75</v>
      </c>
      <c r="L210" s="1">
        <f t="shared" si="24"/>
        <v>17.484999999999999</v>
      </c>
      <c r="M210" s="2">
        <f t="shared" si="25"/>
        <v>822.9</v>
      </c>
      <c r="O210" s="1">
        <f t="shared" si="26"/>
        <v>17.674999999999997</v>
      </c>
      <c r="P210" s="2">
        <f t="shared" si="27"/>
        <v>850.27777777777783</v>
      </c>
    </row>
    <row r="211" spans="1:16" x14ac:dyDescent="0.45">
      <c r="A211" s="12" t="s">
        <v>251</v>
      </c>
      <c r="B211" s="4">
        <v>45362</v>
      </c>
      <c r="C211" s="20">
        <f>17.5+38/60</f>
        <v>18.133333333333333</v>
      </c>
      <c r="D211" s="19">
        <v>1105</v>
      </c>
      <c r="E211" s="19">
        <v>0</v>
      </c>
      <c r="F211" s="19">
        <v>14510</v>
      </c>
      <c r="G211" s="2">
        <f t="shared" si="23"/>
        <v>13940</v>
      </c>
      <c r="H211" s="2"/>
      <c r="I211" s="1">
        <f t="shared" si="21"/>
        <v>18.366666666666667</v>
      </c>
      <c r="J211" s="2">
        <f t="shared" si="22"/>
        <v>931.25</v>
      </c>
      <c r="L211" s="1">
        <f t="shared" si="24"/>
        <v>17.71</v>
      </c>
      <c r="M211" s="2">
        <f t="shared" si="25"/>
        <v>839.25</v>
      </c>
      <c r="O211" s="1">
        <f t="shared" si="26"/>
        <v>18.081018518518519</v>
      </c>
      <c r="P211" s="2">
        <f t="shared" si="27"/>
        <v>866.44444444444446</v>
      </c>
    </row>
    <row r="212" spans="1:16" x14ac:dyDescent="0.45">
      <c r="A212" s="12" t="s">
        <v>252</v>
      </c>
      <c r="B212" s="4">
        <v>45369</v>
      </c>
      <c r="C212" s="20">
        <f>10+5/60</f>
        <v>10.083333333333334</v>
      </c>
      <c r="D212" s="19">
        <v>446</v>
      </c>
      <c r="E212" s="19">
        <v>1</v>
      </c>
      <c r="F212" s="19">
        <v>7718</v>
      </c>
      <c r="G212" s="2">
        <f t="shared" si="23"/>
        <v>12563.5</v>
      </c>
      <c r="H212" s="2"/>
      <c r="I212" s="1">
        <f t="shared" si="21"/>
        <v>16.466666666666665</v>
      </c>
      <c r="J212" s="2">
        <f t="shared" si="22"/>
        <v>853.5</v>
      </c>
      <c r="L212" s="1">
        <f t="shared" si="24"/>
        <v>17.4925</v>
      </c>
      <c r="M212" s="2">
        <f t="shared" si="25"/>
        <v>843.9</v>
      </c>
      <c r="O212" s="1">
        <f t="shared" si="26"/>
        <v>17.643981481481482</v>
      </c>
      <c r="P212" s="2">
        <f t="shared" si="27"/>
        <v>818.05555555555554</v>
      </c>
    </row>
    <row r="213" spans="1:16" x14ac:dyDescent="0.45">
      <c r="A213" s="12"/>
      <c r="B213" s="4">
        <v>45376</v>
      </c>
      <c r="C213" s="20">
        <f>20+1/60</f>
        <v>20.016666666666666</v>
      </c>
      <c r="D213" s="19">
        <v>925</v>
      </c>
      <c r="E213" s="19">
        <v>1</v>
      </c>
      <c r="F213" s="19">
        <v>14241</v>
      </c>
      <c r="G213" s="2">
        <f t="shared" si="23"/>
        <v>12128.25</v>
      </c>
      <c r="H213" s="2"/>
      <c r="I213" s="1">
        <f t="shared" si="21"/>
        <v>15.866666666666667</v>
      </c>
      <c r="J213" s="2">
        <f t="shared" si="22"/>
        <v>788.5</v>
      </c>
      <c r="L213" s="1">
        <f t="shared" si="24"/>
        <v>17.212499999999999</v>
      </c>
      <c r="M213" s="2">
        <f t="shared" si="25"/>
        <v>849</v>
      </c>
      <c r="O213" s="1">
        <f t="shared" si="26"/>
        <v>16.26064814814815</v>
      </c>
      <c r="P213" s="2">
        <f t="shared" si="27"/>
        <v>798.11111111111109</v>
      </c>
    </row>
    <row r="214" spans="1:16" x14ac:dyDescent="0.45">
      <c r="A214" s="12" t="s">
        <v>253</v>
      </c>
      <c r="B214" s="4">
        <v>45383</v>
      </c>
      <c r="C214" s="20">
        <f>24+3/60</f>
        <v>24.05</v>
      </c>
      <c r="D214" s="19">
        <v>1434</v>
      </c>
      <c r="E214" s="19">
        <v>0</v>
      </c>
      <c r="F214" s="19">
        <v>20536</v>
      </c>
      <c r="G214" s="2">
        <f t="shared" si="23"/>
        <v>14251.25</v>
      </c>
      <c r="H214" s="2"/>
      <c r="I214" s="1">
        <f t="shared" si="21"/>
        <v>18.070833333333333</v>
      </c>
      <c r="J214" s="2">
        <f t="shared" si="22"/>
        <v>977.5</v>
      </c>
      <c r="L214" s="1">
        <f t="shared" si="24"/>
        <v>17.39</v>
      </c>
      <c r="M214" s="2">
        <f t="shared" si="25"/>
        <v>877.7</v>
      </c>
      <c r="O214" s="1">
        <f t="shared" si="26"/>
        <v>17.788425925925921</v>
      </c>
      <c r="P214" s="2">
        <f t="shared" si="27"/>
        <v>852.47222222222217</v>
      </c>
    </row>
    <row r="215" spans="1:16" x14ac:dyDescent="0.45">
      <c r="A215" s="12" t="s">
        <v>121</v>
      </c>
      <c r="B215" s="4">
        <v>45390</v>
      </c>
      <c r="C215" s="20">
        <f>12+26/60</f>
        <v>12.433333333333334</v>
      </c>
      <c r="D215" s="19">
        <v>625</v>
      </c>
      <c r="E215" s="19">
        <v>0</v>
      </c>
      <c r="F215" s="19">
        <v>9040</v>
      </c>
      <c r="G215" s="2">
        <f t="shared" si="23"/>
        <v>12883.75</v>
      </c>
      <c r="H215" s="2"/>
      <c r="I215" s="1">
        <f t="shared" si="21"/>
        <v>16.645833333333336</v>
      </c>
      <c r="J215" s="2">
        <f t="shared" si="22"/>
        <v>857.5</v>
      </c>
      <c r="L215" s="1">
        <f t="shared" si="24"/>
        <v>17.083333333333336</v>
      </c>
      <c r="M215" s="2">
        <f t="shared" si="25"/>
        <v>881.65</v>
      </c>
      <c r="O215" s="1">
        <f t="shared" si="26"/>
        <v>17.81574074074074</v>
      </c>
      <c r="P215" s="2">
        <f t="shared" si="27"/>
        <v>888.77777777777783</v>
      </c>
    </row>
    <row r="216" spans="1:16" x14ac:dyDescent="0.45">
      <c r="A216" s="12"/>
      <c r="B216" s="4">
        <v>45397</v>
      </c>
      <c r="C216" s="20">
        <f>8+55/60</f>
        <v>8.9166666666666661</v>
      </c>
      <c r="D216" s="19">
        <v>383</v>
      </c>
      <c r="E216" s="19">
        <v>2</v>
      </c>
      <c r="F216" s="19">
        <v>6560</v>
      </c>
      <c r="G216" s="2">
        <f t="shared" si="23"/>
        <v>12594.25</v>
      </c>
      <c r="H216" s="2"/>
      <c r="I216" s="1">
        <f t="shared" si="21"/>
        <v>16.354166666666668</v>
      </c>
      <c r="J216" s="2">
        <f t="shared" si="22"/>
        <v>841.75</v>
      </c>
      <c r="L216" s="1">
        <f t="shared" si="24"/>
        <v>16.680833333333336</v>
      </c>
      <c r="M216" s="2">
        <f t="shared" si="25"/>
        <v>863.75</v>
      </c>
      <c r="O216" s="1">
        <f t="shared" si="26"/>
        <v>17.532870370370372</v>
      </c>
      <c r="P216" s="2">
        <f t="shared" si="27"/>
        <v>908.91666666666663</v>
      </c>
    </row>
    <row r="217" spans="1:16" x14ac:dyDescent="0.45">
      <c r="B217" s="4">
        <v>45404</v>
      </c>
      <c r="C217" s="20">
        <f>24+43/60</f>
        <v>24.716666666666665</v>
      </c>
      <c r="D217" s="19">
        <v>1147</v>
      </c>
      <c r="E217" s="19">
        <v>2</v>
      </c>
      <c r="F217" s="19">
        <v>19298</v>
      </c>
      <c r="G217" s="2">
        <f t="shared" si="23"/>
        <v>13858.5</v>
      </c>
      <c r="H217" s="2"/>
      <c r="I217" s="1">
        <f t="shared" si="21"/>
        <v>17.529166666666665</v>
      </c>
      <c r="J217" s="2">
        <f t="shared" si="22"/>
        <v>897.25</v>
      </c>
      <c r="L217" s="1">
        <f t="shared" si="24"/>
        <v>16.893333333333331</v>
      </c>
      <c r="M217" s="2">
        <f t="shared" si="25"/>
        <v>872.5</v>
      </c>
      <c r="O217" s="1">
        <f t="shared" si="26"/>
        <v>16.262037037037036</v>
      </c>
      <c r="P217" s="2">
        <f t="shared" si="27"/>
        <v>832.88888888888891</v>
      </c>
    </row>
    <row r="218" spans="1:16" x14ac:dyDescent="0.45">
      <c r="B218" s="4">
        <v>45411</v>
      </c>
      <c r="C218" s="20">
        <f>28+42/60</f>
        <v>28.7</v>
      </c>
      <c r="D218" s="19">
        <v>1589</v>
      </c>
      <c r="E218" s="19">
        <v>1</v>
      </c>
      <c r="F218" s="19">
        <v>24119</v>
      </c>
      <c r="G218" s="2">
        <f t="shared" si="23"/>
        <v>14754.25</v>
      </c>
      <c r="H218" s="2"/>
      <c r="I218" s="1">
        <f t="shared" si="21"/>
        <v>18.691666666666666</v>
      </c>
      <c r="J218" s="2">
        <f t="shared" si="22"/>
        <v>936</v>
      </c>
      <c r="L218" s="1">
        <f t="shared" si="24"/>
        <v>17.458333333333336</v>
      </c>
      <c r="M218" s="2">
        <f t="shared" si="25"/>
        <v>902</v>
      </c>
      <c r="O218" s="1">
        <f t="shared" si="26"/>
        <v>16.961574074074079</v>
      </c>
      <c r="P218" s="2">
        <f t="shared" si="27"/>
        <v>894.83333333333337</v>
      </c>
    </row>
    <row r="219" spans="1:16" x14ac:dyDescent="0.45">
      <c r="B219" s="4">
        <v>45418</v>
      </c>
      <c r="C219" s="20">
        <f>21+24/60</f>
        <v>21.4</v>
      </c>
      <c r="D219" s="19">
        <v>1022</v>
      </c>
      <c r="E219" s="19">
        <v>2</v>
      </c>
      <c r="F219" s="19">
        <v>16750</v>
      </c>
      <c r="G219" s="2">
        <f t="shared" si="23"/>
        <v>16681.75</v>
      </c>
      <c r="H219" s="2"/>
      <c r="I219" s="1">
        <f t="shared" si="21"/>
        <v>20.93333333333333</v>
      </c>
      <c r="J219" s="2">
        <f t="shared" si="22"/>
        <v>1035.25</v>
      </c>
      <c r="L219" s="1">
        <f t="shared" si="24"/>
        <v>18.03083333333333</v>
      </c>
      <c r="M219" s="2">
        <f t="shared" si="25"/>
        <v>913.55</v>
      </c>
      <c r="O219" s="1">
        <f t="shared" si="26"/>
        <v>17.107407407407408</v>
      </c>
      <c r="P219" s="2">
        <f t="shared" si="27"/>
        <v>859.58333333333337</v>
      </c>
    </row>
    <row r="220" spans="1:16" x14ac:dyDescent="0.45">
      <c r="A220" s="12" t="s">
        <v>123</v>
      </c>
      <c r="B220" s="4">
        <v>45425</v>
      </c>
      <c r="C220" s="20">
        <f>24+3/60</f>
        <v>24.05</v>
      </c>
      <c r="D220" s="19">
        <v>1266</v>
      </c>
      <c r="E220" s="19">
        <v>0</v>
      </c>
      <c r="F220" s="19">
        <v>17876</v>
      </c>
      <c r="G220" s="2">
        <f t="shared" si="23"/>
        <v>19510.75</v>
      </c>
      <c r="H220" s="2"/>
      <c r="I220" s="1">
        <f t="shared" si="21"/>
        <v>24.716666666666665</v>
      </c>
      <c r="J220" s="2">
        <f t="shared" si="22"/>
        <v>1256</v>
      </c>
      <c r="L220" s="1">
        <f t="shared" si="24"/>
        <v>19.645</v>
      </c>
      <c r="M220" s="2">
        <f t="shared" si="25"/>
        <v>993.25</v>
      </c>
      <c r="O220" s="1">
        <f t="shared" si="26"/>
        <v>19.430092592592594</v>
      </c>
      <c r="P220" s="2">
        <f t="shared" si="27"/>
        <v>993.55555555555554</v>
      </c>
    </row>
    <row r="221" spans="1:16" x14ac:dyDescent="0.45">
      <c r="A221" s="12" t="s">
        <v>254</v>
      </c>
      <c r="B221" s="4">
        <v>45432</v>
      </c>
      <c r="C221" s="20">
        <f>18+53/60</f>
        <v>18.883333333333333</v>
      </c>
      <c r="D221" s="19">
        <v>909</v>
      </c>
      <c r="E221" s="19">
        <v>0</v>
      </c>
      <c r="F221" s="19">
        <v>17000</v>
      </c>
      <c r="G221" s="2">
        <f t="shared" si="23"/>
        <v>18936.25</v>
      </c>
      <c r="H221" s="2"/>
      <c r="I221" s="1">
        <f t="shared" si="21"/>
        <v>23.258333333333333</v>
      </c>
      <c r="J221" s="2">
        <f t="shared" si="22"/>
        <v>1196.5</v>
      </c>
      <c r="L221" s="1">
        <f t="shared" si="24"/>
        <v>21.025833333333331</v>
      </c>
      <c r="M221" s="2">
        <f t="shared" si="25"/>
        <v>1064.2</v>
      </c>
      <c r="O221" s="1">
        <f t="shared" si="26"/>
        <v>19.513888888888889</v>
      </c>
      <c r="P221" s="2">
        <f t="shared" si="27"/>
        <v>1020.6388888888889</v>
      </c>
    </row>
    <row r="222" spans="1:16" x14ac:dyDescent="0.45">
      <c r="B222" s="4">
        <v>45439</v>
      </c>
      <c r="C222" s="1">
        <f>10+43/60</f>
        <v>10.716666666666667</v>
      </c>
      <c r="D222" s="19">
        <v>470</v>
      </c>
      <c r="E222" s="19">
        <v>1</v>
      </c>
      <c r="F222" s="19">
        <v>8495</v>
      </c>
      <c r="G222" s="2">
        <f t="shared" si="23"/>
        <v>15030.25</v>
      </c>
      <c r="H222" s="2"/>
      <c r="I222" s="1">
        <f t="shared" si="21"/>
        <v>18.762500000000003</v>
      </c>
      <c r="J222" s="2">
        <f t="shared" si="22"/>
        <v>916.75</v>
      </c>
      <c r="L222" s="1">
        <f t="shared" si="24"/>
        <v>21.272499999999994</v>
      </c>
      <c r="M222" s="2">
        <f t="shared" si="25"/>
        <v>1068.0999999999999</v>
      </c>
      <c r="O222" s="1">
        <f t="shared" si="26"/>
        <v>18.331018518518519</v>
      </c>
      <c r="P222" s="2">
        <f t="shared" si="27"/>
        <v>907.83333333333337</v>
      </c>
    </row>
    <row r="223" spans="1:16" x14ac:dyDescent="0.45">
      <c r="B223" s="4">
        <v>45446</v>
      </c>
      <c r="C223" s="1">
        <f>23+31/60</f>
        <v>23.516666666666666</v>
      </c>
      <c r="D223" s="19">
        <v>1136</v>
      </c>
      <c r="E223" s="19">
        <v>1</v>
      </c>
      <c r="F223" s="19">
        <v>17860</v>
      </c>
      <c r="G223" s="2">
        <f t="shared" si="23"/>
        <v>15307.75</v>
      </c>
      <c r="H223" s="2"/>
      <c r="I223" s="1">
        <f t="shared" si="21"/>
        <v>19.291666666666668</v>
      </c>
      <c r="J223" s="2">
        <f t="shared" si="22"/>
        <v>945.25</v>
      </c>
      <c r="L223" s="1">
        <f t="shared" si="24"/>
        <v>21.392499999999998</v>
      </c>
      <c r="M223" s="2">
        <f t="shared" si="25"/>
        <v>1069.95</v>
      </c>
      <c r="O223" s="1">
        <f t="shared" si="26"/>
        <v>20.037500000000001</v>
      </c>
      <c r="P223" s="2">
        <f t="shared" si="27"/>
        <v>989</v>
      </c>
    </row>
    <row r="224" spans="1:16" x14ac:dyDescent="0.45">
      <c r="A224" t="s">
        <v>255</v>
      </c>
      <c r="B224" s="4">
        <v>45453</v>
      </c>
      <c r="C224" s="1">
        <f>24+9/60</f>
        <v>24.15</v>
      </c>
      <c r="D224" s="19">
        <v>1165</v>
      </c>
      <c r="E224" s="19">
        <v>2</v>
      </c>
      <c r="F224" s="19">
        <v>18871</v>
      </c>
      <c r="G224" s="2">
        <f t="shared" si="23"/>
        <v>15556.5</v>
      </c>
      <c r="H224" s="2"/>
      <c r="I224" s="1">
        <f t="shared" si="21"/>
        <v>19.316666666666666</v>
      </c>
      <c r="J224" s="2">
        <f t="shared" si="22"/>
        <v>920</v>
      </c>
      <c r="L224" s="1">
        <f t="shared" si="24"/>
        <v>21.069166666666661</v>
      </c>
      <c r="M224" s="2">
        <f t="shared" si="25"/>
        <v>1046.9000000000001</v>
      </c>
      <c r="O224" s="1">
        <f t="shared" si="26"/>
        <v>22.948611111111109</v>
      </c>
      <c r="P224" s="2">
        <f t="shared" si="27"/>
        <v>1145.6666666666667</v>
      </c>
    </row>
    <row r="225" spans="1:16" x14ac:dyDescent="0.45">
      <c r="B225" s="4">
        <v>45460</v>
      </c>
      <c r="C225" s="1">
        <f>24+30/60</f>
        <v>24.5</v>
      </c>
      <c r="D225" s="19">
        <v>1124</v>
      </c>
      <c r="E225" s="19">
        <v>2</v>
      </c>
      <c r="F225" s="19">
        <v>17536</v>
      </c>
      <c r="G225" s="2">
        <f t="shared" si="23"/>
        <v>15690.5</v>
      </c>
      <c r="H225" s="2"/>
      <c r="I225" s="1">
        <f t="shared" si="21"/>
        <v>20.720833333333331</v>
      </c>
      <c r="J225" s="2">
        <f t="shared" si="22"/>
        <v>973.75</v>
      </c>
      <c r="L225" s="1">
        <f t="shared" si="24"/>
        <v>20.270000000000003</v>
      </c>
      <c r="M225" s="2">
        <f t="shared" si="25"/>
        <v>990.45</v>
      </c>
      <c r="O225" s="1">
        <f t="shared" si="26"/>
        <v>22.342592592592595</v>
      </c>
      <c r="P225" s="2">
        <f t="shared" si="27"/>
        <v>1131.9166666666667</v>
      </c>
    </row>
    <row r="226" spans="1:16" x14ac:dyDescent="0.45">
      <c r="B226" s="4">
        <v>45467</v>
      </c>
      <c r="C226" s="1">
        <f>16+8/60</f>
        <v>16.133333333333333</v>
      </c>
      <c r="D226" s="19">
        <v>724</v>
      </c>
      <c r="E226" s="19">
        <v>1</v>
      </c>
      <c r="F226" s="19">
        <v>11480</v>
      </c>
      <c r="G226" s="2">
        <f t="shared" si="23"/>
        <v>16436.75</v>
      </c>
      <c r="H226" s="2"/>
      <c r="I226" s="1">
        <f t="shared" si="21"/>
        <v>22.074999999999996</v>
      </c>
      <c r="J226" s="2">
        <f t="shared" si="22"/>
        <v>1037.25</v>
      </c>
      <c r="L226" s="1">
        <f t="shared" si="24"/>
        <v>20.033333333333335</v>
      </c>
      <c r="M226" s="2">
        <f t="shared" si="25"/>
        <v>958.6</v>
      </c>
      <c r="O226" s="1">
        <f t="shared" si="26"/>
        <v>20.502314814814813</v>
      </c>
      <c r="P226" s="2">
        <f t="shared" si="27"/>
        <v>995.91666666666663</v>
      </c>
    </row>
    <row r="227" spans="1:16" x14ac:dyDescent="0.45">
      <c r="A227" t="s">
        <v>214</v>
      </c>
      <c r="B227" s="4">
        <v>45474</v>
      </c>
      <c r="C227" s="1">
        <f>25+30/60</f>
        <v>25.5</v>
      </c>
      <c r="D227" s="19">
        <v>1222</v>
      </c>
      <c r="E227" s="19">
        <v>2</v>
      </c>
      <c r="F227" s="19">
        <v>18332</v>
      </c>
      <c r="G227" s="2">
        <f t="shared" si="23"/>
        <v>16554.75</v>
      </c>
      <c r="H227" s="2"/>
      <c r="I227" s="1">
        <f t="shared" si="21"/>
        <v>22.570833333333333</v>
      </c>
      <c r="J227" s="2">
        <f t="shared" si="22"/>
        <v>1058.75</v>
      </c>
      <c r="L227" s="1">
        <f t="shared" si="24"/>
        <v>20.794999999999998</v>
      </c>
      <c r="M227" s="2">
        <f t="shared" si="25"/>
        <v>987</v>
      </c>
      <c r="O227" s="1">
        <f t="shared" si="26"/>
        <v>20.398148148148149</v>
      </c>
      <c r="P227" s="2">
        <f t="shared" si="27"/>
        <v>991.47222222222217</v>
      </c>
    </row>
    <row r="228" spans="1:16" x14ac:dyDescent="0.45">
      <c r="B228" s="4">
        <v>45481</v>
      </c>
      <c r="C228" s="1">
        <f>15+38/60</f>
        <v>15.633333333333333</v>
      </c>
      <c r="D228" s="19">
        <v>768</v>
      </c>
      <c r="E228" s="19">
        <v>1</v>
      </c>
      <c r="F228" s="19">
        <v>11530</v>
      </c>
      <c r="G228" s="2">
        <f t="shared" si="23"/>
        <v>14719.5</v>
      </c>
      <c r="H228" s="2"/>
      <c r="I228" s="1">
        <f t="shared" si="21"/>
        <v>20.441666666666663</v>
      </c>
      <c r="J228" s="2">
        <f t="shared" si="22"/>
        <v>959.5</v>
      </c>
      <c r="L228" s="1">
        <f t="shared" si="24"/>
        <v>21.024999999999999</v>
      </c>
      <c r="M228" s="2">
        <f t="shared" si="25"/>
        <v>989.85</v>
      </c>
      <c r="O228" s="1">
        <f t="shared" si="26"/>
        <v>19.471296296296298</v>
      </c>
      <c r="P228" s="2">
        <f t="shared" si="27"/>
        <v>918.97222222222217</v>
      </c>
    </row>
    <row r="229" spans="1:16" x14ac:dyDescent="0.45">
      <c r="A229" t="s">
        <v>49</v>
      </c>
      <c r="B229" s="4">
        <v>45488</v>
      </c>
      <c r="C229" s="1">
        <f>23+45/60</f>
        <v>23.75</v>
      </c>
      <c r="D229" s="19">
        <v>943</v>
      </c>
      <c r="E229" s="19">
        <v>2</v>
      </c>
      <c r="F229" s="19">
        <v>13869</v>
      </c>
      <c r="G229" s="2">
        <f t="shared" si="23"/>
        <v>13802.75</v>
      </c>
      <c r="H229" s="2"/>
      <c r="I229" s="1">
        <f t="shared" si="21"/>
        <v>20.254166666666666</v>
      </c>
      <c r="J229" s="2">
        <f t="shared" si="22"/>
        <v>914.25</v>
      </c>
      <c r="L229" s="1">
        <f t="shared" si="24"/>
        <v>21.212499999999999</v>
      </c>
      <c r="M229" s="2">
        <f t="shared" si="25"/>
        <v>988.7</v>
      </c>
      <c r="O229" s="1">
        <f t="shared" si="26"/>
        <v>19.827777777777776</v>
      </c>
      <c r="P229" s="2">
        <f t="shared" si="27"/>
        <v>926.75</v>
      </c>
    </row>
    <row r="230" spans="1:16" x14ac:dyDescent="0.45">
      <c r="B230" s="4">
        <v>45495</v>
      </c>
      <c r="C230" s="1">
        <f>21+9/60</f>
        <v>21.15</v>
      </c>
      <c r="D230" s="19">
        <v>833</v>
      </c>
      <c r="E230" s="19">
        <v>0</v>
      </c>
      <c r="F230" s="19">
        <v>12593</v>
      </c>
      <c r="G230" s="2">
        <f t="shared" si="23"/>
        <v>14081</v>
      </c>
      <c r="H230" s="2"/>
      <c r="I230" s="1">
        <f t="shared" si="21"/>
        <v>21.508333333333333</v>
      </c>
      <c r="J230" s="2">
        <f t="shared" si="22"/>
        <v>941.5</v>
      </c>
      <c r="L230" s="1">
        <f t="shared" si="24"/>
        <v>21.369999999999997</v>
      </c>
      <c r="M230" s="2">
        <f t="shared" si="25"/>
        <v>982.25</v>
      </c>
      <c r="O230" s="1">
        <f t="shared" si="26"/>
        <v>22.288888888888888</v>
      </c>
      <c r="P230" s="2">
        <f t="shared" si="27"/>
        <v>1042.1666666666667</v>
      </c>
    </row>
    <row r="231" spans="1:16" x14ac:dyDescent="0.45">
      <c r="B231" s="4">
        <v>45502</v>
      </c>
      <c r="C231" s="1">
        <f>17+25/60</f>
        <v>17.416666666666668</v>
      </c>
      <c r="D231" s="19">
        <v>608</v>
      </c>
      <c r="E231" s="19">
        <v>1</v>
      </c>
      <c r="F231" s="19">
        <v>10192</v>
      </c>
      <c r="G231" s="2">
        <f t="shared" si="23"/>
        <v>12046</v>
      </c>
      <c r="H231" s="2"/>
      <c r="I231" s="1">
        <f t="shared" si="21"/>
        <v>19.487500000000001</v>
      </c>
      <c r="J231" s="2">
        <f t="shared" si="22"/>
        <v>788</v>
      </c>
      <c r="L231" s="1">
        <f t="shared" si="24"/>
        <v>20.852500000000003</v>
      </c>
      <c r="M231" s="2">
        <f t="shared" si="25"/>
        <v>932.4</v>
      </c>
      <c r="O231" s="1">
        <f t="shared" si="26"/>
        <v>21.736111111111111</v>
      </c>
      <c r="P231" s="2">
        <f t="shared" si="27"/>
        <v>994.91666666666663</v>
      </c>
    </row>
    <row r="232" spans="1:16" x14ac:dyDescent="0.45">
      <c r="A232" t="s">
        <v>215</v>
      </c>
      <c r="B232" s="4">
        <v>45509</v>
      </c>
      <c r="C232" s="1">
        <f>14+42/60</f>
        <v>14.7</v>
      </c>
      <c r="D232" s="19">
        <v>539</v>
      </c>
      <c r="E232" s="19">
        <v>0</v>
      </c>
      <c r="F232" s="19">
        <v>8634</v>
      </c>
      <c r="G232" s="2">
        <f t="shared" si="23"/>
        <v>11322</v>
      </c>
      <c r="H232" s="2"/>
      <c r="I232" s="1">
        <f t="shared" si="21"/>
        <v>19.254166666666666</v>
      </c>
      <c r="J232" s="2">
        <f t="shared" si="22"/>
        <v>730.75</v>
      </c>
      <c r="L232" s="1">
        <f t="shared" si="24"/>
        <v>20.189166666666662</v>
      </c>
      <c r="M232" s="2">
        <f t="shared" si="25"/>
        <v>866.8</v>
      </c>
      <c r="O232" s="1">
        <f t="shared" si="26"/>
        <v>20.780092592592592</v>
      </c>
      <c r="P232" s="2">
        <f t="shared" si="27"/>
        <v>923.83333333333337</v>
      </c>
    </row>
    <row r="233" spans="1:16" x14ac:dyDescent="0.45">
      <c r="B233" s="4">
        <v>45516</v>
      </c>
      <c r="C233" s="1">
        <f>13+4/60</f>
        <v>13.066666666666666</v>
      </c>
      <c r="D233" s="19">
        <v>576</v>
      </c>
      <c r="E233" s="19">
        <v>0</v>
      </c>
      <c r="F233" s="19">
        <v>9947</v>
      </c>
      <c r="G233" s="2">
        <f t="shared" si="23"/>
        <v>10341.5</v>
      </c>
      <c r="H233" s="2"/>
      <c r="I233" s="1">
        <f t="shared" si="21"/>
        <v>16.583333333333332</v>
      </c>
      <c r="J233" s="2">
        <f t="shared" si="22"/>
        <v>639</v>
      </c>
      <c r="L233" s="1">
        <f t="shared" si="24"/>
        <v>19.417499999999997</v>
      </c>
      <c r="M233" s="2">
        <f t="shared" si="25"/>
        <v>802.7</v>
      </c>
      <c r="O233" s="1">
        <f t="shared" si="26"/>
        <v>19.428703703703704</v>
      </c>
      <c r="P233" s="2">
        <f t="shared" si="27"/>
        <v>846.63888888888891</v>
      </c>
    </row>
    <row r="234" spans="1:16" x14ac:dyDescent="0.45">
      <c r="A234" t="s">
        <v>126</v>
      </c>
      <c r="B234" s="4">
        <v>45523</v>
      </c>
      <c r="C234" s="1">
        <f>16+1/60</f>
        <v>16.016666666666666</v>
      </c>
      <c r="D234" s="19">
        <v>548</v>
      </c>
      <c r="E234" s="19">
        <v>0</v>
      </c>
      <c r="F234" s="19">
        <v>9401</v>
      </c>
      <c r="G234" s="2">
        <f t="shared" si="23"/>
        <v>9543.5</v>
      </c>
      <c r="H234" s="2"/>
      <c r="I234" s="1">
        <f t="shared" si="21"/>
        <v>15.3</v>
      </c>
      <c r="J234" s="2">
        <f t="shared" si="22"/>
        <v>567.75</v>
      </c>
      <c r="L234" s="1">
        <f t="shared" si="24"/>
        <v>18.426666666666666</v>
      </c>
      <c r="M234" s="2">
        <f t="shared" si="25"/>
        <v>733.4</v>
      </c>
      <c r="O234" s="1">
        <f t="shared" si="26"/>
        <v>19.933333333333334</v>
      </c>
      <c r="P234" s="2">
        <f t="shared" si="27"/>
        <v>853.44444444444446</v>
      </c>
    </row>
    <row r="235" spans="1:16" x14ac:dyDescent="0.45">
      <c r="A235" t="s">
        <v>113</v>
      </c>
      <c r="B235" s="4">
        <v>45530</v>
      </c>
      <c r="C235" s="1">
        <f>20+47/60</f>
        <v>20.783333333333335</v>
      </c>
      <c r="D235" s="19">
        <v>1042</v>
      </c>
      <c r="E235" s="19">
        <v>0</v>
      </c>
      <c r="F235" s="19">
        <v>14242</v>
      </c>
      <c r="G235" s="2">
        <f t="shared" si="23"/>
        <v>10556</v>
      </c>
      <c r="H235" s="2"/>
      <c r="I235" s="1">
        <f t="shared" si="21"/>
        <v>16.141666666666666</v>
      </c>
      <c r="J235" s="2">
        <f t="shared" si="22"/>
        <v>676.25</v>
      </c>
      <c r="L235" s="1">
        <f t="shared" si="24"/>
        <v>17.353333333333332</v>
      </c>
      <c r="M235" s="2">
        <f t="shared" si="25"/>
        <v>680.35</v>
      </c>
      <c r="O235" s="1">
        <f t="shared" si="26"/>
        <v>18.225462962962961</v>
      </c>
      <c r="P235" s="2">
        <f t="shared" si="27"/>
        <v>744.58333333333337</v>
      </c>
    </row>
    <row r="236" spans="1:16" x14ac:dyDescent="0.45">
      <c r="A236" t="s">
        <v>256</v>
      </c>
      <c r="B236" s="4">
        <v>45537</v>
      </c>
      <c r="C236" s="1">
        <v>0</v>
      </c>
      <c r="D236" s="19">
        <v>0</v>
      </c>
      <c r="E236" s="19">
        <v>0</v>
      </c>
      <c r="F236" s="19">
        <v>0</v>
      </c>
      <c r="G236" s="2">
        <f t="shared" si="23"/>
        <v>8397.5</v>
      </c>
      <c r="H236" s="2"/>
      <c r="I236" s="1">
        <f t="shared" si="21"/>
        <v>12.466666666666667</v>
      </c>
      <c r="J236" s="2">
        <f t="shared" si="22"/>
        <v>541.5</v>
      </c>
      <c r="L236" s="1">
        <f t="shared" si="24"/>
        <v>15.949166666666667</v>
      </c>
      <c r="M236" s="2">
        <f t="shared" si="25"/>
        <v>631.04999999999995</v>
      </c>
      <c r="O236" s="1">
        <f t="shared" si="26"/>
        <v>18.275925925925925</v>
      </c>
      <c r="P236" s="2">
        <f t="shared" si="27"/>
        <v>715.27777777777783</v>
      </c>
    </row>
    <row r="237" spans="1:16" x14ac:dyDescent="0.45">
      <c r="B237" s="4">
        <v>45544</v>
      </c>
      <c r="C237" s="1">
        <v>0</v>
      </c>
      <c r="D237" s="19">
        <v>0</v>
      </c>
      <c r="E237" s="19">
        <v>0</v>
      </c>
      <c r="F237" s="19">
        <v>0</v>
      </c>
      <c r="G237" s="2">
        <f t="shared" si="23"/>
        <v>5910.75</v>
      </c>
      <c r="H237" s="2"/>
      <c r="I237" s="1">
        <f t="shared" si="21"/>
        <v>9.1999999999999993</v>
      </c>
      <c r="J237" s="2">
        <f t="shared" si="22"/>
        <v>397.5</v>
      </c>
      <c r="L237" s="1">
        <f t="shared" si="24"/>
        <v>13.938333333333333</v>
      </c>
      <c r="M237" s="2">
        <f t="shared" si="25"/>
        <v>564.4</v>
      </c>
      <c r="O237" s="1">
        <f t="shared" si="26"/>
        <v>15.86296296296296</v>
      </c>
      <c r="P237" s="2">
        <f t="shared" si="27"/>
        <v>620.88888888888891</v>
      </c>
    </row>
    <row r="238" spans="1:16" x14ac:dyDescent="0.45">
      <c r="B238" s="4">
        <v>45551</v>
      </c>
      <c r="C238" s="1">
        <v>0</v>
      </c>
      <c r="D238" s="19">
        <v>0</v>
      </c>
      <c r="E238" s="19">
        <v>0</v>
      </c>
      <c r="F238" s="19">
        <v>0</v>
      </c>
      <c r="G238" s="2">
        <f t="shared" si="23"/>
        <v>3560.5</v>
      </c>
      <c r="H238" s="2"/>
      <c r="I238" s="1">
        <f t="shared" si="21"/>
        <v>5.1958333333333337</v>
      </c>
      <c r="J238" s="2">
        <f t="shared" si="22"/>
        <v>260.5</v>
      </c>
      <c r="L238" s="1">
        <f t="shared" si="24"/>
        <v>11.660833333333333</v>
      </c>
      <c r="M238" s="2">
        <f t="shared" si="25"/>
        <v>488.7</v>
      </c>
      <c r="O238" s="1">
        <f t="shared" si="26"/>
        <v>13.440277777777778</v>
      </c>
      <c r="P238" s="2">
        <f t="shared" si="27"/>
        <v>527.80555555555554</v>
      </c>
    </row>
    <row r="239" spans="1:16" x14ac:dyDescent="0.45">
      <c r="A239" t="s">
        <v>257</v>
      </c>
      <c r="B239" s="4">
        <v>45558</v>
      </c>
      <c r="C239" s="1">
        <f>13+35/60</f>
        <v>13.583333333333334</v>
      </c>
      <c r="D239" s="19">
        <v>480</v>
      </c>
      <c r="E239" s="19">
        <v>1</v>
      </c>
      <c r="F239" s="19">
        <v>9441</v>
      </c>
      <c r="G239" s="2">
        <f t="shared" si="23"/>
        <v>2360.25</v>
      </c>
      <c r="H239" s="2"/>
      <c r="I239" s="1">
        <f t="shared" si="21"/>
        <v>3.3958333333333335</v>
      </c>
      <c r="J239" s="2">
        <f t="shared" si="22"/>
        <v>120</v>
      </c>
      <c r="L239" s="1">
        <f t="shared" si="24"/>
        <v>9.2799999999999994</v>
      </c>
      <c r="M239" s="2">
        <f t="shared" si="25"/>
        <v>399.15</v>
      </c>
      <c r="O239" s="1">
        <f t="shared" si="26"/>
        <v>11.74074074074074</v>
      </c>
      <c r="P239" s="2">
        <f t="shared" si="27"/>
        <v>481.16666666666669</v>
      </c>
    </row>
    <row r="240" spans="1:16" x14ac:dyDescent="0.45">
      <c r="B240" s="4">
        <v>45565</v>
      </c>
      <c r="C240" s="1">
        <f>24+6/60</f>
        <v>24.1</v>
      </c>
      <c r="D240" s="14">
        <v>875</v>
      </c>
      <c r="E240" s="14">
        <v>1</v>
      </c>
      <c r="F240" s="14">
        <v>16612</v>
      </c>
      <c r="G240" s="2">
        <f t="shared" si="23"/>
        <v>6513.25</v>
      </c>
      <c r="H240" s="2"/>
      <c r="I240" s="1">
        <f t="shared" ref="I240:I273" si="28">AVERAGE(C237:C240)</f>
        <v>9.4208333333333343</v>
      </c>
      <c r="J240" s="2">
        <f t="shared" ref="J240:J273" si="29">AVERAGE(D237:D240)</f>
        <v>338.75</v>
      </c>
      <c r="L240" s="1">
        <f t="shared" ref="L240:L273" si="30">((C233)+(2*C234)+(3*C235)+(4*C236)+(4*C237)+(3*C238)+(2*C239)+(C240))/20</f>
        <v>7.9358333333333331</v>
      </c>
      <c r="M240" s="2">
        <f t="shared" ref="M240:M273" si="31">((D233)+(2*D234)+(3*D235)+(4*D236)+(4*D237)+(3*D238)+(2*D239)+(D240))/20</f>
        <v>331.65</v>
      </c>
      <c r="O240" s="1">
        <f t="shared" ref="O240:O273" si="32">((C240)+(C239*2)+(C238*3)+(C237*4)+(C236*5)+(C235*6)+(C234*7)+(C233*8))/36</f>
        <v>10.906018518518518</v>
      </c>
      <c r="P240" s="2">
        <f t="shared" ref="P240:P273" si="33">((D240)+(D239*2)+(D238*3)+(D237*4)+(D236*5)+(D235*6)+(D234*7)+(D233*8))/36</f>
        <v>459.19444444444446</v>
      </c>
    </row>
    <row r="241" spans="1:19" x14ac:dyDescent="0.45">
      <c r="B241" s="4">
        <v>45572</v>
      </c>
      <c r="C241" s="1">
        <f>18+41/60</f>
        <v>18.683333333333334</v>
      </c>
      <c r="D241" s="14">
        <v>781</v>
      </c>
      <c r="E241" s="14">
        <v>1</v>
      </c>
      <c r="F241" s="14">
        <v>12854</v>
      </c>
      <c r="G241" s="2">
        <f t="shared" si="23"/>
        <v>9726.75</v>
      </c>
      <c r="H241" s="2"/>
      <c r="I241" s="1">
        <f t="shared" si="28"/>
        <v>14.091666666666669</v>
      </c>
      <c r="J241" s="2">
        <f t="shared" si="29"/>
        <v>534</v>
      </c>
      <c r="L241" s="1">
        <f t="shared" si="30"/>
        <v>8.2608333333333341</v>
      </c>
      <c r="M241" s="2">
        <f t="shared" si="31"/>
        <v>330.15</v>
      </c>
      <c r="O241" s="1">
        <f t="shared" si="32"/>
        <v>10.590277777777779</v>
      </c>
      <c r="P241" s="2">
        <f t="shared" si="33"/>
        <v>434.69444444444446</v>
      </c>
    </row>
    <row r="242" spans="1:19" x14ac:dyDescent="0.45">
      <c r="B242" s="4">
        <v>45579</v>
      </c>
      <c r="C242" s="1">
        <f>21+28/60</f>
        <v>21.466666666666665</v>
      </c>
      <c r="D242" s="14">
        <v>805</v>
      </c>
      <c r="E242" s="14">
        <v>2</v>
      </c>
      <c r="F242" s="14">
        <v>15536</v>
      </c>
      <c r="G242" s="2">
        <f t="shared" si="23"/>
        <v>13610.75</v>
      </c>
      <c r="H242" s="2"/>
      <c r="I242" s="1">
        <f t="shared" si="28"/>
        <v>19.458333333333336</v>
      </c>
      <c r="J242" s="2">
        <f t="shared" si="29"/>
        <v>735.25</v>
      </c>
      <c r="L242" s="1">
        <f t="shared" si="30"/>
        <v>10.312500000000002</v>
      </c>
      <c r="M242" s="2">
        <f t="shared" si="31"/>
        <v>397.7</v>
      </c>
      <c r="O242" s="1">
        <f t="shared" si="32"/>
        <v>9.7703703703703706</v>
      </c>
      <c r="P242" s="2">
        <f t="shared" si="33"/>
        <v>423.55555555555554</v>
      </c>
    </row>
    <row r="243" spans="1:19" x14ac:dyDescent="0.45">
      <c r="B243" s="4">
        <v>45586</v>
      </c>
      <c r="C243" s="1">
        <f>9+16/60</f>
        <v>9.2666666666666675</v>
      </c>
      <c r="D243" s="14">
        <v>390</v>
      </c>
      <c r="E243" s="14">
        <v>1</v>
      </c>
      <c r="F243" s="14">
        <v>7049</v>
      </c>
      <c r="G243" s="2">
        <f t="shared" si="23"/>
        <v>13012.75</v>
      </c>
      <c r="H243" s="2"/>
      <c r="I243" s="1">
        <f t="shared" si="28"/>
        <v>18.379166666666666</v>
      </c>
      <c r="J243" s="2">
        <f t="shared" si="29"/>
        <v>712.75</v>
      </c>
      <c r="L243" s="1">
        <f t="shared" si="30"/>
        <v>12.949166666666667</v>
      </c>
      <c r="M243" s="2">
        <f t="shared" si="31"/>
        <v>488.15</v>
      </c>
      <c r="O243" s="1">
        <f t="shared" si="32"/>
        <v>7.5712962962962962</v>
      </c>
      <c r="P243" s="2">
        <f t="shared" si="33"/>
        <v>284.52777777777777</v>
      </c>
    </row>
    <row r="244" spans="1:19" x14ac:dyDescent="0.45">
      <c r="B244" s="4">
        <v>45593</v>
      </c>
      <c r="C244" s="1">
        <f>21+50/60</f>
        <v>21.833333333333332</v>
      </c>
      <c r="D244" s="14">
        <v>901</v>
      </c>
      <c r="E244" s="14">
        <v>1</v>
      </c>
      <c r="F244" s="14">
        <v>16068</v>
      </c>
      <c r="G244" s="2">
        <f t="shared" si="23"/>
        <v>12876.75</v>
      </c>
      <c r="H244" s="2"/>
      <c r="I244" s="1">
        <f t="shared" si="28"/>
        <v>17.8125</v>
      </c>
      <c r="J244" s="2">
        <f t="shared" si="29"/>
        <v>719.25</v>
      </c>
      <c r="L244" s="1">
        <f t="shared" si="30"/>
        <v>15.8325</v>
      </c>
      <c r="M244" s="2">
        <f t="shared" si="31"/>
        <v>608</v>
      </c>
      <c r="O244" s="1">
        <f t="shared" si="32"/>
        <v>10.597222222222221</v>
      </c>
      <c r="P244" s="2">
        <f t="shared" si="33"/>
        <v>402.08333333333331</v>
      </c>
    </row>
    <row r="245" spans="1:19" x14ac:dyDescent="0.45">
      <c r="B245" s="4">
        <v>45600</v>
      </c>
      <c r="C245" s="1">
        <f>14+51/60</f>
        <v>14.85</v>
      </c>
      <c r="D245" s="14">
        <v>816</v>
      </c>
      <c r="E245" s="14">
        <v>1</v>
      </c>
      <c r="F245" s="14">
        <v>10979</v>
      </c>
      <c r="G245" s="2">
        <f t="shared" si="23"/>
        <v>12408</v>
      </c>
      <c r="H245" s="2"/>
      <c r="I245" s="1">
        <f t="shared" si="28"/>
        <v>16.854166666666664</v>
      </c>
      <c r="J245" s="2">
        <f t="shared" si="29"/>
        <v>728</v>
      </c>
      <c r="L245" s="1">
        <f t="shared" si="30"/>
        <v>17.319166666666668</v>
      </c>
      <c r="M245" s="2">
        <f t="shared" si="31"/>
        <v>685.85</v>
      </c>
      <c r="O245" s="1">
        <f t="shared" si="32"/>
        <v>14.03564814814815</v>
      </c>
      <c r="P245" s="2">
        <f t="shared" si="33"/>
        <v>542.30555555555554</v>
      </c>
    </row>
    <row r="246" spans="1:19" x14ac:dyDescent="0.45">
      <c r="A246" t="s">
        <v>258</v>
      </c>
      <c r="B246" s="4">
        <v>45607</v>
      </c>
      <c r="C246" s="1">
        <f>16+53/60</f>
        <v>16.883333333333333</v>
      </c>
      <c r="D246" s="14">
        <v>1007</v>
      </c>
      <c r="E246" s="14">
        <v>0</v>
      </c>
      <c r="F246" s="14">
        <v>10097</v>
      </c>
      <c r="G246" s="2">
        <f t="shared" si="23"/>
        <v>11048.25</v>
      </c>
      <c r="H246" s="2"/>
      <c r="I246" s="1">
        <f t="shared" si="28"/>
        <v>15.708333333333334</v>
      </c>
      <c r="J246" s="2">
        <f t="shared" si="29"/>
        <v>778.5</v>
      </c>
      <c r="L246" s="1">
        <f t="shared" si="30"/>
        <v>17.642499999999998</v>
      </c>
      <c r="M246" s="2">
        <f t="shared" si="31"/>
        <v>734.75</v>
      </c>
      <c r="O246" s="1">
        <f t="shared" si="32"/>
        <v>17.943055555555556</v>
      </c>
      <c r="P246" s="2">
        <f t="shared" si="33"/>
        <v>710.5</v>
      </c>
    </row>
    <row r="247" spans="1:19" x14ac:dyDescent="0.45">
      <c r="B247" s="4">
        <v>45614</v>
      </c>
      <c r="C247" s="1">
        <f>19+4/60</f>
        <v>19.066666666666666</v>
      </c>
      <c r="D247" s="14">
        <v>806</v>
      </c>
      <c r="E247" s="14">
        <v>1</v>
      </c>
      <c r="F247" s="14">
        <v>13555</v>
      </c>
      <c r="G247" s="2">
        <f t="shared" si="23"/>
        <v>12674.75</v>
      </c>
      <c r="H247" s="2"/>
      <c r="I247" s="1">
        <f t="shared" si="28"/>
        <v>18.158333333333331</v>
      </c>
      <c r="J247" s="2">
        <f t="shared" si="29"/>
        <v>882.5</v>
      </c>
      <c r="L247" s="1">
        <f t="shared" si="30"/>
        <v>17.3825</v>
      </c>
      <c r="M247" s="2">
        <f t="shared" si="31"/>
        <v>764.2</v>
      </c>
      <c r="O247" s="1">
        <f t="shared" si="32"/>
        <v>18.984259259259261</v>
      </c>
      <c r="P247" s="2">
        <f t="shared" si="33"/>
        <v>781.08333333333337</v>
      </c>
    </row>
    <row r="248" spans="1:19" x14ac:dyDescent="0.45">
      <c r="B248" s="4">
        <v>45621</v>
      </c>
      <c r="C248" s="1">
        <f>21+59/60</f>
        <v>21.983333333333334</v>
      </c>
      <c r="D248" s="14">
        <v>995</v>
      </c>
      <c r="E248" s="14">
        <v>1</v>
      </c>
      <c r="F248" s="14">
        <v>15907</v>
      </c>
      <c r="G248" s="2">
        <f t="shared" si="23"/>
        <v>12634.5</v>
      </c>
      <c r="H248" s="2"/>
      <c r="I248" s="1">
        <f t="shared" si="28"/>
        <v>18.195833333333333</v>
      </c>
      <c r="J248" s="2">
        <f t="shared" si="29"/>
        <v>906</v>
      </c>
      <c r="L248" s="1">
        <f t="shared" si="30"/>
        <v>17.345833333333335</v>
      </c>
      <c r="M248" s="2">
        <f t="shared" si="31"/>
        <v>802.85</v>
      </c>
      <c r="O248" s="1">
        <f t="shared" si="32"/>
        <v>17.62962962962963</v>
      </c>
      <c r="P248" s="2">
        <f t="shared" si="33"/>
        <v>767.22222222222217</v>
      </c>
    </row>
    <row r="249" spans="1:19" x14ac:dyDescent="0.45">
      <c r="B249" s="4">
        <v>45628</v>
      </c>
      <c r="C249" s="1">
        <f>16+49/60</f>
        <v>16.816666666666666</v>
      </c>
      <c r="D249" s="14">
        <v>781</v>
      </c>
      <c r="E249" s="14">
        <v>1</v>
      </c>
      <c r="F249" s="14">
        <v>13423</v>
      </c>
      <c r="G249" s="2">
        <f t="shared" si="23"/>
        <v>13245.5</v>
      </c>
      <c r="H249" s="2"/>
      <c r="I249" s="1">
        <f t="shared" si="28"/>
        <v>18.6875</v>
      </c>
      <c r="J249" s="2">
        <f t="shared" si="29"/>
        <v>897.25</v>
      </c>
      <c r="L249" s="1">
        <f t="shared" si="30"/>
        <v>17.520833333333336</v>
      </c>
      <c r="M249" s="2">
        <f t="shared" si="31"/>
        <v>838.45</v>
      </c>
      <c r="O249" s="1">
        <f t="shared" si="32"/>
        <v>17.42685185185185</v>
      </c>
      <c r="P249" s="2">
        <f t="shared" si="33"/>
        <v>774.25</v>
      </c>
    </row>
    <row r="250" spans="1:19" x14ac:dyDescent="0.45">
      <c r="B250" s="4">
        <v>45635</v>
      </c>
      <c r="C250" s="1">
        <f>25+15/60</f>
        <v>25.25</v>
      </c>
      <c r="D250" s="14">
        <v>1255</v>
      </c>
      <c r="E250" s="14">
        <v>1</v>
      </c>
      <c r="F250" s="14">
        <v>19046</v>
      </c>
      <c r="G250" s="2">
        <f t="shared" si="23"/>
        <v>15482.75</v>
      </c>
      <c r="H250" s="2"/>
      <c r="I250" s="1">
        <f t="shared" si="28"/>
        <v>20.779166666666665</v>
      </c>
      <c r="J250" s="2">
        <f t="shared" si="29"/>
        <v>959.25</v>
      </c>
      <c r="L250" s="1">
        <f t="shared" si="30"/>
        <v>18.305833333333332</v>
      </c>
      <c r="M250" s="2">
        <f t="shared" si="31"/>
        <v>884.7</v>
      </c>
      <c r="O250" s="1">
        <f t="shared" si="32"/>
        <v>16.710648148148149</v>
      </c>
      <c r="P250" s="2">
        <f t="shared" si="33"/>
        <v>788.44444444444446</v>
      </c>
    </row>
    <row r="251" spans="1:19" x14ac:dyDescent="0.45">
      <c r="B251" s="4">
        <v>45642</v>
      </c>
      <c r="C251" s="1">
        <f>19+55/60</f>
        <v>19.916666666666668</v>
      </c>
      <c r="D251" s="14">
        <v>853</v>
      </c>
      <c r="E251" s="14">
        <v>0</v>
      </c>
      <c r="F251" s="14">
        <v>13805</v>
      </c>
      <c r="G251" s="2">
        <f t="shared" si="23"/>
        <v>15545.25</v>
      </c>
      <c r="H251" s="2"/>
      <c r="I251" s="1">
        <f t="shared" si="28"/>
        <v>20.991666666666667</v>
      </c>
      <c r="J251" s="2">
        <f t="shared" si="29"/>
        <v>971</v>
      </c>
      <c r="L251" s="1">
        <f t="shared" si="30"/>
        <v>19.362500000000001</v>
      </c>
      <c r="M251" s="2">
        <f t="shared" si="31"/>
        <v>923.2</v>
      </c>
      <c r="O251" s="1">
        <f t="shared" si="32"/>
        <v>19.001388888888886</v>
      </c>
      <c r="P251" s="2">
        <f t="shared" si="33"/>
        <v>907.72222222222217</v>
      </c>
    </row>
    <row r="252" spans="1:19" x14ac:dyDescent="0.45">
      <c r="A252" t="s">
        <v>259</v>
      </c>
      <c r="B252" s="4">
        <v>45649</v>
      </c>
      <c r="C252" s="1">
        <f>21+24/60</f>
        <v>21.4</v>
      </c>
      <c r="D252" s="14">
        <v>1085</v>
      </c>
      <c r="E252" s="14">
        <v>1</v>
      </c>
      <c r="F252" s="14">
        <v>16675</v>
      </c>
      <c r="G252" s="2">
        <f t="shared" si="23"/>
        <v>15737.25</v>
      </c>
      <c r="H252" s="2"/>
      <c r="I252" s="1">
        <f t="shared" si="28"/>
        <v>20.845833333333331</v>
      </c>
      <c r="J252" s="2">
        <f t="shared" si="29"/>
        <v>993.5</v>
      </c>
      <c r="L252" s="1">
        <f t="shared" si="30"/>
        <v>19.899999999999999</v>
      </c>
      <c r="M252" s="2">
        <f t="shared" si="31"/>
        <v>945.4</v>
      </c>
      <c r="O252" s="1">
        <f t="shared" si="32"/>
        <v>18.487499999999997</v>
      </c>
      <c r="P252" s="2">
        <f t="shared" si="33"/>
        <v>918.55555555555554</v>
      </c>
    </row>
    <row r="253" spans="1:19" x14ac:dyDescent="0.45">
      <c r="B253" s="4">
        <v>45656</v>
      </c>
      <c r="C253" s="1">
        <f>24+1/60</f>
        <v>24.016666666666666</v>
      </c>
      <c r="D253" s="14">
        <v>1090</v>
      </c>
      <c r="E253" s="14">
        <v>1</v>
      </c>
      <c r="F253" s="14">
        <v>17671</v>
      </c>
      <c r="G253" s="2">
        <f t="shared" si="23"/>
        <v>16799.25</v>
      </c>
      <c r="H253" s="2"/>
      <c r="I253" s="1">
        <f t="shared" si="28"/>
        <v>22.645833333333332</v>
      </c>
      <c r="J253" s="2">
        <f t="shared" si="29"/>
        <v>1070.75</v>
      </c>
      <c r="L253" s="1">
        <f t="shared" si="30"/>
        <v>20.79</v>
      </c>
      <c r="M253" s="2">
        <f t="shared" si="31"/>
        <v>978.35</v>
      </c>
      <c r="O253" s="1">
        <f t="shared" si="32"/>
        <v>19.780092592592592</v>
      </c>
      <c r="P253" s="2">
        <f t="shared" si="33"/>
        <v>955.88888888888891</v>
      </c>
    </row>
    <row r="254" spans="1:19" x14ac:dyDescent="0.45">
      <c r="B254" s="4">
        <v>45663</v>
      </c>
      <c r="C254" s="1">
        <f>17+46/60</f>
        <v>17.766666666666666</v>
      </c>
      <c r="D254" s="14">
        <v>767</v>
      </c>
      <c r="E254" s="14">
        <v>1</v>
      </c>
      <c r="F254" s="14">
        <v>12596</v>
      </c>
      <c r="G254" s="2">
        <f t="shared" si="23"/>
        <v>15186.75</v>
      </c>
      <c r="H254" s="2"/>
      <c r="I254" s="1">
        <f t="shared" si="28"/>
        <v>20.774999999999999</v>
      </c>
      <c r="J254" s="2">
        <f t="shared" si="29"/>
        <v>948.75</v>
      </c>
      <c r="L254" s="1">
        <f t="shared" si="30"/>
        <v>21.2075</v>
      </c>
      <c r="M254" s="2">
        <f t="shared" si="31"/>
        <v>988.65</v>
      </c>
      <c r="O254" s="1">
        <f t="shared" si="32"/>
        <v>20.645370370370372</v>
      </c>
      <c r="P254" s="2">
        <f t="shared" si="33"/>
        <v>944.11111111111109</v>
      </c>
      <c r="R254" s="2"/>
      <c r="S254" s="2"/>
    </row>
    <row r="255" spans="1:19" x14ac:dyDescent="0.45">
      <c r="A255" t="s">
        <v>260</v>
      </c>
      <c r="B255" s="4">
        <v>45670</v>
      </c>
      <c r="C255" s="1">
        <f>20+7/60</f>
        <v>20.116666666666667</v>
      </c>
      <c r="D255" s="14">
        <v>838</v>
      </c>
      <c r="E255" s="14">
        <v>0</v>
      </c>
      <c r="F255" s="14">
        <v>12479</v>
      </c>
      <c r="G255" s="2">
        <f t="shared" si="23"/>
        <v>14855.25</v>
      </c>
      <c r="H255" s="2"/>
      <c r="I255" s="1">
        <f t="shared" si="28"/>
        <v>20.824999999999999</v>
      </c>
      <c r="J255" s="2">
        <f t="shared" si="29"/>
        <v>945</v>
      </c>
      <c r="L255" s="1">
        <f t="shared" si="30"/>
        <v>21.216666666666669</v>
      </c>
      <c r="M255" s="2">
        <f t="shared" si="31"/>
        <v>985.8</v>
      </c>
      <c r="O255" s="1">
        <f t="shared" si="32"/>
        <v>21.05462962962963</v>
      </c>
      <c r="P255" s="2">
        <f t="shared" si="33"/>
        <v>977.88888888888891</v>
      </c>
      <c r="R255" s="2"/>
      <c r="S255" s="2"/>
    </row>
    <row r="256" spans="1:19" x14ac:dyDescent="0.45">
      <c r="A256" t="s">
        <v>41</v>
      </c>
      <c r="B256" s="4">
        <v>45677</v>
      </c>
      <c r="C256" s="1">
        <f>23+30/60</f>
        <v>23.5</v>
      </c>
      <c r="D256" s="14">
        <v>1291</v>
      </c>
      <c r="E256" s="14">
        <v>0</v>
      </c>
      <c r="F256" s="14">
        <v>17886</v>
      </c>
      <c r="G256" s="2">
        <f t="shared" si="23"/>
        <v>15158</v>
      </c>
      <c r="H256" s="2"/>
      <c r="I256" s="1">
        <f t="shared" si="28"/>
        <v>21.35</v>
      </c>
      <c r="J256" s="2">
        <f t="shared" si="29"/>
        <v>996.5</v>
      </c>
      <c r="L256" s="1">
        <f t="shared" si="30"/>
        <v>21.288333333333334</v>
      </c>
      <c r="M256" s="2">
        <f t="shared" si="31"/>
        <v>990.9</v>
      </c>
      <c r="O256" s="1">
        <f t="shared" si="32"/>
        <v>20.857870370370371</v>
      </c>
      <c r="P256" s="2">
        <f t="shared" si="33"/>
        <v>977.88888888888891</v>
      </c>
      <c r="R256" s="2"/>
      <c r="S256" s="2"/>
    </row>
    <row r="257" spans="1:19" x14ac:dyDescent="0.45">
      <c r="A257" t="s">
        <v>261</v>
      </c>
      <c r="B257" s="4">
        <v>45684</v>
      </c>
      <c r="C257" s="1">
        <f>18+12/60</f>
        <v>18.2</v>
      </c>
      <c r="D257" s="14">
        <v>923</v>
      </c>
      <c r="E257" s="14">
        <v>0</v>
      </c>
      <c r="F257" s="14">
        <v>13463</v>
      </c>
      <c r="G257" s="2">
        <f t="shared" si="23"/>
        <v>14106</v>
      </c>
      <c r="H257" s="2"/>
      <c r="I257" s="1">
        <f t="shared" si="28"/>
        <v>19.895833333333332</v>
      </c>
      <c r="J257" s="2">
        <f t="shared" si="29"/>
        <v>954.75</v>
      </c>
      <c r="L257" s="1">
        <f t="shared" si="30"/>
        <v>21.098333333333333</v>
      </c>
      <c r="M257" s="2">
        <f t="shared" si="31"/>
        <v>983.15</v>
      </c>
      <c r="O257" s="1">
        <f t="shared" si="32"/>
        <v>21.847685185185185</v>
      </c>
      <c r="P257" s="2">
        <f t="shared" si="33"/>
        <v>1029.3888888888889</v>
      </c>
      <c r="R257" s="2"/>
      <c r="S257" s="2"/>
    </row>
    <row r="258" spans="1:19" x14ac:dyDescent="0.45">
      <c r="A258" t="s">
        <v>180</v>
      </c>
      <c r="B258" s="4">
        <v>45691</v>
      </c>
      <c r="C258" s="1">
        <f>13+28/60</f>
        <v>13.466666666666667</v>
      </c>
      <c r="D258" s="14">
        <v>719</v>
      </c>
      <c r="E258" s="14">
        <v>0</v>
      </c>
      <c r="F258" s="14">
        <v>11327</v>
      </c>
      <c r="G258" s="2">
        <f t="shared" si="23"/>
        <v>13788.75</v>
      </c>
      <c r="H258" s="2"/>
      <c r="I258" s="1">
        <f t="shared" si="28"/>
        <v>18.820833333333333</v>
      </c>
      <c r="J258" s="2">
        <f t="shared" si="29"/>
        <v>942.75</v>
      </c>
      <c r="L258" s="1">
        <f t="shared" si="30"/>
        <v>20.333333333333329</v>
      </c>
      <c r="M258" s="2">
        <f t="shared" si="31"/>
        <v>957.55</v>
      </c>
      <c r="O258" s="1">
        <f t="shared" si="32"/>
        <v>20.636111111111109</v>
      </c>
      <c r="P258" s="2">
        <f t="shared" si="33"/>
        <v>960.66666666666663</v>
      </c>
      <c r="R258" s="2"/>
      <c r="S258" s="2"/>
    </row>
    <row r="259" spans="1:19" x14ac:dyDescent="0.45">
      <c r="A259" t="s">
        <v>262</v>
      </c>
      <c r="B259" s="4">
        <v>45698</v>
      </c>
      <c r="C259" s="1">
        <f>20+43/60</f>
        <v>20.716666666666665</v>
      </c>
      <c r="D259" s="14">
        <v>845</v>
      </c>
      <c r="E259" s="14">
        <v>0</v>
      </c>
      <c r="F259" s="14">
        <v>15497</v>
      </c>
      <c r="G259" s="2">
        <f t="shared" si="23"/>
        <v>14543.25</v>
      </c>
      <c r="H259" s="2"/>
      <c r="I259" s="1">
        <f t="shared" si="28"/>
        <v>18.970833333333335</v>
      </c>
      <c r="J259" s="2">
        <f t="shared" si="29"/>
        <v>944.5</v>
      </c>
      <c r="L259" s="1">
        <f t="shared" si="30"/>
        <v>19.972499999999997</v>
      </c>
      <c r="M259" s="2">
        <f t="shared" si="31"/>
        <v>956.7</v>
      </c>
      <c r="O259" s="1">
        <f t="shared" si="32"/>
        <v>20.631944444444443</v>
      </c>
      <c r="P259" s="2">
        <f t="shared" si="33"/>
        <v>981.05555555555554</v>
      </c>
      <c r="R259" s="2"/>
      <c r="S259" s="2"/>
    </row>
    <row r="260" spans="1:19" x14ac:dyDescent="0.45">
      <c r="A260" t="s">
        <v>263</v>
      </c>
      <c r="B260" s="4">
        <v>45705</v>
      </c>
      <c r="C260" s="1">
        <f>25+59/60</f>
        <v>25.983333333333334</v>
      </c>
      <c r="D260" s="14">
        <v>1085</v>
      </c>
      <c r="E260" s="14">
        <v>0</v>
      </c>
      <c r="F260" s="14">
        <v>16517</v>
      </c>
      <c r="G260" s="2">
        <f t="shared" si="23"/>
        <v>14201</v>
      </c>
      <c r="H260" s="2"/>
      <c r="I260" s="1">
        <f t="shared" si="28"/>
        <v>19.591666666666665</v>
      </c>
      <c r="J260" s="2">
        <f t="shared" si="29"/>
        <v>893</v>
      </c>
      <c r="L260" s="1">
        <f t="shared" si="30"/>
        <v>19.725833333333334</v>
      </c>
      <c r="M260" s="2">
        <f t="shared" si="31"/>
        <v>946.3</v>
      </c>
      <c r="O260" s="1">
        <f t="shared" si="32"/>
        <v>20.42546296296296</v>
      </c>
      <c r="P260" s="2">
        <f t="shared" si="33"/>
        <v>949.88888888888891</v>
      </c>
      <c r="R260" s="2"/>
      <c r="S260" s="2"/>
    </row>
    <row r="261" spans="1:19" x14ac:dyDescent="0.45">
      <c r="B261" s="4">
        <v>45712</v>
      </c>
      <c r="C261" s="1">
        <f>11+34/60</f>
        <v>11.566666666666666</v>
      </c>
      <c r="D261" s="14">
        <v>469</v>
      </c>
      <c r="E261" s="14">
        <v>2</v>
      </c>
      <c r="F261" s="14">
        <v>8281</v>
      </c>
      <c r="G261" s="2">
        <f t="shared" si="23"/>
        <v>12905.5</v>
      </c>
      <c r="H261" s="2"/>
      <c r="I261" s="1">
        <f t="shared" si="28"/>
        <v>17.933333333333334</v>
      </c>
      <c r="J261" s="2">
        <f t="shared" si="29"/>
        <v>779.5</v>
      </c>
      <c r="L261" s="1">
        <f t="shared" si="30"/>
        <v>19.042499999999997</v>
      </c>
      <c r="M261" s="2">
        <f t="shared" si="31"/>
        <v>902.9</v>
      </c>
      <c r="O261" s="1">
        <f t="shared" si="32"/>
        <v>19.291666666666664</v>
      </c>
      <c r="P261" s="2">
        <f t="shared" si="33"/>
        <v>900.36111111111109</v>
      </c>
      <c r="R261" s="2"/>
      <c r="S261" s="2"/>
    </row>
    <row r="262" spans="1:19" x14ac:dyDescent="0.45">
      <c r="A262" t="s">
        <v>264</v>
      </c>
      <c r="B262" s="4">
        <v>45719</v>
      </c>
      <c r="C262" s="1">
        <f>22+47/60</f>
        <v>22.783333333333335</v>
      </c>
      <c r="D262" s="14">
        <v>1091</v>
      </c>
      <c r="E262" s="14">
        <v>0</v>
      </c>
      <c r="F262" s="14">
        <v>17367</v>
      </c>
      <c r="G262" s="2">
        <f t="shared" ref="G262:G273" si="34">AVERAGE(F259:F262)</f>
        <v>14415.5</v>
      </c>
      <c r="H262" s="2"/>
      <c r="I262" s="1">
        <f t="shared" si="28"/>
        <v>20.262499999999999</v>
      </c>
      <c r="J262" s="2">
        <f t="shared" si="29"/>
        <v>872.5</v>
      </c>
      <c r="L262" s="1">
        <f t="shared" si="30"/>
        <v>19.115833333333335</v>
      </c>
      <c r="M262" s="2">
        <f t="shared" si="31"/>
        <v>886.45</v>
      </c>
      <c r="O262" s="1">
        <f t="shared" si="32"/>
        <v>19.686111111111114</v>
      </c>
      <c r="P262" s="2">
        <f t="shared" si="33"/>
        <v>931.61111111111109</v>
      </c>
      <c r="R262" s="2"/>
      <c r="S262" s="2"/>
    </row>
    <row r="263" spans="1:19" x14ac:dyDescent="0.45">
      <c r="B263" s="4">
        <v>45726</v>
      </c>
      <c r="C263" s="1">
        <f>17+58/60</f>
        <v>17.966666666666665</v>
      </c>
      <c r="D263" s="14">
        <v>878</v>
      </c>
      <c r="E263" s="14">
        <v>0</v>
      </c>
      <c r="F263" s="14">
        <v>14606</v>
      </c>
      <c r="G263" s="2">
        <f t="shared" si="34"/>
        <v>14192.75</v>
      </c>
      <c r="H263" s="2"/>
      <c r="I263" s="1">
        <f t="shared" si="28"/>
        <v>19.574999999999999</v>
      </c>
      <c r="J263" s="2">
        <f t="shared" si="29"/>
        <v>880.75</v>
      </c>
      <c r="L263" s="1">
        <f t="shared" si="30"/>
        <v>19.266666666666666</v>
      </c>
      <c r="M263" s="2">
        <f t="shared" si="31"/>
        <v>874.05</v>
      </c>
      <c r="O263" s="1">
        <f t="shared" si="32"/>
        <v>19.498611111111114</v>
      </c>
      <c r="P263" s="2">
        <f t="shared" si="33"/>
        <v>948.19444444444446</v>
      </c>
      <c r="R263" s="2"/>
      <c r="S263" s="2"/>
    </row>
    <row r="264" spans="1:19" x14ac:dyDescent="0.45">
      <c r="A264" t="s">
        <v>264</v>
      </c>
      <c r="B264" s="4">
        <v>45733</v>
      </c>
      <c r="C264" s="1">
        <f>16+53/60</f>
        <v>16.883333333333333</v>
      </c>
      <c r="D264" s="14">
        <v>921</v>
      </c>
      <c r="E264" s="14">
        <v>0</v>
      </c>
      <c r="F264" s="14">
        <v>14597</v>
      </c>
      <c r="G264" s="2">
        <f t="shared" si="34"/>
        <v>13712.75</v>
      </c>
      <c r="H264" s="2"/>
      <c r="I264" s="1">
        <f t="shared" si="28"/>
        <v>17.299999999999997</v>
      </c>
      <c r="J264" s="2">
        <f t="shared" si="29"/>
        <v>839.75</v>
      </c>
      <c r="L264" s="1">
        <f t="shared" si="30"/>
        <v>18.932500000000001</v>
      </c>
      <c r="M264" s="2">
        <f t="shared" si="31"/>
        <v>853.1</v>
      </c>
      <c r="O264" s="1">
        <f t="shared" si="32"/>
        <v>18.375462962962963</v>
      </c>
      <c r="P264" s="2">
        <f t="shared" si="33"/>
        <v>853.83333333333337</v>
      </c>
      <c r="R264" s="2"/>
      <c r="S264" s="2"/>
    </row>
    <row r="265" spans="1:19" x14ac:dyDescent="0.45">
      <c r="A265" t="s">
        <v>265</v>
      </c>
      <c r="B265" s="4">
        <v>45740</v>
      </c>
      <c r="C265" s="1">
        <f>22+43/60</f>
        <v>22.716666666666665</v>
      </c>
      <c r="D265" s="14">
        <v>1134</v>
      </c>
      <c r="E265" s="14">
        <v>0</v>
      </c>
      <c r="F265" s="14">
        <v>18129</v>
      </c>
      <c r="G265" s="2">
        <f t="shared" si="34"/>
        <v>16174.75</v>
      </c>
      <c r="H265" s="2"/>
      <c r="I265" s="1">
        <f t="shared" si="28"/>
        <v>20.087499999999999</v>
      </c>
      <c r="J265" s="2">
        <f t="shared" si="29"/>
        <v>1006</v>
      </c>
      <c r="L265" s="1">
        <f t="shared" si="30"/>
        <v>19.031666666666663</v>
      </c>
      <c r="M265" s="2">
        <f t="shared" si="31"/>
        <v>875.7</v>
      </c>
      <c r="O265" s="1">
        <f t="shared" si="32"/>
        <v>18.555555555555557</v>
      </c>
      <c r="P265" s="2">
        <f t="shared" si="33"/>
        <v>847.11111111111109</v>
      </c>
      <c r="R265" s="2"/>
      <c r="S265" s="2"/>
    </row>
    <row r="266" spans="1:19" x14ac:dyDescent="0.45">
      <c r="B266" s="4">
        <v>45747</v>
      </c>
      <c r="C266" s="1">
        <f>12+3/60</f>
        <v>12.05</v>
      </c>
      <c r="D266" s="14">
        <v>454</v>
      </c>
      <c r="E266" s="14">
        <v>0</v>
      </c>
      <c r="F266" s="14">
        <v>8963</v>
      </c>
      <c r="G266" s="2">
        <f t="shared" si="34"/>
        <v>14073.75</v>
      </c>
      <c r="H266" s="2"/>
      <c r="I266" s="1">
        <f t="shared" si="28"/>
        <v>17.404166666666665</v>
      </c>
      <c r="J266" s="2">
        <f t="shared" si="29"/>
        <v>846.75</v>
      </c>
      <c r="L266" s="1">
        <f t="shared" si="30"/>
        <v>18.925833333333333</v>
      </c>
      <c r="M266" s="2">
        <f t="shared" si="31"/>
        <v>889.15</v>
      </c>
      <c r="O266" s="1">
        <f t="shared" si="32"/>
        <v>19.74814814814815</v>
      </c>
      <c r="P266" s="2">
        <f t="shared" si="33"/>
        <v>878.36111111111109</v>
      </c>
      <c r="R266" s="2"/>
      <c r="S266" s="2"/>
    </row>
    <row r="267" spans="1:19" x14ac:dyDescent="0.45">
      <c r="A267" t="s">
        <v>113</v>
      </c>
      <c r="B267" s="4">
        <v>45754</v>
      </c>
      <c r="C267" s="1">
        <f>21+52/60</f>
        <v>21.866666666666667</v>
      </c>
      <c r="D267" s="14">
        <v>1138</v>
      </c>
      <c r="E267" s="14">
        <v>0</v>
      </c>
      <c r="F267" s="14">
        <v>15802</v>
      </c>
      <c r="G267" s="2">
        <f t="shared" si="34"/>
        <v>14372.75</v>
      </c>
      <c r="H267" s="2"/>
      <c r="I267" s="1">
        <f t="shared" si="28"/>
        <v>18.379166666666663</v>
      </c>
      <c r="J267" s="2">
        <f t="shared" si="29"/>
        <v>911.75</v>
      </c>
      <c r="L267" s="1">
        <f t="shared" si="30"/>
        <v>18.549166666666668</v>
      </c>
      <c r="M267" s="2">
        <f t="shared" si="31"/>
        <v>897</v>
      </c>
      <c r="O267" s="1">
        <f t="shared" si="32"/>
        <v>19.361574074074074</v>
      </c>
      <c r="P267" s="2">
        <f t="shared" si="33"/>
        <v>889.75</v>
      </c>
      <c r="R267" s="2"/>
      <c r="S267" s="2"/>
    </row>
    <row r="268" spans="1:19" x14ac:dyDescent="0.45">
      <c r="B268" s="4">
        <v>45761</v>
      </c>
      <c r="C268" s="1">
        <f>14+28/60</f>
        <v>14.466666666666667</v>
      </c>
      <c r="D268" s="14">
        <v>491</v>
      </c>
      <c r="E268" s="14">
        <v>2</v>
      </c>
      <c r="F268" s="14">
        <v>9970</v>
      </c>
      <c r="G268" s="2">
        <f t="shared" si="34"/>
        <v>13216</v>
      </c>
      <c r="H268" s="2"/>
      <c r="I268" s="1">
        <f t="shared" si="28"/>
        <v>17.774999999999999</v>
      </c>
      <c r="J268" s="2">
        <f t="shared" si="29"/>
        <v>804.25</v>
      </c>
      <c r="L268" s="1">
        <f t="shared" si="30"/>
        <v>18.189166666666669</v>
      </c>
      <c r="M268" s="2">
        <f t="shared" si="31"/>
        <v>881.7</v>
      </c>
      <c r="O268" s="1">
        <f t="shared" si="32"/>
        <v>17.484722222222221</v>
      </c>
      <c r="P268" s="2">
        <f t="shared" si="33"/>
        <v>831.30555555555554</v>
      </c>
      <c r="R268" s="2"/>
      <c r="S268" s="2"/>
    </row>
    <row r="269" spans="1:19" x14ac:dyDescent="0.45">
      <c r="B269" s="4">
        <v>45768</v>
      </c>
      <c r="C269" s="1">
        <f>20+7/60</f>
        <v>20.116666666666667</v>
      </c>
      <c r="D269" s="14">
        <v>821</v>
      </c>
      <c r="E269" s="14">
        <v>2</v>
      </c>
      <c r="F269" s="14">
        <v>15364</v>
      </c>
      <c r="G269" s="2">
        <f t="shared" si="34"/>
        <v>12524.75</v>
      </c>
      <c r="H269" s="2"/>
      <c r="I269" s="1">
        <f t="shared" si="28"/>
        <v>17.125</v>
      </c>
      <c r="J269" s="2">
        <f t="shared" si="29"/>
        <v>726</v>
      </c>
      <c r="L269" s="1">
        <f t="shared" si="30"/>
        <v>18.154166666666665</v>
      </c>
      <c r="M269" s="2">
        <f t="shared" si="31"/>
        <v>858.95</v>
      </c>
      <c r="O269" s="1">
        <f t="shared" si="32"/>
        <v>19.049074074074074</v>
      </c>
      <c r="P269" s="2">
        <f t="shared" si="33"/>
        <v>919.52777777777783</v>
      </c>
      <c r="R269" s="2"/>
      <c r="S269" s="2"/>
    </row>
    <row r="270" spans="1:19" x14ac:dyDescent="0.45">
      <c r="B270" s="4">
        <v>45775</v>
      </c>
      <c r="C270" s="1">
        <f>26+59/60</f>
        <v>26.983333333333334</v>
      </c>
      <c r="D270" s="14">
        <v>1229</v>
      </c>
      <c r="E270" s="14">
        <v>2</v>
      </c>
      <c r="F270" s="14">
        <v>21129</v>
      </c>
      <c r="G270" s="2">
        <f t="shared" si="34"/>
        <v>15566.25</v>
      </c>
      <c r="H270" s="2"/>
      <c r="I270" s="1">
        <f t="shared" si="28"/>
        <v>20.858333333333334</v>
      </c>
      <c r="J270" s="2">
        <f t="shared" si="29"/>
        <v>919.75</v>
      </c>
      <c r="L270" s="1">
        <f t="shared" si="30"/>
        <v>18.308333333333334</v>
      </c>
      <c r="M270" s="2">
        <f t="shared" si="31"/>
        <v>841.7</v>
      </c>
      <c r="O270" s="1">
        <f t="shared" si="32"/>
        <v>18.237499999999997</v>
      </c>
      <c r="P270" s="2">
        <f t="shared" si="33"/>
        <v>873.36111111111109</v>
      </c>
      <c r="R270" s="2"/>
      <c r="S270" s="2"/>
    </row>
    <row r="271" spans="1:19" x14ac:dyDescent="0.45">
      <c r="A271" t="s">
        <v>266</v>
      </c>
      <c r="B271" s="4">
        <v>45782</v>
      </c>
      <c r="C271" s="1">
        <f>20+53/60</f>
        <v>20.883333333333333</v>
      </c>
      <c r="D271" s="14">
        <v>1084</v>
      </c>
      <c r="E271" s="14">
        <v>0</v>
      </c>
      <c r="F271" s="14">
        <v>16429</v>
      </c>
      <c r="G271" s="2">
        <f t="shared" si="34"/>
        <v>15723</v>
      </c>
      <c r="H271" s="2"/>
      <c r="I271" s="1">
        <f t="shared" si="28"/>
        <v>20.612500000000001</v>
      </c>
      <c r="J271" s="2">
        <f t="shared" si="29"/>
        <v>906.25</v>
      </c>
      <c r="L271" s="1">
        <f t="shared" si="30"/>
        <v>18.95</v>
      </c>
      <c r="M271" s="2">
        <f t="shared" si="31"/>
        <v>853.6</v>
      </c>
      <c r="O271" s="1">
        <f t="shared" si="32"/>
        <v>18.577314814814812</v>
      </c>
      <c r="P271" s="2">
        <f t="shared" si="33"/>
        <v>880.25</v>
      </c>
      <c r="R271" s="2"/>
      <c r="S271" s="2"/>
    </row>
    <row r="272" spans="1:19" x14ac:dyDescent="0.45">
      <c r="A272" t="s">
        <v>267</v>
      </c>
      <c r="B272" s="4">
        <v>45789</v>
      </c>
      <c r="C272" s="1">
        <f>26+19/60</f>
        <v>26.316666666666666</v>
      </c>
      <c r="D272" s="14">
        <v>1504</v>
      </c>
      <c r="E272" s="14">
        <v>0</v>
      </c>
      <c r="F272" s="14">
        <v>21080</v>
      </c>
      <c r="G272" s="2">
        <f t="shared" si="34"/>
        <v>18500.5</v>
      </c>
      <c r="H272" s="2"/>
      <c r="I272" s="1">
        <f t="shared" si="28"/>
        <v>23.574999999999999</v>
      </c>
      <c r="J272" s="2">
        <f t="shared" si="29"/>
        <v>1159.5</v>
      </c>
      <c r="L272" s="1">
        <f t="shared" si="30"/>
        <v>19.989166666666666</v>
      </c>
      <c r="M272" s="2">
        <f t="shared" si="31"/>
        <v>903.15</v>
      </c>
      <c r="O272" s="1">
        <f t="shared" si="32"/>
        <v>19.419907407407408</v>
      </c>
      <c r="P272" s="2">
        <f t="shared" si="33"/>
        <v>893.77777777777783</v>
      </c>
      <c r="R272" s="2"/>
      <c r="S272" s="2"/>
    </row>
    <row r="273" spans="1:19" x14ac:dyDescent="0.45">
      <c r="B273" s="4">
        <v>45796</v>
      </c>
      <c r="C273" s="1">
        <f>13+57/60</f>
        <v>13.95</v>
      </c>
      <c r="D273" s="14">
        <v>561</v>
      </c>
      <c r="E273" s="14">
        <v>0</v>
      </c>
      <c r="F273" s="14">
        <v>9814</v>
      </c>
      <c r="G273" s="2">
        <f t="shared" si="34"/>
        <v>17113</v>
      </c>
      <c r="H273" s="2"/>
      <c r="I273" s="1">
        <f t="shared" si="28"/>
        <v>22.033333333333335</v>
      </c>
      <c r="J273" s="2">
        <f t="shared" si="29"/>
        <v>1094.5</v>
      </c>
      <c r="L273" s="1">
        <f t="shared" si="30"/>
        <v>20.840833333333332</v>
      </c>
      <c r="M273" s="2">
        <f t="shared" si="31"/>
        <v>961.2</v>
      </c>
      <c r="O273" s="1">
        <f t="shared" si="32"/>
        <v>18.722685185185185</v>
      </c>
      <c r="P273" s="2">
        <f t="shared" si="33"/>
        <v>844.05555555555554</v>
      </c>
      <c r="R273" s="2"/>
      <c r="S273" s="2"/>
    </row>
    <row r="274" spans="1:19" x14ac:dyDescent="0.45">
      <c r="A274" t="s">
        <v>268</v>
      </c>
      <c r="B274" s="4">
        <v>45803</v>
      </c>
      <c r="C274" s="1">
        <f>23+57/60</f>
        <v>23.95</v>
      </c>
      <c r="D274" s="14">
        <v>1302</v>
      </c>
      <c r="E274" s="14">
        <v>0</v>
      </c>
      <c r="F274" s="14">
        <v>19233</v>
      </c>
      <c r="G274" s="2">
        <f t="shared" ref="G274:G276" si="35">AVERAGE(F271:F274)</f>
        <v>16639</v>
      </c>
      <c r="H274" s="2"/>
      <c r="I274" s="1">
        <f t="shared" ref="I274:I276" si="36">AVERAGE(C271:C274)</f>
        <v>21.275000000000002</v>
      </c>
      <c r="J274" s="2">
        <f t="shared" ref="J274:J276" si="37">AVERAGE(D271:D274)</f>
        <v>1112.75</v>
      </c>
      <c r="L274" s="1">
        <f t="shared" ref="L274:L276" si="38">((C267)+(2*C268)+(3*C269)+(4*C270)+(4*C271)+(3*C272)+(2*C273)+(C274))/20</f>
        <v>21.670833333333331</v>
      </c>
      <c r="M274" s="2">
        <f t="shared" ref="M274:M276" si="39">((D267)+(2*D268)+(3*D269)+(4*D270)+(4*D271)+(3*D272)+(2*D273)+(D274))/20</f>
        <v>1038.55</v>
      </c>
      <c r="O274" s="1">
        <f t="shared" ref="O274:O276" si="40">((C274)+(C273*2)+(C272*3)+(C271*4)+(C270*5)+(C269*6)+(C268*7)+(C267*8))/36</f>
        <v>20.726388888888891</v>
      </c>
      <c r="P274" s="2">
        <f t="shared" ref="P274:P276" si="41">((D274)+(D273*2)+(D272*3)+(D271*4)+(D270*5)+(D269*6)+(D268*7)+(D267*8))/36</f>
        <v>969</v>
      </c>
      <c r="R274" s="2"/>
      <c r="S274" s="2"/>
    </row>
    <row r="275" spans="1:19" x14ac:dyDescent="0.45">
      <c r="B275" s="4">
        <v>45810</v>
      </c>
      <c r="C275" s="1">
        <f>15+38/60</f>
        <v>15.633333333333333</v>
      </c>
      <c r="D275" s="14">
        <v>674</v>
      </c>
      <c r="E275" s="14">
        <v>0</v>
      </c>
      <c r="F275" s="14">
        <v>11064</v>
      </c>
      <c r="G275" s="2">
        <f t="shared" si="35"/>
        <v>15297.75</v>
      </c>
      <c r="H275" s="2"/>
      <c r="I275" s="1">
        <f t="shared" si="36"/>
        <v>19.962499999999999</v>
      </c>
      <c r="J275" s="2">
        <f t="shared" si="37"/>
        <v>1010.25</v>
      </c>
      <c r="L275" s="1">
        <f t="shared" si="38"/>
        <v>21.491666666666664</v>
      </c>
      <c r="M275" s="2">
        <f t="shared" si="39"/>
        <v>1056.6500000000001</v>
      </c>
      <c r="O275" s="1">
        <f t="shared" si="40"/>
        <v>20.375462962962963</v>
      </c>
      <c r="P275" s="2">
        <f t="shared" si="41"/>
        <v>929.05555555555554</v>
      </c>
      <c r="R275" s="2"/>
      <c r="S275" s="2"/>
    </row>
    <row r="276" spans="1:19" x14ac:dyDescent="0.45">
      <c r="A276" t="s">
        <v>269</v>
      </c>
      <c r="B276" s="4">
        <v>45817</v>
      </c>
      <c r="C276" s="1">
        <f>22+44/60</f>
        <v>22.733333333333334</v>
      </c>
      <c r="D276" s="14">
        <v>1187</v>
      </c>
      <c r="E276" s="14">
        <v>0</v>
      </c>
      <c r="F276" s="14">
        <v>18589</v>
      </c>
      <c r="G276" s="2">
        <f t="shared" si="35"/>
        <v>14675</v>
      </c>
      <c r="H276" s="2"/>
      <c r="I276" s="1">
        <f t="shared" si="36"/>
        <v>19.066666666666666</v>
      </c>
      <c r="J276" s="2">
        <f t="shared" si="37"/>
        <v>931</v>
      </c>
      <c r="L276" s="1">
        <f t="shared" si="38"/>
        <v>21.182499999999997</v>
      </c>
      <c r="M276" s="2">
        <f t="shared" si="39"/>
        <v>1061.5999999999999</v>
      </c>
      <c r="O276" s="1">
        <f t="shared" si="40"/>
        <v>21.898611111111116</v>
      </c>
      <c r="P276" s="2">
        <f t="shared" si="41"/>
        <v>1052.2222222222222</v>
      </c>
      <c r="R276" s="2"/>
      <c r="S276" s="2"/>
    </row>
    <row r="277" spans="1:19" x14ac:dyDescent="0.45">
      <c r="A277" t="s">
        <v>270</v>
      </c>
      <c r="B277" s="4">
        <v>45824</v>
      </c>
      <c r="C277" s="1">
        <f>22+45/60</f>
        <v>22.75</v>
      </c>
      <c r="D277" s="14">
        <v>919</v>
      </c>
      <c r="E277" s="14">
        <v>1</v>
      </c>
      <c r="F277" s="14">
        <v>16867</v>
      </c>
      <c r="G277" s="2">
        <f t="shared" ref="G277:G278" si="42">AVERAGE(F274:F277)</f>
        <v>16438.25</v>
      </c>
      <c r="H277" s="2"/>
      <c r="I277" s="1">
        <f t="shared" ref="I277:I278" si="43">AVERAGE(C274:C277)</f>
        <v>21.266666666666666</v>
      </c>
      <c r="J277" s="2">
        <f t="shared" ref="J277:J278" si="44">AVERAGE(D274:D277)</f>
        <v>1020.5</v>
      </c>
      <c r="L277" s="1">
        <f t="shared" ref="L277:L278" si="45">((C270)+(2*C271)+(3*C272)+(4*C273)+(4*C274)+(3*C275)+(2*C276)+(C277))/20</f>
        <v>20.720833333333331</v>
      </c>
      <c r="M277" s="2">
        <f t="shared" ref="M277:M278" si="46">((D270)+(2*D271)+(3*D272)+(4*D273)+(4*D274)+(3*D275)+(2*D276)+(D277))/20</f>
        <v>1033.8</v>
      </c>
      <c r="O277" s="1">
        <f t="shared" ref="O277" si="47">((C277)+(C276*2)+(C275*3)+(C274*4)+(C273*5)+(C272*6)+(C271*7)+(C270*8))/36</f>
        <v>22.23935185185185</v>
      </c>
      <c r="P277" s="2">
        <f t="shared" ref="P277:P278" si="48">((D277)+(D276*2)+(D275*3)+(D274*4)+(D273*5)+(D272*6)+(D271*7)+(D270*8))/36</f>
        <v>1104.7777777777778</v>
      </c>
      <c r="R277" s="2"/>
      <c r="S277" s="2"/>
    </row>
    <row r="278" spans="1:19" x14ac:dyDescent="0.45">
      <c r="B278" s="4">
        <v>45831</v>
      </c>
      <c r="C278" s="1">
        <f>18+56/60</f>
        <v>18.933333333333334</v>
      </c>
      <c r="D278" s="14">
        <v>909</v>
      </c>
      <c r="E278" s="14">
        <v>0</v>
      </c>
      <c r="F278" s="14">
        <v>14784</v>
      </c>
      <c r="G278" s="2">
        <f t="shared" si="42"/>
        <v>15326</v>
      </c>
      <c r="H278" s="2"/>
      <c r="I278" s="1">
        <f t="shared" si="43"/>
        <v>20.012499999999999</v>
      </c>
      <c r="J278" s="2">
        <f t="shared" si="44"/>
        <v>922.25</v>
      </c>
      <c r="L278" s="1">
        <f t="shared" si="45"/>
        <v>20.316666666666666</v>
      </c>
      <c r="M278" s="2">
        <f t="shared" si="46"/>
        <v>999.35</v>
      </c>
      <c r="O278" s="1">
        <f>((C278)+(C277*2)+(C276*3)+(C275*4)+(C274*5)+(C273*6)+(C272*7)+(C271*8))/36</f>
        <v>20.830555555555552</v>
      </c>
      <c r="P278" s="2">
        <f t="shared" si="48"/>
        <v>1057.7777777777778</v>
      </c>
      <c r="R278" s="2"/>
      <c r="S278" s="2"/>
    </row>
    <row r="279" spans="1:19" x14ac:dyDescent="0.45">
      <c r="A279" t="s">
        <v>271</v>
      </c>
      <c r="B279" s="4">
        <v>45838</v>
      </c>
      <c r="C279" s="1">
        <f>12+43/60</f>
        <v>12.716666666666667</v>
      </c>
      <c r="D279" s="14">
        <v>532</v>
      </c>
      <c r="E279" s="14">
        <v>0</v>
      </c>
      <c r="F279" s="14">
        <v>8809</v>
      </c>
      <c r="G279" s="2">
        <f t="shared" ref="G279:G281" si="49">AVERAGE(F276:F279)</f>
        <v>14762.25</v>
      </c>
      <c r="H279" s="2"/>
      <c r="I279" s="1">
        <f t="shared" ref="I279:I281" si="50">AVERAGE(C276:C279)</f>
        <v>19.283333333333335</v>
      </c>
      <c r="J279" s="2">
        <f t="shared" ref="J279:J281" si="51">AVERAGE(D276:D279)</f>
        <v>886.75</v>
      </c>
      <c r="L279" s="1">
        <f t="shared" ref="L279:L281" si="52">((C272)+(2*C273)+(3*C274)+(4*C275)+(4*C276)+(3*C277)+(2*C278)+(C279))/20</f>
        <v>19.918333333333329</v>
      </c>
      <c r="M279" s="2">
        <f t="shared" ref="M279:M281" si="53">((D272)+(2*D273)+(3*D274)+(4*D275)+(4*D276)+(3*D277)+(2*D278)+(D279))/20</f>
        <v>954.15</v>
      </c>
      <c r="O279" s="1">
        <f t="shared" ref="O279:O281" si="54">((C279)+(C278*2)+(C277*3)+(C276*4)+(C275*5)+(C274*6)+(C273*7)+(C272*8))/36</f>
        <v>20.55046296296296</v>
      </c>
      <c r="P279" s="2">
        <f t="shared" ref="P279:P281" si="55">((D279)+(D278*2)+(D277*3)+(D276*4)+(D275*5)+(D274*6)+(D273*7)+(D272*8))/36</f>
        <v>1027.6666666666667</v>
      </c>
      <c r="R279" s="2"/>
      <c r="S279" s="2"/>
    </row>
    <row r="280" spans="1:19" x14ac:dyDescent="0.45">
      <c r="A280" t="s">
        <v>272</v>
      </c>
      <c r="B280" s="4">
        <v>45845</v>
      </c>
      <c r="C280" s="1">
        <f>29+32/60</f>
        <v>29.533333333333335</v>
      </c>
      <c r="D280" s="14">
        <v>1818</v>
      </c>
      <c r="E280" s="14">
        <v>0</v>
      </c>
      <c r="F280" s="14">
        <v>21282</v>
      </c>
      <c r="G280" s="2">
        <f t="shared" si="49"/>
        <v>15435.5</v>
      </c>
      <c r="H280" s="2"/>
      <c r="I280" s="1">
        <f t="shared" si="50"/>
        <v>20.983333333333334</v>
      </c>
      <c r="J280" s="2">
        <f t="shared" si="51"/>
        <v>1044.5</v>
      </c>
      <c r="L280" s="1">
        <f t="shared" si="52"/>
        <v>20.122500000000002</v>
      </c>
      <c r="M280" s="2">
        <f t="shared" si="53"/>
        <v>961</v>
      </c>
      <c r="O280" s="1">
        <f t="shared" si="54"/>
        <v>19.152314814814815</v>
      </c>
      <c r="P280" s="2">
        <f t="shared" si="55"/>
        <v>912.94444444444446</v>
      </c>
      <c r="R280" s="2"/>
      <c r="S280" s="2"/>
    </row>
    <row r="281" spans="1:19" x14ac:dyDescent="0.45">
      <c r="A281" t="s">
        <v>165</v>
      </c>
      <c r="B281" s="4">
        <v>45852</v>
      </c>
      <c r="C281" s="1">
        <f>4+39/60</f>
        <v>4.6500000000000004</v>
      </c>
      <c r="D281" s="14">
        <v>151</v>
      </c>
      <c r="E281" s="14">
        <v>0</v>
      </c>
      <c r="F281" s="14">
        <v>2865</v>
      </c>
      <c r="G281" s="2">
        <f t="shared" si="49"/>
        <v>11935</v>
      </c>
      <c r="H281" s="2"/>
      <c r="I281" s="1">
        <f t="shared" si="50"/>
        <v>16.458333333333336</v>
      </c>
      <c r="J281" s="2">
        <f t="shared" si="51"/>
        <v>852.5</v>
      </c>
      <c r="L281" s="1">
        <f t="shared" si="52"/>
        <v>19.600833333333334</v>
      </c>
      <c r="M281" s="2">
        <f t="shared" si="53"/>
        <v>945.3</v>
      </c>
      <c r="O281" s="1">
        <f t="shared" si="54"/>
        <v>20.243981481481484</v>
      </c>
      <c r="P281" s="2">
        <f t="shared" si="55"/>
        <v>996.38888888888891</v>
      </c>
      <c r="R281" s="2"/>
      <c r="S281" s="2"/>
    </row>
    <row r="282" spans="1:19" x14ac:dyDescent="0.45">
      <c r="B282" s="4">
        <v>45859</v>
      </c>
      <c r="C282" s="1">
        <f>19+21/60</f>
        <v>19.350000000000001</v>
      </c>
      <c r="D282" s="14">
        <v>934</v>
      </c>
      <c r="E282" s="14">
        <v>0</v>
      </c>
      <c r="F282" s="14">
        <v>13139</v>
      </c>
      <c r="G282" s="2">
        <f t="shared" ref="G282:G284" si="56">AVERAGE(F279:F282)</f>
        <v>11523.75</v>
      </c>
      <c r="H282" s="2"/>
      <c r="I282" s="1">
        <f t="shared" ref="I282:I284" si="57">AVERAGE(C279:C282)</f>
        <v>16.5625</v>
      </c>
      <c r="J282" s="2">
        <f t="shared" ref="J282:J284" si="58">AVERAGE(D279:D282)</f>
        <v>858.75</v>
      </c>
      <c r="L282" s="1">
        <f t="shared" ref="L282:L284" si="59">((C275)+(2*C276)+(3*C277)+(4*C278)+(4*C279)+(3*C280)+(2*C281)+(C282))/20</f>
        <v>18.660000000000004</v>
      </c>
      <c r="M282" s="2">
        <f t="shared" ref="M282:M284" si="60">((D275)+(2*D276)+(3*D277)+(4*D278)+(4*D279)+(3*D280)+(2*D281)+(D282))/20</f>
        <v>912.95</v>
      </c>
      <c r="O282" s="1">
        <f t="shared" ref="O282:O284" si="61">((C282)+(C281*2)+(C280*3)+(C279*4)+(C278*5)+(C277*6)+(C276*7)+(C275*8))/36</f>
        <v>18.985648148148147</v>
      </c>
      <c r="P282" s="2">
        <f t="shared" ref="P282:P284" si="62">((D282)+(D281*2)+(D280*3)+(D279*4)+(D278*5)+(D277*6)+(D276*7)+(D275*8))/36</f>
        <v>904.94444444444446</v>
      </c>
      <c r="R282" s="2"/>
      <c r="S282" s="2"/>
    </row>
    <row r="283" spans="1:19" x14ac:dyDescent="0.45">
      <c r="B283" s="4">
        <v>45866</v>
      </c>
      <c r="C283" s="1">
        <f>19+18/60</f>
        <v>19.3</v>
      </c>
      <c r="D283" s="14">
        <v>917</v>
      </c>
      <c r="E283" s="14">
        <v>0</v>
      </c>
      <c r="F283" s="14">
        <v>13927</v>
      </c>
      <c r="G283" s="2">
        <f t="shared" si="56"/>
        <v>12803.25</v>
      </c>
      <c r="H283" s="2"/>
      <c r="I283" s="1">
        <f t="shared" si="57"/>
        <v>18.208333333333336</v>
      </c>
      <c r="J283" s="2">
        <f t="shared" si="58"/>
        <v>955</v>
      </c>
      <c r="L283" s="1">
        <f t="shared" si="59"/>
        <v>18.299166666666668</v>
      </c>
      <c r="M283" s="2">
        <f t="shared" si="60"/>
        <v>919.5</v>
      </c>
      <c r="O283" s="1">
        <f t="shared" si="61"/>
        <v>19.677314814814814</v>
      </c>
      <c r="P283" s="2">
        <f t="shared" si="62"/>
        <v>959.80555555555554</v>
      </c>
      <c r="R283" s="2"/>
      <c r="S283" s="2"/>
    </row>
    <row r="284" spans="1:19" x14ac:dyDescent="0.45">
      <c r="A284" t="s">
        <v>273</v>
      </c>
      <c r="B284" s="4">
        <v>45873</v>
      </c>
      <c r="C284" s="1">
        <f>19+55/60</f>
        <v>19.916666666666668</v>
      </c>
      <c r="D284" s="14">
        <v>1243</v>
      </c>
      <c r="E284" s="14">
        <v>0</v>
      </c>
      <c r="F284" s="14">
        <v>15246</v>
      </c>
      <c r="G284" s="2">
        <f t="shared" si="56"/>
        <v>11294.25</v>
      </c>
      <c r="H284" s="2"/>
      <c r="I284" s="1">
        <f t="shared" si="57"/>
        <v>15.804166666666667</v>
      </c>
      <c r="J284" s="2">
        <f t="shared" si="58"/>
        <v>811.25</v>
      </c>
      <c r="L284" s="1">
        <f t="shared" si="59"/>
        <v>17.603333333333335</v>
      </c>
      <c r="M284" s="2">
        <f t="shared" si="60"/>
        <v>904.4</v>
      </c>
      <c r="O284" s="1">
        <f t="shared" si="61"/>
        <v>18.712962962962965</v>
      </c>
      <c r="P284" s="2">
        <f t="shared" si="62"/>
        <v>902.22222222222217</v>
      </c>
      <c r="R284" s="2"/>
      <c r="S284" s="2"/>
    </row>
    <row r="285" spans="1:19" x14ac:dyDescent="0.45">
      <c r="B285" s="4">
        <v>45880</v>
      </c>
      <c r="C285" s="1">
        <f>14+51/60</f>
        <v>14.85</v>
      </c>
      <c r="D285" s="14">
        <v>812</v>
      </c>
      <c r="E285" s="14">
        <v>0</v>
      </c>
      <c r="F285" s="14">
        <v>11760</v>
      </c>
      <c r="G285" s="2">
        <f t="shared" ref="G285" si="63">AVERAGE(F282:F285)</f>
        <v>13518</v>
      </c>
      <c r="H285" s="2"/>
      <c r="I285" s="1">
        <f t="shared" ref="I285" si="64">AVERAGE(C282:C285)</f>
        <v>18.354166666666668</v>
      </c>
      <c r="J285" s="2">
        <f t="shared" ref="J285" si="65">AVERAGE(D282:D285)</f>
        <v>976.5</v>
      </c>
      <c r="L285" s="1">
        <f t="shared" ref="L285" si="66">((C278)+(2*C279)+(3*C280)+(4*C281)+(4*C282)+(3*C283)+(2*C284)+(C285))/20</f>
        <v>17.077500000000001</v>
      </c>
      <c r="M285" s="2">
        <f t="shared" ref="M285" si="67">((D278)+(2*D279)+(3*D280)+(4*D281)+(4*D282)+(3*D283)+(2*D284)+(D285))/20</f>
        <v>890.8</v>
      </c>
      <c r="O285" s="1">
        <f t="shared" ref="O285" si="68">((C285)+(C284*2)+(C283*3)+(C282*4)+(C281*5)+(C280*6)+(C279*7)+(C278*8))/36</f>
        <v>17.525462962962965</v>
      </c>
      <c r="P285" s="2">
        <f t="shared" ref="P285" si="69">((D285)+(D284*2)+(D283*3)+(D282*4)+(D281*5)+(D280*6)+(D279*7)+(D278*8))/36</f>
        <v>901.22222222222217</v>
      </c>
      <c r="R285" s="2"/>
      <c r="S285" s="2"/>
    </row>
    <row r="286" spans="1:19" x14ac:dyDescent="0.45">
      <c r="A286" t="s">
        <v>274</v>
      </c>
      <c r="B286" s="4">
        <v>45887</v>
      </c>
      <c r="C286" s="1">
        <f>24+14/60</f>
        <v>24.233333333333334</v>
      </c>
      <c r="D286" s="14">
        <v>1682</v>
      </c>
      <c r="E286" s="14">
        <v>0</v>
      </c>
      <c r="F286" s="14">
        <v>21757</v>
      </c>
      <c r="G286" s="2">
        <f t="shared" ref="G286" si="70">AVERAGE(F283:F286)</f>
        <v>15672.5</v>
      </c>
      <c r="H286" s="2"/>
      <c r="I286" s="1">
        <f t="shared" ref="I286" si="71">AVERAGE(C283:C286)</f>
        <v>19.575000000000003</v>
      </c>
      <c r="J286" s="2">
        <f t="shared" ref="J286" si="72">AVERAGE(D283:D286)</f>
        <v>1163.5</v>
      </c>
      <c r="L286" s="1">
        <f t="shared" ref="L286" si="73">((C279)+(2*C280)+(3*C281)+(4*C282)+(4*C283)+(3*C284)+(2*C285)+(C286))/20</f>
        <v>17.700833333333332</v>
      </c>
      <c r="M286" s="2">
        <f t="shared" ref="M286" si="74">((D279)+(2*D280)+(3*D281)+(4*D282)+(4*D283)+(3*D284)+(2*D285)+(D286))/20</f>
        <v>953</v>
      </c>
      <c r="O286" s="1">
        <f t="shared" ref="O286" si="75">((C286)+(C285*2)+(C284*3)+(C283*4)+(C282*5)+(C281*6)+(C280*7)+(C279*8))/36</f>
        <v>17.333333333333332</v>
      </c>
      <c r="P286" s="2">
        <f t="shared" ref="P286" si="76">((D286)+(D285*2)+(D284*3)+(D283*4)+(D282*5)+(D281*6)+(D280*7)+(D279*8))/36</f>
        <v>923.91666666666663</v>
      </c>
      <c r="R286" s="2"/>
      <c r="S286" s="2"/>
    </row>
    <row r="287" spans="1:19" x14ac:dyDescent="0.45">
      <c r="A287" t="s">
        <v>275</v>
      </c>
      <c r="B287" s="4">
        <v>45894</v>
      </c>
      <c r="C287" s="1">
        <f>14+20/60</f>
        <v>14.333333333333334</v>
      </c>
      <c r="D287" s="14">
        <v>745</v>
      </c>
      <c r="E287" s="14">
        <v>0</v>
      </c>
      <c r="F287" s="14">
        <v>10738</v>
      </c>
      <c r="G287" s="2">
        <f t="shared" ref="G287" si="77">AVERAGE(F284:F287)</f>
        <v>14875.25</v>
      </c>
      <c r="H287" s="2"/>
      <c r="I287" s="1">
        <f t="shared" ref="I287" si="78">AVERAGE(C284:C287)</f>
        <v>18.333333333333332</v>
      </c>
      <c r="J287" s="2">
        <f t="shared" ref="J287" si="79">AVERAGE(D284:D287)</f>
        <v>1120.5</v>
      </c>
      <c r="L287" s="1">
        <f t="shared" ref="L287" si="80">((C280)+(2*C281)+(3*C282)+(4*C283)+(4*C284)+(3*C285)+(2*C286)+(C287))/20</f>
        <v>18.055</v>
      </c>
      <c r="M287" s="2">
        <f t="shared" ref="M287" si="81">((D280)+(2*D281)+(3*D282)+(4*D283)+(4*D284)+(3*D285)+(2*D286)+(D287))/20</f>
        <v>1005.35</v>
      </c>
      <c r="O287" s="1">
        <f t="shared" ref="O287" si="82">((C287)+(C286*2)+(C285*3)+(C284*4)+(C283*5)+(C282*6)+(C281*7)+(C280*8))/36</f>
        <v>18.567592592592593</v>
      </c>
      <c r="P287" s="2">
        <f t="shared" ref="P287" si="83">((D287)+(D286*2)+(D285*3)+(D284*4)+(D283*5)+(D282*6)+(D281*7)+(D280*8))/36</f>
        <v>1036.3055555555557</v>
      </c>
      <c r="R287" s="2"/>
      <c r="S287" s="2"/>
    </row>
    <row r="288" spans="1:19" x14ac:dyDescent="0.45">
      <c r="B288" s="4">
        <v>45901</v>
      </c>
      <c r="C288" s="1">
        <f>16+56/60</f>
        <v>16.933333333333334</v>
      </c>
      <c r="D288" s="14">
        <v>740</v>
      </c>
      <c r="E288" s="14">
        <v>0</v>
      </c>
      <c r="F288" s="14">
        <v>12192</v>
      </c>
      <c r="G288" s="2">
        <f t="shared" ref="G288:G290" si="84">AVERAGE(F285:F288)</f>
        <v>14111.75</v>
      </c>
      <c r="H288" s="2"/>
      <c r="I288" s="1">
        <f t="shared" ref="I288:I290" si="85">AVERAGE(C285:C288)</f>
        <v>17.587500000000002</v>
      </c>
      <c r="J288" s="2">
        <f t="shared" ref="J288:J290" si="86">AVERAGE(D285:D288)</f>
        <v>994.75</v>
      </c>
      <c r="L288" s="1">
        <f t="shared" ref="L288:L290" si="87">((C281)+(2*C282)+(3*C283)+(4*C284)+(4*C285)+(3*C286)+(2*C287)+(C288))/20</f>
        <v>17.930833333333336</v>
      </c>
      <c r="M288" s="2">
        <f t="shared" ref="M288:M290" si="88">((D281)+(2*D282)+(3*D283)+(4*D284)+(4*D285)+(3*D286)+(2*D287)+(D288))/20</f>
        <v>1013.3</v>
      </c>
      <c r="O288" s="1">
        <f t="shared" ref="O288:O290" si="89">((C288)+(C287*2)+(C286*3)+(C285*4)+(C284*5)+(C283*6)+(C282*7)+(C281*8))/36</f>
        <v>15.714814814814819</v>
      </c>
      <c r="P288" s="2">
        <f t="shared" ref="P288:P290" si="90">((D288)+(D287*2)+(D286*3)+(D285*4)+(D284*5)+(D283*6)+(D282*7)+(D281*8))/36</f>
        <v>832.97222222222217</v>
      </c>
    </row>
    <row r="289" spans="1:16" x14ac:dyDescent="0.45">
      <c r="A289" t="s">
        <v>294</v>
      </c>
      <c r="B289" s="4">
        <v>45908</v>
      </c>
      <c r="C289" s="1">
        <f>19+28/60</f>
        <v>19.466666666666665</v>
      </c>
      <c r="D289" s="14">
        <v>1133</v>
      </c>
      <c r="E289" s="14">
        <v>0</v>
      </c>
      <c r="F289" s="14">
        <v>15381</v>
      </c>
      <c r="G289" s="2">
        <f t="shared" si="84"/>
        <v>15017</v>
      </c>
      <c r="H289" s="2"/>
      <c r="I289" s="1">
        <f t="shared" si="85"/>
        <v>18.741666666666667</v>
      </c>
      <c r="J289" s="2">
        <f t="shared" si="86"/>
        <v>1075</v>
      </c>
      <c r="L289" s="1">
        <f t="shared" si="87"/>
        <v>18.518333333333331</v>
      </c>
      <c r="M289" s="2">
        <f t="shared" si="88"/>
        <v>1066.05</v>
      </c>
      <c r="O289" s="1">
        <f t="shared" si="89"/>
        <v>18.803240740740744</v>
      </c>
      <c r="P289" s="2">
        <f t="shared" si="90"/>
        <v>1027.3611111111111</v>
      </c>
    </row>
    <row r="290" spans="1:16" x14ac:dyDescent="0.45">
      <c r="A290" t="s">
        <v>149</v>
      </c>
      <c r="B290" s="4">
        <v>45915</v>
      </c>
      <c r="C290" s="1">
        <f>15+28/60</f>
        <v>15.466666666666667</v>
      </c>
      <c r="D290" s="14">
        <v>741</v>
      </c>
      <c r="E290" s="14">
        <v>1</v>
      </c>
      <c r="F290" s="14">
        <v>10822</v>
      </c>
      <c r="G290" s="2">
        <f t="shared" si="84"/>
        <v>12283.25</v>
      </c>
      <c r="H290" s="2"/>
      <c r="I290" s="1">
        <f t="shared" si="85"/>
        <v>16.55</v>
      </c>
      <c r="J290" s="2">
        <f t="shared" si="86"/>
        <v>839.75</v>
      </c>
      <c r="L290" s="1">
        <f t="shared" si="87"/>
        <v>18.157499999999999</v>
      </c>
      <c r="M290" s="2">
        <f t="shared" si="88"/>
        <v>1038.7</v>
      </c>
      <c r="O290" s="1">
        <f t="shared" si="89"/>
        <v>18.517129629629629</v>
      </c>
      <c r="P290" s="2">
        <f t="shared" si="90"/>
        <v>1042.3888888888889</v>
      </c>
    </row>
    <row r="291" spans="1:16" x14ac:dyDescent="0.45">
      <c r="B291" s="4"/>
      <c r="C291" s="1"/>
      <c r="D291" s="14"/>
      <c r="E291" s="14"/>
      <c r="F291" s="14"/>
      <c r="G291" s="2"/>
      <c r="H291" s="2"/>
    </row>
    <row r="292" spans="1:16" x14ac:dyDescent="0.45">
      <c r="B292" s="4"/>
      <c r="C292" s="1"/>
      <c r="D292" s="14"/>
      <c r="E292" s="14"/>
      <c r="F292" s="14"/>
      <c r="G292" s="2"/>
      <c r="H292" s="2"/>
    </row>
    <row r="293" spans="1:16" x14ac:dyDescent="0.45">
      <c r="B293" s="4"/>
      <c r="C293" s="1"/>
      <c r="D293" s="14"/>
      <c r="E293" s="14"/>
      <c r="F293" s="14"/>
      <c r="G293" s="2"/>
      <c r="H293" s="2"/>
    </row>
    <row r="294" spans="1:16" x14ac:dyDescent="0.45">
      <c r="B294" s="4"/>
      <c r="C294" s="1"/>
      <c r="D294" s="14"/>
      <c r="E294" s="14"/>
      <c r="F294" s="14"/>
      <c r="G294" s="2"/>
      <c r="H294" s="2"/>
    </row>
    <row r="295" spans="1:16" x14ac:dyDescent="0.45">
      <c r="B295" s="4"/>
      <c r="C295" s="1"/>
      <c r="D295" s="14"/>
      <c r="E295" s="14"/>
      <c r="F295" s="14"/>
      <c r="G295" s="2"/>
      <c r="H295" s="2"/>
    </row>
    <row r="296" spans="1:16" x14ac:dyDescent="0.45">
      <c r="B296" s="4"/>
      <c r="C296" s="1"/>
      <c r="D296" s="14"/>
      <c r="E296" s="14"/>
      <c r="F296" s="14"/>
      <c r="G296" s="2"/>
      <c r="H296" s="2"/>
    </row>
    <row r="297" spans="1:16" x14ac:dyDescent="0.45">
      <c r="B297" s="4"/>
      <c r="C297" s="1"/>
      <c r="D297" s="14"/>
      <c r="E297" s="14"/>
      <c r="F297" s="14"/>
      <c r="G297" s="2"/>
      <c r="H297" s="2"/>
    </row>
    <row r="298" spans="1:16" x14ac:dyDescent="0.45">
      <c r="B298" s="4"/>
      <c r="C298" s="1"/>
      <c r="D298" s="14"/>
      <c r="E298" s="14"/>
      <c r="F298" s="14"/>
      <c r="G298" s="2"/>
      <c r="H298" s="2"/>
    </row>
    <row r="299" spans="1:16" x14ac:dyDescent="0.45">
      <c r="B299" s="4"/>
      <c r="C299" s="1"/>
      <c r="D299" s="14"/>
      <c r="E299" s="14"/>
      <c r="F299" s="14"/>
      <c r="G299" s="2"/>
      <c r="H299" s="2"/>
    </row>
    <row r="300" spans="1:16" x14ac:dyDescent="0.45">
      <c r="B300" s="4"/>
      <c r="C300" s="1"/>
      <c r="D300" s="14"/>
      <c r="E300" s="14"/>
      <c r="F300" s="14"/>
      <c r="G300" s="2"/>
      <c r="H300" s="2"/>
    </row>
    <row r="301" spans="1:16" x14ac:dyDescent="0.45">
      <c r="B301" s="4"/>
      <c r="C301" s="1"/>
      <c r="D301" s="14"/>
      <c r="E301" s="14"/>
      <c r="F301" s="14"/>
      <c r="G301" s="2"/>
      <c r="H301" s="2"/>
    </row>
    <row r="302" spans="1:16" x14ac:dyDescent="0.45">
      <c r="B302" s="4"/>
      <c r="C302" s="1"/>
      <c r="D302" s="14"/>
      <c r="E302" s="14"/>
      <c r="F302" s="14"/>
      <c r="G302" s="2"/>
      <c r="H302" s="2"/>
    </row>
    <row r="303" spans="1:16" x14ac:dyDescent="0.45">
      <c r="B303" s="4"/>
      <c r="C303" s="1"/>
      <c r="D303" s="14"/>
      <c r="E303" s="14"/>
      <c r="F303" s="14"/>
      <c r="G303" s="2"/>
      <c r="H303" s="2"/>
    </row>
    <row r="304" spans="1:16" x14ac:dyDescent="0.45">
      <c r="B304" s="4"/>
      <c r="C304" s="1"/>
      <c r="D304" s="14"/>
      <c r="E304" s="14"/>
      <c r="F304" s="14"/>
      <c r="G304" s="2"/>
      <c r="H304" s="2"/>
    </row>
    <row r="305" spans="2:8" x14ac:dyDescent="0.45">
      <c r="B305" s="4"/>
      <c r="D305" s="14"/>
      <c r="E305" s="14"/>
      <c r="F305" s="14"/>
      <c r="G305" s="2"/>
      <c r="H305" s="2"/>
    </row>
    <row r="306" spans="2:8" x14ac:dyDescent="0.45">
      <c r="D306" s="2"/>
      <c r="E306" s="2"/>
      <c r="F306" s="2"/>
      <c r="G306" s="2"/>
      <c r="H306" s="2"/>
    </row>
    <row r="307" spans="2:8" x14ac:dyDescent="0.45">
      <c r="D307" s="2"/>
      <c r="E307" s="2"/>
      <c r="F307" s="2"/>
      <c r="G307" s="2"/>
      <c r="H307" s="2"/>
    </row>
    <row r="308" spans="2:8" x14ac:dyDescent="0.45">
      <c r="D308" s="2"/>
      <c r="E308" s="2"/>
      <c r="F308" s="2"/>
      <c r="G308" s="2"/>
      <c r="H308" s="2"/>
    </row>
    <row r="309" spans="2:8" x14ac:dyDescent="0.45">
      <c r="D309" s="2"/>
      <c r="E309" s="2"/>
      <c r="F309" s="2"/>
      <c r="G309" s="2"/>
      <c r="H309" s="2"/>
    </row>
    <row r="310" spans="2:8" x14ac:dyDescent="0.45">
      <c r="D310" s="2"/>
      <c r="E310" s="2"/>
      <c r="F310" s="2"/>
      <c r="G310" s="2"/>
      <c r="H310" s="2"/>
    </row>
  </sheetData>
  <conditionalFormatting sqref="G5:H310">
    <cfRule type="colorScale" priority="1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I5:I290">
    <cfRule type="colorScale" priority="18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J5:J290">
    <cfRule type="colorScale" priority="17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L9:L290">
    <cfRule type="colorScale" priority="11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M290">
    <cfRule type="colorScale" priority="15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O13:O290">
    <cfRule type="colorScale" priority="13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3:P290">
    <cfRule type="colorScale" priority="12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AE283-236F-4ADB-8BD9-F6049DB9DF7C}">
  <dimension ref="A1:P76"/>
  <sheetViews>
    <sheetView tabSelected="1" topLeftCell="E1" zoomScale="115" zoomScaleNormal="115" workbookViewId="0">
      <pane ySplit="1" topLeftCell="A43" activePane="bottomLeft" state="frozen"/>
      <selection activeCell="E1" sqref="E1"/>
      <selection pane="bottomLeft" activeCell="M61" sqref="M61"/>
    </sheetView>
  </sheetViews>
  <sheetFormatPr defaultRowHeight="14.25" x14ac:dyDescent="0.45"/>
  <cols>
    <col min="1" max="1" width="23.3984375" customWidth="1"/>
    <col min="2" max="2" width="13.265625" customWidth="1"/>
    <col min="3" max="3" width="12.1328125" customWidth="1"/>
    <col min="7" max="7" width="10.3984375" customWidth="1"/>
    <col min="8" max="8" width="1.3984375" customWidth="1"/>
    <col min="9" max="9" width="11.3984375" customWidth="1"/>
    <col min="10" max="10" width="14.86328125" customWidth="1"/>
    <col min="11" max="11" width="1.3984375" customWidth="1"/>
    <col min="12" max="12" width="16.3984375" customWidth="1"/>
    <col min="13" max="13" width="18.1328125" customWidth="1"/>
    <col min="14" max="14" width="1.59765625" customWidth="1"/>
    <col min="15" max="15" width="11.59765625" customWidth="1"/>
    <col min="16" max="16" width="15.1328125" customWidth="1"/>
  </cols>
  <sheetData>
    <row r="1" spans="1:16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</row>
    <row r="2" spans="1:16" x14ac:dyDescent="0.45">
      <c r="B2" s="4">
        <v>45523</v>
      </c>
      <c r="C2" s="20">
        <f>19+37/60</f>
        <v>19.616666666666667</v>
      </c>
      <c r="D2" s="19">
        <v>941</v>
      </c>
      <c r="E2" s="19">
        <v>0</v>
      </c>
      <c r="F2" s="19">
        <v>17003</v>
      </c>
      <c r="G2" s="6"/>
      <c r="H2" s="6"/>
      <c r="I2" s="5"/>
      <c r="J2" s="6"/>
      <c r="K2" s="2"/>
      <c r="L2" s="5"/>
      <c r="M2" s="6"/>
      <c r="O2" s="6"/>
      <c r="P2" s="6"/>
    </row>
    <row r="3" spans="1:16" x14ac:dyDescent="0.45">
      <c r="A3" s="3"/>
      <c r="B3" s="4">
        <v>45530</v>
      </c>
      <c r="C3" s="20">
        <f>25+27/60</f>
        <v>25.45</v>
      </c>
      <c r="D3" s="19">
        <v>1018</v>
      </c>
      <c r="E3" s="19">
        <v>0</v>
      </c>
      <c r="F3" s="19">
        <v>21630</v>
      </c>
      <c r="G3" s="2"/>
      <c r="H3" s="2"/>
    </row>
    <row r="4" spans="1:16" x14ac:dyDescent="0.45">
      <c r="A4" s="12"/>
      <c r="B4" s="4">
        <v>45537</v>
      </c>
      <c r="C4" s="20">
        <f>24+8/60</f>
        <v>24.133333333333333</v>
      </c>
      <c r="D4" s="19">
        <v>1207</v>
      </c>
      <c r="E4" s="19">
        <v>0</v>
      </c>
      <c r="F4" s="19">
        <v>19831</v>
      </c>
      <c r="G4" s="2"/>
      <c r="H4" s="2"/>
    </row>
    <row r="5" spans="1:16" x14ac:dyDescent="0.45">
      <c r="A5" s="12"/>
      <c r="B5" s="4">
        <v>45544</v>
      </c>
      <c r="C5" s="20">
        <f>18+17/60</f>
        <v>18.283333333333335</v>
      </c>
      <c r="D5" s="19">
        <v>1094</v>
      </c>
      <c r="E5" s="19">
        <v>0</v>
      </c>
      <c r="F5" s="19">
        <v>16454</v>
      </c>
      <c r="G5" s="2">
        <f>AVERAGE(F2:F5)</f>
        <v>18729.5</v>
      </c>
      <c r="H5" s="2"/>
      <c r="I5" s="1">
        <f t="shared" ref="I5:J57" si="0">AVERAGE(C2:C5)</f>
        <v>21.87083333333333</v>
      </c>
      <c r="J5" s="2">
        <f t="shared" si="0"/>
        <v>1065</v>
      </c>
    </row>
    <row r="6" spans="1:16" x14ac:dyDescent="0.45">
      <c r="A6" s="12"/>
      <c r="B6" s="4">
        <v>45551</v>
      </c>
      <c r="C6" s="20">
        <f>22+6/60</f>
        <v>22.1</v>
      </c>
      <c r="D6" s="19">
        <v>1047</v>
      </c>
      <c r="E6" s="19">
        <v>0</v>
      </c>
      <c r="F6" s="19">
        <v>18839</v>
      </c>
      <c r="G6" s="2">
        <f t="shared" ref="G6:G57" si="1">AVERAGE(F3:F6)</f>
        <v>19188.5</v>
      </c>
      <c r="H6" s="2"/>
      <c r="I6" s="1">
        <f t="shared" si="0"/>
        <v>22.491666666666667</v>
      </c>
      <c r="J6" s="2">
        <f t="shared" si="0"/>
        <v>1091.5</v>
      </c>
    </row>
    <row r="7" spans="1:16" x14ac:dyDescent="0.45">
      <c r="B7" s="4">
        <v>45558</v>
      </c>
      <c r="C7" s="20">
        <f>20+17/60</f>
        <v>20.283333333333335</v>
      </c>
      <c r="D7" s="19">
        <v>1041</v>
      </c>
      <c r="E7" s="19">
        <v>0</v>
      </c>
      <c r="F7" s="19">
        <v>18734</v>
      </c>
      <c r="G7" s="2">
        <f t="shared" si="1"/>
        <v>18464.5</v>
      </c>
      <c r="H7" s="2"/>
      <c r="I7" s="1">
        <f t="shared" si="0"/>
        <v>21.200000000000003</v>
      </c>
      <c r="J7" s="2">
        <f t="shared" si="0"/>
        <v>1097.25</v>
      </c>
    </row>
    <row r="8" spans="1:16" x14ac:dyDescent="0.45">
      <c r="B8" s="4">
        <v>45565</v>
      </c>
      <c r="C8" s="20">
        <f>25+44/60</f>
        <v>25.733333333333334</v>
      </c>
      <c r="D8" s="19">
        <v>1076</v>
      </c>
      <c r="E8" s="19">
        <v>0</v>
      </c>
      <c r="F8" s="19">
        <v>22112</v>
      </c>
      <c r="G8" s="2">
        <f t="shared" si="1"/>
        <v>19034.75</v>
      </c>
      <c r="H8" s="2"/>
      <c r="I8" s="1">
        <f t="shared" si="0"/>
        <v>21.6</v>
      </c>
      <c r="J8" s="2">
        <f t="shared" si="0"/>
        <v>1064.5</v>
      </c>
    </row>
    <row r="9" spans="1:16" x14ac:dyDescent="0.45">
      <c r="B9" s="4">
        <v>45572</v>
      </c>
      <c r="C9" s="20">
        <f>21+1/60</f>
        <v>21.016666666666666</v>
      </c>
      <c r="D9" s="19">
        <v>1073</v>
      </c>
      <c r="E9" s="19">
        <v>0</v>
      </c>
      <c r="F9" s="19">
        <v>19903</v>
      </c>
      <c r="G9" s="2">
        <f t="shared" si="1"/>
        <v>19897</v>
      </c>
      <c r="H9" s="2"/>
      <c r="I9" s="1">
        <f t="shared" si="0"/>
        <v>22.283333333333335</v>
      </c>
      <c r="J9" s="2">
        <f t="shared" si="0"/>
        <v>1059.25</v>
      </c>
      <c r="L9" s="1">
        <f t="shared" ref="L9:M57" si="2">((C2)+(2*C3)+(3*C4)+(4*C5)+(4*C6)+(3*C7)+(2*C8)+(C9))/20</f>
        <v>21.889166666666672</v>
      </c>
      <c r="M9" s="2">
        <f t="shared" si="2"/>
        <v>1075.5</v>
      </c>
    </row>
    <row r="10" spans="1:16" x14ac:dyDescent="0.45">
      <c r="B10" s="4">
        <v>45579</v>
      </c>
      <c r="C10" s="20">
        <f>24+39/60</f>
        <v>24.65</v>
      </c>
      <c r="D10" s="19">
        <v>1166</v>
      </c>
      <c r="E10" s="19">
        <v>0</v>
      </c>
      <c r="F10" s="19">
        <v>21847</v>
      </c>
      <c r="G10" s="2">
        <f t="shared" si="1"/>
        <v>20649</v>
      </c>
      <c r="H10" s="2"/>
      <c r="I10" s="1">
        <f t="shared" si="0"/>
        <v>22.920833333333334</v>
      </c>
      <c r="J10" s="2">
        <f t="shared" si="0"/>
        <v>1089</v>
      </c>
      <c r="L10" s="1">
        <f t="shared" si="2"/>
        <v>22.099166666666669</v>
      </c>
      <c r="M10" s="2">
        <f t="shared" si="2"/>
        <v>1080.3</v>
      </c>
    </row>
    <row r="11" spans="1:16" x14ac:dyDescent="0.45">
      <c r="B11" s="4">
        <v>45586</v>
      </c>
      <c r="C11" s="20">
        <f>19+49/60</f>
        <v>19.816666666666666</v>
      </c>
      <c r="D11" s="19">
        <v>825</v>
      </c>
      <c r="E11" s="19">
        <v>0</v>
      </c>
      <c r="F11" s="19">
        <v>17243</v>
      </c>
      <c r="G11" s="2">
        <f t="shared" si="1"/>
        <v>20276.25</v>
      </c>
      <c r="H11" s="2"/>
      <c r="I11" s="1">
        <f t="shared" si="0"/>
        <v>22.804166666666667</v>
      </c>
      <c r="J11" s="2">
        <f t="shared" si="0"/>
        <v>1035</v>
      </c>
      <c r="L11" s="1">
        <f t="shared" si="2"/>
        <v>22.161666666666669</v>
      </c>
      <c r="M11" s="2">
        <f t="shared" si="2"/>
        <v>1069</v>
      </c>
    </row>
    <row r="12" spans="1:16" x14ac:dyDescent="0.45">
      <c r="A12" t="s">
        <v>164</v>
      </c>
      <c r="B12" s="4">
        <v>45593</v>
      </c>
      <c r="C12" s="20">
        <f>10+42/60</f>
        <v>10.7</v>
      </c>
      <c r="D12" s="19">
        <v>518</v>
      </c>
      <c r="E12" s="19">
        <v>0</v>
      </c>
      <c r="F12" s="19">
        <v>9097</v>
      </c>
      <c r="G12" s="2">
        <f t="shared" si="1"/>
        <v>17022.5</v>
      </c>
      <c r="H12" s="2"/>
      <c r="I12" s="1">
        <f t="shared" si="0"/>
        <v>19.045833333333334</v>
      </c>
      <c r="J12" s="2">
        <f t="shared" si="0"/>
        <v>895.5</v>
      </c>
      <c r="L12" s="1">
        <f t="shared" si="2"/>
        <v>21.730833333333333</v>
      </c>
      <c r="M12" s="2">
        <f t="shared" si="2"/>
        <v>1028.6500000000001</v>
      </c>
    </row>
    <row r="13" spans="1:16" x14ac:dyDescent="0.45">
      <c r="A13" t="s">
        <v>276</v>
      </c>
      <c r="B13" s="4">
        <v>45600</v>
      </c>
      <c r="C13" s="20">
        <f>13+3+49/60</f>
        <v>16.816666666666666</v>
      </c>
      <c r="D13" s="19">
        <f>864+210</f>
        <v>1074</v>
      </c>
      <c r="E13" s="19">
        <v>0</v>
      </c>
      <c r="F13" s="19">
        <f>13997+(950*3.2)</f>
        <v>17037</v>
      </c>
      <c r="G13" s="2">
        <f t="shared" si="1"/>
        <v>16306</v>
      </c>
      <c r="H13" s="2"/>
      <c r="I13" s="1">
        <f t="shared" si="0"/>
        <v>17.995833333333334</v>
      </c>
      <c r="J13" s="2">
        <f t="shared" si="0"/>
        <v>895.75</v>
      </c>
      <c r="L13" s="1">
        <f t="shared" si="2"/>
        <v>21.009999999999998</v>
      </c>
      <c r="M13" s="2">
        <f t="shared" si="2"/>
        <v>994.9</v>
      </c>
      <c r="O13" s="1">
        <f t="shared" ref="O13:P57" si="3">((C13)+(C12*2)+(C11*3)+(C10*4)+(C9*5)+(C8*6)+(C7*7)+(C6*8))/36</f>
        <v>21.514814814814812</v>
      </c>
      <c r="P13" s="2">
        <f t="shared" si="3"/>
        <v>1020.3611111111111</v>
      </c>
    </row>
    <row r="14" spans="1:16" x14ac:dyDescent="0.45">
      <c r="B14" s="4">
        <v>45607</v>
      </c>
      <c r="C14" s="20">
        <f>6+8/60</f>
        <v>6.1333333333333337</v>
      </c>
      <c r="D14" s="19">
        <v>192</v>
      </c>
      <c r="E14" s="19">
        <v>0</v>
      </c>
      <c r="F14" s="19">
        <v>4279</v>
      </c>
      <c r="G14" s="2">
        <f t="shared" si="1"/>
        <v>11914</v>
      </c>
      <c r="H14" s="2"/>
      <c r="I14" s="1">
        <f t="shared" si="0"/>
        <v>13.366666666666665</v>
      </c>
      <c r="J14" s="2">
        <f t="shared" si="0"/>
        <v>652.25</v>
      </c>
      <c r="L14" s="1">
        <f t="shared" si="2"/>
        <v>19.226666666666667</v>
      </c>
      <c r="M14" s="2">
        <f t="shared" si="2"/>
        <v>913.5</v>
      </c>
      <c r="O14" s="1">
        <f t="shared" si="3"/>
        <v>20.63564814814815</v>
      </c>
      <c r="P14" s="2">
        <f t="shared" si="3"/>
        <v>981.16666666666663</v>
      </c>
    </row>
    <row r="15" spans="1:16" x14ac:dyDescent="0.45">
      <c r="B15" s="4">
        <v>45614</v>
      </c>
      <c r="C15" s="20">
        <f>13+4/60</f>
        <v>13.066666666666666</v>
      </c>
      <c r="D15" s="19">
        <v>506</v>
      </c>
      <c r="E15" s="19">
        <v>0</v>
      </c>
      <c r="F15" s="19">
        <v>10227</v>
      </c>
      <c r="G15" s="2">
        <f t="shared" si="1"/>
        <v>10160</v>
      </c>
      <c r="H15" s="2"/>
      <c r="I15" s="1">
        <f t="shared" si="0"/>
        <v>11.679166666666667</v>
      </c>
      <c r="J15" s="2">
        <f t="shared" si="0"/>
        <v>572.5</v>
      </c>
      <c r="L15" s="1">
        <f t="shared" si="2"/>
        <v>16.978333333333332</v>
      </c>
      <c r="M15" s="2">
        <f t="shared" si="2"/>
        <v>810.2</v>
      </c>
      <c r="O15" s="1">
        <f t="shared" si="3"/>
        <v>19.959722222222222</v>
      </c>
      <c r="P15" s="2">
        <f t="shared" si="3"/>
        <v>928.44444444444446</v>
      </c>
    </row>
    <row r="16" spans="1:16" x14ac:dyDescent="0.45">
      <c r="B16" s="4">
        <v>45621</v>
      </c>
      <c r="C16" s="20">
        <f>15+43/60</f>
        <v>15.716666666666667</v>
      </c>
      <c r="D16" s="19">
        <v>806</v>
      </c>
      <c r="E16" s="19">
        <v>0</v>
      </c>
      <c r="F16" s="19">
        <v>14029</v>
      </c>
      <c r="G16" s="2">
        <f t="shared" si="1"/>
        <v>11393</v>
      </c>
      <c r="H16" s="2"/>
      <c r="I16" s="1">
        <f t="shared" si="0"/>
        <v>12.933333333333334</v>
      </c>
      <c r="J16" s="2">
        <f t="shared" si="0"/>
        <v>644.5</v>
      </c>
      <c r="L16" s="1">
        <f t="shared" si="2"/>
        <v>15.004166666666663</v>
      </c>
      <c r="M16" s="2">
        <f t="shared" si="2"/>
        <v>732.1</v>
      </c>
      <c r="O16" s="1">
        <f t="shared" si="3"/>
        <v>17.794444444444441</v>
      </c>
      <c r="P16" s="2">
        <f t="shared" si="3"/>
        <v>860.44444444444446</v>
      </c>
    </row>
    <row r="17" spans="1:16" x14ac:dyDescent="0.45">
      <c r="B17" s="4">
        <v>45628</v>
      </c>
      <c r="C17" s="20">
        <f>19+1/60</f>
        <v>19.016666666666666</v>
      </c>
      <c r="D17" s="19">
        <v>953</v>
      </c>
      <c r="E17" s="19">
        <v>0</v>
      </c>
      <c r="F17" s="19">
        <v>16215</v>
      </c>
      <c r="G17" s="2">
        <f t="shared" si="1"/>
        <v>11187.5</v>
      </c>
      <c r="H17" s="2"/>
      <c r="I17" s="1">
        <f t="shared" si="0"/>
        <v>13.483333333333333</v>
      </c>
      <c r="J17" s="2">
        <f t="shared" si="0"/>
        <v>614.25</v>
      </c>
      <c r="L17" s="1">
        <f t="shared" si="2"/>
        <v>13.891666666666666</v>
      </c>
      <c r="M17" s="2">
        <f t="shared" si="2"/>
        <v>675.85</v>
      </c>
      <c r="O17" s="1">
        <f t="shared" si="3"/>
        <v>16.621759259259257</v>
      </c>
      <c r="P17" s="2">
        <f t="shared" si="3"/>
        <v>789.77777777777783</v>
      </c>
    </row>
    <row r="18" spans="1:16" x14ac:dyDescent="0.45">
      <c r="A18" t="s">
        <v>277</v>
      </c>
      <c r="B18" s="4">
        <v>45635</v>
      </c>
      <c r="C18" s="20">
        <v>8</v>
      </c>
      <c r="D18" s="19">
        <v>500</v>
      </c>
      <c r="E18" s="19">
        <v>0</v>
      </c>
      <c r="F18" s="19">
        <f>2954+2000</f>
        <v>4954</v>
      </c>
      <c r="G18" s="2">
        <f t="shared" si="1"/>
        <v>11356.25</v>
      </c>
      <c r="H18" s="2"/>
      <c r="I18" s="1">
        <f t="shared" si="0"/>
        <v>13.95</v>
      </c>
      <c r="J18" s="2">
        <f t="shared" si="0"/>
        <v>691.25</v>
      </c>
      <c r="L18" s="1">
        <f t="shared" si="2"/>
        <v>13.0825</v>
      </c>
      <c r="M18" s="2">
        <f t="shared" si="2"/>
        <v>634.95000000000005</v>
      </c>
      <c r="O18" s="1">
        <f t="shared" si="3"/>
        <v>14.179166666666665</v>
      </c>
      <c r="P18" s="2">
        <f t="shared" si="3"/>
        <v>679.94444444444446</v>
      </c>
    </row>
    <row r="19" spans="1:16" x14ac:dyDescent="0.45">
      <c r="B19" s="4">
        <v>45642</v>
      </c>
      <c r="C19" s="20">
        <f>14+33/60</f>
        <v>14.55</v>
      </c>
      <c r="D19" s="19">
        <v>693</v>
      </c>
      <c r="E19" s="19">
        <v>0</v>
      </c>
      <c r="F19" s="19">
        <v>12193</v>
      </c>
      <c r="G19" s="2">
        <f t="shared" si="1"/>
        <v>11847.75</v>
      </c>
      <c r="H19" s="2"/>
      <c r="I19" s="1">
        <f t="shared" si="0"/>
        <v>14.320833333333333</v>
      </c>
      <c r="J19" s="2">
        <f t="shared" si="0"/>
        <v>738</v>
      </c>
      <c r="L19" s="1">
        <f t="shared" si="2"/>
        <v>13.273333333333335</v>
      </c>
      <c r="M19" s="2">
        <f t="shared" si="2"/>
        <v>652.1</v>
      </c>
      <c r="O19" s="1">
        <f t="shared" si="3"/>
        <v>12.664351851851855</v>
      </c>
      <c r="P19" s="2">
        <f t="shared" si="3"/>
        <v>642.22222222222217</v>
      </c>
    </row>
    <row r="20" spans="1:16" x14ac:dyDescent="0.45">
      <c r="A20" t="s">
        <v>278</v>
      </c>
      <c r="B20" s="4">
        <v>45649</v>
      </c>
      <c r="C20" s="20">
        <f>15</f>
        <v>15</v>
      </c>
      <c r="D20" s="19">
        <v>672</v>
      </c>
      <c r="E20" s="19">
        <v>0</v>
      </c>
      <c r="F20" s="19">
        <v>11892</v>
      </c>
      <c r="G20" s="2">
        <f t="shared" si="1"/>
        <v>11313.5</v>
      </c>
      <c r="H20" s="2"/>
      <c r="I20" s="1">
        <f t="shared" si="0"/>
        <v>14.141666666666666</v>
      </c>
      <c r="J20" s="2">
        <f t="shared" si="0"/>
        <v>704.5</v>
      </c>
      <c r="L20" s="1">
        <f t="shared" si="2"/>
        <v>13.765833333333333</v>
      </c>
      <c r="M20" s="2">
        <f t="shared" si="2"/>
        <v>678.5</v>
      </c>
      <c r="O20" s="1">
        <f t="shared" si="3"/>
        <v>13.294907407407408</v>
      </c>
      <c r="P20" s="2">
        <f t="shared" si="3"/>
        <v>677</v>
      </c>
    </row>
    <row r="21" spans="1:16" x14ac:dyDescent="0.45">
      <c r="A21" t="s">
        <v>278</v>
      </c>
      <c r="B21" s="4">
        <v>45656</v>
      </c>
      <c r="C21" s="20">
        <f>19+4/60</f>
        <v>19.066666666666666</v>
      </c>
      <c r="D21" s="19">
        <v>800</v>
      </c>
      <c r="E21" s="19">
        <v>0</v>
      </c>
      <c r="F21" s="19">
        <f>C21*750</f>
        <v>14300</v>
      </c>
      <c r="G21" s="2">
        <f t="shared" si="1"/>
        <v>10834.75</v>
      </c>
      <c r="H21" s="2"/>
      <c r="I21" s="1">
        <f t="shared" si="0"/>
        <v>14.154166666666665</v>
      </c>
      <c r="J21" s="2">
        <f t="shared" si="0"/>
        <v>666.25</v>
      </c>
      <c r="L21" s="1">
        <f t="shared" si="2"/>
        <v>14.01</v>
      </c>
      <c r="M21" s="2">
        <f t="shared" si="2"/>
        <v>682.85</v>
      </c>
      <c r="O21" s="1">
        <f t="shared" si="3"/>
        <v>12.628703703703705</v>
      </c>
      <c r="P21" s="2">
        <f t="shared" si="3"/>
        <v>580.61111111111109</v>
      </c>
    </row>
    <row r="22" spans="1:16" x14ac:dyDescent="0.45">
      <c r="B22" s="4">
        <v>45663</v>
      </c>
      <c r="C22" s="20">
        <f>24+45/60</f>
        <v>24.75</v>
      </c>
      <c r="D22" s="19">
        <v>927</v>
      </c>
      <c r="E22" s="19">
        <v>0</v>
      </c>
      <c r="F22" s="19">
        <f>C22*760</f>
        <v>18810</v>
      </c>
      <c r="G22" s="2">
        <f t="shared" si="1"/>
        <v>14298.75</v>
      </c>
      <c r="H22" s="2"/>
      <c r="I22" s="1">
        <f t="shared" si="0"/>
        <v>18.341666666666669</v>
      </c>
      <c r="J22" s="2">
        <f t="shared" si="0"/>
        <v>773</v>
      </c>
      <c r="L22" s="1">
        <f t="shared" si="2"/>
        <v>14.981666666666666</v>
      </c>
      <c r="M22" s="2">
        <f t="shared" si="2"/>
        <v>714.6</v>
      </c>
      <c r="O22" s="1">
        <f t="shared" si="3"/>
        <v>14.853703703703701</v>
      </c>
      <c r="P22" s="2">
        <f t="shared" si="3"/>
        <v>700.63888888888891</v>
      </c>
    </row>
    <row r="23" spans="1:16" x14ac:dyDescent="0.45">
      <c r="A23" t="s">
        <v>279</v>
      </c>
      <c r="B23" s="4">
        <v>45670</v>
      </c>
      <c r="C23" s="20">
        <f>18+47/60</f>
        <v>18.783333333333335</v>
      </c>
      <c r="D23" s="19">
        <v>889</v>
      </c>
      <c r="E23" s="19">
        <v>0</v>
      </c>
      <c r="F23" s="19">
        <v>15487</v>
      </c>
      <c r="G23" s="2">
        <f t="shared" si="1"/>
        <v>15122.25</v>
      </c>
      <c r="H23" s="2"/>
      <c r="I23" s="1">
        <f t="shared" si="0"/>
        <v>19.399999999999999</v>
      </c>
      <c r="J23" s="2">
        <f t="shared" si="0"/>
        <v>822</v>
      </c>
      <c r="L23" s="1">
        <f t="shared" si="2"/>
        <v>16.071666666666665</v>
      </c>
      <c r="M23" s="2">
        <f t="shared" si="2"/>
        <v>740.75</v>
      </c>
      <c r="O23" s="1">
        <f t="shared" si="3"/>
        <v>15.69675925925926</v>
      </c>
      <c r="P23" s="2">
        <f t="shared" si="3"/>
        <v>761.52777777777783</v>
      </c>
    </row>
    <row r="24" spans="1:16" x14ac:dyDescent="0.45">
      <c r="B24" s="4">
        <v>45677</v>
      </c>
      <c r="C24" s="20">
        <f>18+37/60</f>
        <v>18.616666666666667</v>
      </c>
      <c r="D24" s="19">
        <v>712</v>
      </c>
      <c r="E24" s="19">
        <v>0</v>
      </c>
      <c r="F24" s="19">
        <v>14527</v>
      </c>
      <c r="G24" s="2">
        <f t="shared" si="1"/>
        <v>15781</v>
      </c>
      <c r="H24" s="2"/>
      <c r="I24" s="1">
        <f t="shared" si="0"/>
        <v>20.304166666666667</v>
      </c>
      <c r="J24" s="2">
        <f t="shared" si="0"/>
        <v>832</v>
      </c>
      <c r="L24" s="1">
        <f t="shared" si="2"/>
        <v>17.268333333333334</v>
      </c>
      <c r="M24" s="2">
        <f t="shared" si="2"/>
        <v>759.55</v>
      </c>
      <c r="O24" s="1">
        <f t="shared" si="3"/>
        <v>16.031481481481482</v>
      </c>
      <c r="P24" s="2">
        <f t="shared" si="3"/>
        <v>753.13888888888891</v>
      </c>
    </row>
    <row r="25" spans="1:16" x14ac:dyDescent="0.45">
      <c r="B25" s="4">
        <v>45684</v>
      </c>
      <c r="C25" s="20">
        <f>14+33/60</f>
        <v>14.55</v>
      </c>
      <c r="D25" s="19">
        <v>731</v>
      </c>
      <c r="E25" s="19">
        <v>0</v>
      </c>
      <c r="F25" s="19">
        <v>12261</v>
      </c>
      <c r="G25" s="2">
        <f t="shared" si="1"/>
        <v>15271.25</v>
      </c>
      <c r="H25" s="2"/>
      <c r="I25" s="1">
        <f t="shared" si="0"/>
        <v>19.175000000000001</v>
      </c>
      <c r="J25" s="2">
        <f t="shared" si="0"/>
        <v>814.75</v>
      </c>
      <c r="L25" s="1">
        <f t="shared" si="2"/>
        <v>18.275000000000002</v>
      </c>
      <c r="M25" s="2">
        <f t="shared" si="2"/>
        <v>781.6</v>
      </c>
      <c r="O25" s="1">
        <f t="shared" si="3"/>
        <v>15.508796296296294</v>
      </c>
      <c r="P25" s="2">
        <f t="shared" si="3"/>
        <v>705.91666666666663</v>
      </c>
    </row>
    <row r="26" spans="1:16" x14ac:dyDescent="0.45">
      <c r="A26" t="s">
        <v>280</v>
      </c>
      <c r="B26" s="4">
        <v>45691</v>
      </c>
      <c r="C26" s="20">
        <f>11+47/60</f>
        <v>11.783333333333333</v>
      </c>
      <c r="D26" s="19">
        <v>696</v>
      </c>
      <c r="E26" s="19">
        <v>0</v>
      </c>
      <c r="F26" s="19">
        <v>12057</v>
      </c>
      <c r="G26" s="2">
        <f t="shared" si="1"/>
        <v>13583</v>
      </c>
      <c r="H26" s="2"/>
      <c r="I26" s="1">
        <f t="shared" si="0"/>
        <v>15.933333333333334</v>
      </c>
      <c r="J26" s="2">
        <f t="shared" si="0"/>
        <v>757</v>
      </c>
      <c r="L26" s="1">
        <f t="shared" si="2"/>
        <v>18.630833333333335</v>
      </c>
      <c r="M26" s="2">
        <f t="shared" si="2"/>
        <v>799.75</v>
      </c>
      <c r="O26" s="1">
        <f t="shared" si="3"/>
        <v>17.539351851851851</v>
      </c>
      <c r="P26" s="2">
        <f t="shared" si="3"/>
        <v>764.80555555555554</v>
      </c>
    </row>
    <row r="27" spans="1:16" x14ac:dyDescent="0.45">
      <c r="A27" t="s">
        <v>281</v>
      </c>
      <c r="B27" s="4">
        <v>45698</v>
      </c>
      <c r="C27" s="20">
        <f>8+54/60</f>
        <v>8.9</v>
      </c>
      <c r="D27" s="19">
        <f>C27*50</f>
        <v>445</v>
      </c>
      <c r="E27" s="19">
        <v>0</v>
      </c>
      <c r="F27" s="19">
        <v>4939</v>
      </c>
      <c r="G27" s="2">
        <f t="shared" si="1"/>
        <v>10946</v>
      </c>
      <c r="H27" s="2"/>
      <c r="I27" s="1">
        <f t="shared" si="0"/>
        <v>13.4625</v>
      </c>
      <c r="J27" s="2">
        <f t="shared" si="0"/>
        <v>646</v>
      </c>
      <c r="L27" s="1">
        <f t="shared" si="2"/>
        <v>17.654999999999998</v>
      </c>
      <c r="M27" s="2">
        <f t="shared" si="2"/>
        <v>774.35</v>
      </c>
      <c r="O27" s="1">
        <f t="shared" si="3"/>
        <v>17.957407407407409</v>
      </c>
      <c r="P27" s="2">
        <f t="shared" si="3"/>
        <v>773.91666666666663</v>
      </c>
    </row>
    <row r="28" spans="1:16" x14ac:dyDescent="0.45">
      <c r="B28" s="4">
        <v>45705</v>
      </c>
      <c r="C28" s="20">
        <f>13+43/60</f>
        <v>13.716666666666667</v>
      </c>
      <c r="D28" s="19">
        <v>493</v>
      </c>
      <c r="E28" s="19">
        <v>0</v>
      </c>
      <c r="F28" s="19">
        <v>10763</v>
      </c>
      <c r="G28" s="2">
        <f t="shared" si="1"/>
        <v>10005</v>
      </c>
      <c r="H28" s="2"/>
      <c r="I28" s="1">
        <f t="shared" si="0"/>
        <v>12.237500000000001</v>
      </c>
      <c r="J28" s="2">
        <f t="shared" si="0"/>
        <v>591.25</v>
      </c>
      <c r="L28" s="1">
        <f t="shared" si="2"/>
        <v>16.2225</v>
      </c>
      <c r="M28" s="2">
        <f t="shared" si="2"/>
        <v>728.2</v>
      </c>
      <c r="O28" s="1">
        <f t="shared" si="3"/>
        <v>18.239814814814814</v>
      </c>
      <c r="P28" s="2">
        <f t="shared" si="3"/>
        <v>782.72222222222217</v>
      </c>
    </row>
    <row r="29" spans="1:16" x14ac:dyDescent="0.45">
      <c r="A29" t="s">
        <v>157</v>
      </c>
      <c r="B29" s="4">
        <v>45712</v>
      </c>
      <c r="C29" s="20">
        <f>14</f>
        <v>14</v>
      </c>
      <c r="D29" s="19">
        <v>503</v>
      </c>
      <c r="E29" s="19">
        <v>0</v>
      </c>
      <c r="F29" s="19">
        <v>10945</v>
      </c>
      <c r="G29" s="2">
        <f t="shared" si="1"/>
        <v>9676</v>
      </c>
      <c r="H29" s="2"/>
      <c r="I29" s="1">
        <f t="shared" si="0"/>
        <v>12.1</v>
      </c>
      <c r="J29" s="2">
        <f t="shared" si="0"/>
        <v>534.25</v>
      </c>
      <c r="L29" s="1">
        <f t="shared" si="2"/>
        <v>14.581666666666667</v>
      </c>
      <c r="M29" s="2">
        <f t="shared" si="2"/>
        <v>668.65</v>
      </c>
      <c r="O29" s="1">
        <f t="shared" si="3"/>
        <v>17.477777777777778</v>
      </c>
      <c r="P29" s="2">
        <f t="shared" si="3"/>
        <v>754.83333333333337</v>
      </c>
    </row>
    <row r="30" spans="1:16" x14ac:dyDescent="0.45">
      <c r="B30" s="4">
        <v>45719</v>
      </c>
      <c r="C30" s="20">
        <f>16+5/60</f>
        <v>16.083333333333332</v>
      </c>
      <c r="D30" s="19">
        <v>692</v>
      </c>
      <c r="E30" s="19">
        <v>0</v>
      </c>
      <c r="F30" s="19">
        <v>13162</v>
      </c>
      <c r="G30" s="2">
        <f t="shared" si="1"/>
        <v>9952.25</v>
      </c>
      <c r="H30" s="2"/>
      <c r="I30" s="1">
        <f t="shared" si="0"/>
        <v>13.175000000000001</v>
      </c>
      <c r="J30" s="2">
        <f t="shared" si="0"/>
        <v>533.25</v>
      </c>
      <c r="L30" s="1">
        <f t="shared" si="2"/>
        <v>13.381666666666666</v>
      </c>
      <c r="M30" s="2">
        <f t="shared" si="2"/>
        <v>612.35</v>
      </c>
      <c r="O30" s="1">
        <f t="shared" si="3"/>
        <v>15.212037037037037</v>
      </c>
      <c r="P30" s="2">
        <f t="shared" si="3"/>
        <v>692.19444444444446</v>
      </c>
    </row>
    <row r="31" spans="1:16" x14ac:dyDescent="0.45">
      <c r="A31" t="s">
        <v>282</v>
      </c>
      <c r="B31" s="4">
        <v>45726</v>
      </c>
      <c r="C31" s="20">
        <f>21+25/60</f>
        <v>21.416666666666668</v>
      </c>
      <c r="D31" s="19">
        <v>826</v>
      </c>
      <c r="E31" s="19">
        <v>0</v>
      </c>
      <c r="F31" s="19">
        <v>13508</v>
      </c>
      <c r="G31" s="2">
        <f t="shared" si="1"/>
        <v>12094.5</v>
      </c>
      <c r="H31" s="2"/>
      <c r="I31" s="1">
        <f t="shared" si="0"/>
        <v>16.304166666666667</v>
      </c>
      <c r="J31" s="2">
        <f t="shared" si="0"/>
        <v>628.5</v>
      </c>
      <c r="L31" s="1">
        <f t="shared" si="2"/>
        <v>13.455833333333334</v>
      </c>
      <c r="M31" s="2">
        <f t="shared" si="2"/>
        <v>586.65</v>
      </c>
      <c r="O31" s="1">
        <f t="shared" si="3"/>
        <v>14.345370370370372</v>
      </c>
      <c r="P31" s="2">
        <f t="shared" si="3"/>
        <v>636.25</v>
      </c>
    </row>
    <row r="32" spans="1:16" x14ac:dyDescent="0.45">
      <c r="B32" s="4">
        <v>45733</v>
      </c>
      <c r="C32" s="20">
        <v>0</v>
      </c>
      <c r="D32" s="19">
        <v>0</v>
      </c>
      <c r="E32" s="19">
        <v>0</v>
      </c>
      <c r="F32" s="19">
        <v>0</v>
      </c>
      <c r="G32" s="2">
        <f t="shared" si="1"/>
        <v>9403.75</v>
      </c>
      <c r="H32" s="2"/>
      <c r="I32" s="1">
        <f t="shared" si="0"/>
        <v>12.875</v>
      </c>
      <c r="J32" s="2">
        <f t="shared" si="0"/>
        <v>505.25</v>
      </c>
      <c r="L32" s="1">
        <f t="shared" si="2"/>
        <v>13.338333333333333</v>
      </c>
      <c r="M32" s="2">
        <f t="shared" si="2"/>
        <v>558.5</v>
      </c>
      <c r="O32" s="1">
        <f t="shared" si="3"/>
        <v>12.998611111111112</v>
      </c>
      <c r="P32" s="2">
        <f t="shared" si="3"/>
        <v>599.86111111111109</v>
      </c>
    </row>
    <row r="33" spans="1:16" x14ac:dyDescent="0.45">
      <c r="B33" s="4">
        <v>45740</v>
      </c>
      <c r="C33" s="20">
        <f>16+45/60</f>
        <v>16.75</v>
      </c>
      <c r="D33" s="19">
        <v>835</v>
      </c>
      <c r="E33" s="19">
        <v>0</v>
      </c>
      <c r="F33" s="19">
        <v>14922</v>
      </c>
      <c r="G33" s="2">
        <f t="shared" si="1"/>
        <v>10398</v>
      </c>
      <c r="H33" s="2"/>
      <c r="I33" s="1">
        <f t="shared" si="0"/>
        <v>13.5625</v>
      </c>
      <c r="J33" s="2">
        <f t="shared" si="0"/>
        <v>588.25</v>
      </c>
      <c r="L33" s="1">
        <f t="shared" si="2"/>
        <v>13.603333333333333</v>
      </c>
      <c r="M33" s="2">
        <f t="shared" si="2"/>
        <v>557.9</v>
      </c>
      <c r="O33" s="1">
        <f t="shared" si="3"/>
        <v>12.616666666666667</v>
      </c>
      <c r="P33" s="2">
        <f t="shared" si="3"/>
        <v>562.13888888888891</v>
      </c>
    </row>
    <row r="34" spans="1:16" x14ac:dyDescent="0.45">
      <c r="B34" s="4">
        <v>45747</v>
      </c>
      <c r="C34" s="20">
        <f>19+23/60</f>
        <v>19.383333333333333</v>
      </c>
      <c r="D34" s="19">
        <v>807</v>
      </c>
      <c r="E34" s="19">
        <v>2</v>
      </c>
      <c r="F34" s="19">
        <v>17249</v>
      </c>
      <c r="G34" s="2">
        <f t="shared" si="1"/>
        <v>11419.75</v>
      </c>
      <c r="H34" s="2"/>
      <c r="I34" s="1">
        <f t="shared" si="0"/>
        <v>14.387500000000001</v>
      </c>
      <c r="J34" s="2">
        <f t="shared" si="0"/>
        <v>617</v>
      </c>
      <c r="L34" s="1">
        <f t="shared" si="2"/>
        <v>14.060833333333335</v>
      </c>
      <c r="M34" s="2">
        <f t="shared" si="2"/>
        <v>574.45000000000005</v>
      </c>
      <c r="O34" s="1">
        <f t="shared" si="3"/>
        <v>13.060648148148148</v>
      </c>
      <c r="P34" s="2">
        <f t="shared" si="3"/>
        <v>535.27777777777783</v>
      </c>
    </row>
    <row r="35" spans="1:16" x14ac:dyDescent="0.45">
      <c r="B35" s="4">
        <v>45754</v>
      </c>
      <c r="C35" s="20">
        <f>24+58/60</f>
        <v>24.966666666666665</v>
      </c>
      <c r="D35" s="19">
        <v>1118</v>
      </c>
      <c r="E35" s="19">
        <v>2</v>
      </c>
      <c r="F35" s="19">
        <v>22951</v>
      </c>
      <c r="G35" s="2">
        <f t="shared" si="1"/>
        <v>13780.5</v>
      </c>
      <c r="H35" s="2"/>
      <c r="I35" s="1">
        <f t="shared" si="0"/>
        <v>15.274999999999999</v>
      </c>
      <c r="J35" s="2">
        <f t="shared" si="0"/>
        <v>690</v>
      </c>
      <c r="L35" s="1">
        <f t="shared" si="2"/>
        <v>14.480833333333331</v>
      </c>
      <c r="M35" s="2">
        <f t="shared" si="2"/>
        <v>605.79999999999995</v>
      </c>
      <c r="O35" s="1">
        <f t="shared" si="3"/>
        <v>14.591666666666665</v>
      </c>
      <c r="P35" s="2">
        <f t="shared" si="3"/>
        <v>582.88888888888891</v>
      </c>
    </row>
    <row r="36" spans="1:16" x14ac:dyDescent="0.45">
      <c r="B36" s="4">
        <v>45761</v>
      </c>
      <c r="C36" s="20">
        <f>19+7/60</f>
        <v>19.116666666666667</v>
      </c>
      <c r="D36" s="19">
        <v>889</v>
      </c>
      <c r="E36" s="19">
        <v>2</v>
      </c>
      <c r="F36" s="19">
        <v>17859</v>
      </c>
      <c r="G36" s="2">
        <f t="shared" si="1"/>
        <v>18245.25</v>
      </c>
      <c r="H36" s="2"/>
      <c r="I36" s="1">
        <f t="shared" si="0"/>
        <v>20.054166666666667</v>
      </c>
      <c r="J36" s="2">
        <f t="shared" si="0"/>
        <v>912.25</v>
      </c>
      <c r="L36" s="1">
        <f t="shared" si="2"/>
        <v>15.230833333333333</v>
      </c>
      <c r="M36" s="2">
        <f t="shared" si="2"/>
        <v>662.55</v>
      </c>
      <c r="O36" s="1">
        <f t="shared" si="3"/>
        <v>15.202314814814814</v>
      </c>
      <c r="P36" s="2">
        <f t="shared" si="3"/>
        <v>630.83333333333337</v>
      </c>
    </row>
    <row r="37" spans="1:16" x14ac:dyDescent="0.45">
      <c r="B37" s="4">
        <v>45768</v>
      </c>
      <c r="C37" s="20">
        <f>22+5/60</f>
        <v>22.083333333333332</v>
      </c>
      <c r="D37" s="19">
        <v>1025</v>
      </c>
      <c r="E37" s="19">
        <v>2</v>
      </c>
      <c r="F37" s="19">
        <v>20530</v>
      </c>
      <c r="G37" s="2">
        <f t="shared" si="1"/>
        <v>19647.25</v>
      </c>
      <c r="H37" s="2"/>
      <c r="I37" s="1">
        <f t="shared" si="0"/>
        <v>21.387499999999999</v>
      </c>
      <c r="J37" s="2">
        <f t="shared" si="0"/>
        <v>959.75</v>
      </c>
      <c r="L37" s="1">
        <f t="shared" si="2"/>
        <v>16.93333333333333</v>
      </c>
      <c r="M37" s="2">
        <f t="shared" si="2"/>
        <v>753.45</v>
      </c>
      <c r="O37" s="1">
        <f t="shared" si="3"/>
        <v>15.974537037037038</v>
      </c>
      <c r="P37" s="2">
        <f t="shared" si="3"/>
        <v>691.05555555555554</v>
      </c>
    </row>
    <row r="38" spans="1:16" x14ac:dyDescent="0.45">
      <c r="B38" s="4">
        <v>45775</v>
      </c>
      <c r="C38" s="20">
        <f>21+5/60</f>
        <v>21.083333333333332</v>
      </c>
      <c r="D38" s="19">
        <v>1019</v>
      </c>
      <c r="E38" s="19">
        <v>2</v>
      </c>
      <c r="F38" s="19">
        <v>19968</v>
      </c>
      <c r="G38" s="2">
        <f t="shared" si="1"/>
        <v>20327</v>
      </c>
      <c r="H38" s="2"/>
      <c r="I38" s="1">
        <f t="shared" si="0"/>
        <v>21.812499999999996</v>
      </c>
      <c r="J38" s="2">
        <f t="shared" si="0"/>
        <v>1012.75</v>
      </c>
      <c r="L38" s="1">
        <f t="shared" si="2"/>
        <v>18.583333333333336</v>
      </c>
      <c r="M38" s="2">
        <f t="shared" si="2"/>
        <v>838.35</v>
      </c>
      <c r="O38" s="1">
        <f t="shared" si="3"/>
        <v>16.422685185185188</v>
      </c>
      <c r="P38" s="2">
        <f t="shared" si="3"/>
        <v>718.36111111111109</v>
      </c>
    </row>
    <row r="39" spans="1:16" x14ac:dyDescent="0.45">
      <c r="A39" t="s">
        <v>283</v>
      </c>
      <c r="B39" s="4">
        <v>45782</v>
      </c>
      <c r="C39" s="20">
        <f>12+17/60</f>
        <v>12.283333333333333</v>
      </c>
      <c r="D39" s="19">
        <v>641</v>
      </c>
      <c r="E39" s="19">
        <v>0</v>
      </c>
      <c r="F39" s="19">
        <v>11042</v>
      </c>
      <c r="G39" s="2">
        <f t="shared" si="1"/>
        <v>17349.75</v>
      </c>
      <c r="H39" s="2"/>
      <c r="I39" s="1">
        <f t="shared" si="0"/>
        <v>18.641666666666666</v>
      </c>
      <c r="J39" s="2">
        <f t="shared" si="0"/>
        <v>893.5</v>
      </c>
      <c r="L39" s="1">
        <f t="shared" si="2"/>
        <v>19.43416666666667</v>
      </c>
      <c r="M39" s="2">
        <f t="shared" si="2"/>
        <v>893.65</v>
      </c>
      <c r="O39" s="1">
        <f t="shared" si="3"/>
        <v>15.431944444444444</v>
      </c>
      <c r="P39" s="2">
        <f t="shared" si="3"/>
        <v>710.75</v>
      </c>
    </row>
    <row r="40" spans="1:16" x14ac:dyDescent="0.45">
      <c r="B40" s="4">
        <v>45789</v>
      </c>
      <c r="C40" s="20">
        <f>17+10/60</f>
        <v>17.166666666666668</v>
      </c>
      <c r="D40" s="19">
        <v>950</v>
      </c>
      <c r="E40" s="19">
        <v>1</v>
      </c>
      <c r="F40" s="19">
        <v>15821</v>
      </c>
      <c r="G40" s="2">
        <f t="shared" si="1"/>
        <v>16840.25</v>
      </c>
      <c r="H40" s="2"/>
      <c r="I40" s="1">
        <f t="shared" si="0"/>
        <v>18.154166666666665</v>
      </c>
      <c r="J40" s="2">
        <f t="shared" si="0"/>
        <v>908.75</v>
      </c>
      <c r="L40" s="1">
        <f t="shared" si="2"/>
        <v>20.009999999999998</v>
      </c>
      <c r="M40" s="2">
        <f t="shared" si="2"/>
        <v>937.4</v>
      </c>
      <c r="O40" s="1">
        <f t="shared" si="3"/>
        <v>19.67731481481481</v>
      </c>
      <c r="P40" s="2">
        <f t="shared" si="3"/>
        <v>913.08333333333337</v>
      </c>
    </row>
    <row r="41" spans="1:16" x14ac:dyDescent="0.45">
      <c r="A41" t="s">
        <v>284</v>
      </c>
      <c r="B41" s="4">
        <v>45796</v>
      </c>
      <c r="C41" s="20">
        <f>16+50/60</f>
        <v>16.833333333333332</v>
      </c>
      <c r="D41" s="19">
        <v>852</v>
      </c>
      <c r="E41" s="19">
        <v>0</v>
      </c>
      <c r="F41" s="19">
        <v>15440</v>
      </c>
      <c r="G41" s="2">
        <f t="shared" si="1"/>
        <v>15567.75</v>
      </c>
      <c r="H41" s="2"/>
      <c r="I41" s="1">
        <f t="shared" si="0"/>
        <v>16.841666666666665</v>
      </c>
      <c r="J41" s="2">
        <f t="shared" si="0"/>
        <v>865.5</v>
      </c>
      <c r="L41" s="1">
        <f t="shared" si="2"/>
        <v>19.3675</v>
      </c>
      <c r="M41" s="2">
        <f t="shared" si="2"/>
        <v>928.05</v>
      </c>
      <c r="O41" s="1">
        <f t="shared" si="3"/>
        <v>20.202777777777776</v>
      </c>
      <c r="P41" s="2">
        <f t="shared" si="3"/>
        <v>930.33333333333337</v>
      </c>
    </row>
    <row r="42" spans="1:16" x14ac:dyDescent="0.45">
      <c r="A42" t="s">
        <v>228</v>
      </c>
      <c r="B42" s="4">
        <v>45803</v>
      </c>
      <c r="C42" s="20">
        <f>12+20/60</f>
        <v>12.333333333333334</v>
      </c>
      <c r="D42" s="19">
        <v>596</v>
      </c>
      <c r="E42" s="19">
        <v>0</v>
      </c>
      <c r="F42" s="19">
        <v>8377</v>
      </c>
      <c r="G42" s="2">
        <f t="shared" si="1"/>
        <v>12670</v>
      </c>
      <c r="H42" s="2"/>
      <c r="I42" s="1">
        <f t="shared" si="0"/>
        <v>14.654166666666667</v>
      </c>
      <c r="J42" s="2">
        <f t="shared" si="0"/>
        <v>759.75</v>
      </c>
      <c r="L42" s="1">
        <f t="shared" si="2"/>
        <v>18.020833333333332</v>
      </c>
      <c r="M42" s="2">
        <f t="shared" si="2"/>
        <v>888.05</v>
      </c>
      <c r="O42" s="1">
        <f t="shared" si="3"/>
        <v>19.947222222222219</v>
      </c>
      <c r="P42" s="2">
        <f t="shared" si="3"/>
        <v>947.94444444444446</v>
      </c>
    </row>
    <row r="43" spans="1:16" x14ac:dyDescent="0.45">
      <c r="A43" t="s">
        <v>285</v>
      </c>
      <c r="B43" s="4">
        <v>45810</v>
      </c>
      <c r="C43" s="20">
        <f>15+30/60</f>
        <v>15.5</v>
      </c>
      <c r="D43" s="19">
        <v>864</v>
      </c>
      <c r="E43" s="19">
        <v>0</v>
      </c>
      <c r="F43" s="19">
        <v>14329</v>
      </c>
      <c r="G43" s="2">
        <f t="shared" si="1"/>
        <v>13491.75</v>
      </c>
      <c r="H43" s="2"/>
      <c r="I43" s="1">
        <f t="shared" si="0"/>
        <v>15.458333333333334</v>
      </c>
      <c r="J43" s="2">
        <f t="shared" si="0"/>
        <v>815.5</v>
      </c>
      <c r="L43" s="1">
        <f t="shared" si="2"/>
        <v>16.75</v>
      </c>
      <c r="M43" s="2">
        <f t="shared" si="2"/>
        <v>848.6</v>
      </c>
      <c r="O43" s="1">
        <f t="shared" si="3"/>
        <v>18.187962962962963</v>
      </c>
      <c r="P43" s="2">
        <f t="shared" si="3"/>
        <v>889.38888888888891</v>
      </c>
    </row>
    <row r="44" spans="1:16" x14ac:dyDescent="0.45">
      <c r="A44" t="s">
        <v>286</v>
      </c>
      <c r="B44" s="4">
        <v>45817</v>
      </c>
      <c r="C44" s="20">
        <f>21+4/60</f>
        <v>21.066666666666666</v>
      </c>
      <c r="D44" s="19">
        <v>1434</v>
      </c>
      <c r="E44" s="19">
        <v>0</v>
      </c>
      <c r="F44" s="19">
        <v>20415</v>
      </c>
      <c r="G44" s="2">
        <f t="shared" si="1"/>
        <v>14640.25</v>
      </c>
      <c r="H44" s="2"/>
      <c r="I44" s="1">
        <f t="shared" si="0"/>
        <v>16.433333333333334</v>
      </c>
      <c r="J44" s="2">
        <f t="shared" si="0"/>
        <v>936.5</v>
      </c>
      <c r="L44" s="1">
        <f t="shared" si="2"/>
        <v>16.30833333333333</v>
      </c>
      <c r="M44" s="2">
        <f t="shared" si="2"/>
        <v>857.2</v>
      </c>
      <c r="O44" s="1">
        <f t="shared" si="3"/>
        <v>17.782870370370368</v>
      </c>
      <c r="P44" s="2">
        <f t="shared" si="3"/>
        <v>896.86111111111109</v>
      </c>
    </row>
    <row r="45" spans="1:16" x14ac:dyDescent="0.45">
      <c r="A45" t="s">
        <v>94</v>
      </c>
      <c r="B45" s="4">
        <v>45824</v>
      </c>
      <c r="C45" s="20">
        <f>10+55/60</f>
        <v>10.916666666666666</v>
      </c>
      <c r="D45" s="19">
        <v>498</v>
      </c>
      <c r="E45" s="19">
        <v>0</v>
      </c>
      <c r="F45" s="19">
        <v>8825</v>
      </c>
      <c r="G45" s="2">
        <f t="shared" si="1"/>
        <v>12986.5</v>
      </c>
      <c r="H45" s="2"/>
      <c r="I45" s="1">
        <f t="shared" si="0"/>
        <v>14.954166666666667</v>
      </c>
      <c r="J45" s="2">
        <f t="shared" si="0"/>
        <v>848</v>
      </c>
      <c r="L45" s="1">
        <f t="shared" si="2"/>
        <v>15.668333333333337</v>
      </c>
      <c r="M45" s="2">
        <f t="shared" si="2"/>
        <v>845.05</v>
      </c>
      <c r="O45" s="1">
        <f t="shared" si="3"/>
        <v>16.408333333333331</v>
      </c>
      <c r="P45" s="2">
        <f t="shared" si="3"/>
        <v>859.47222222222217</v>
      </c>
    </row>
    <row r="46" spans="1:16" x14ac:dyDescent="0.45">
      <c r="A46" t="s">
        <v>94</v>
      </c>
      <c r="B46" s="4">
        <v>45831</v>
      </c>
      <c r="C46" s="20">
        <f>15+55/60</f>
        <v>15.916666666666666</v>
      </c>
      <c r="D46" s="19">
        <v>712</v>
      </c>
      <c r="E46" s="19">
        <v>0</v>
      </c>
      <c r="F46" s="19">
        <v>12455</v>
      </c>
      <c r="G46" s="2">
        <f t="shared" si="1"/>
        <v>14006</v>
      </c>
      <c r="H46" s="2"/>
      <c r="I46" s="1">
        <f t="shared" si="0"/>
        <v>15.849999999999998</v>
      </c>
      <c r="J46" s="2">
        <f t="shared" si="0"/>
        <v>877</v>
      </c>
      <c r="L46" s="1">
        <f t="shared" si="2"/>
        <v>15.470000000000002</v>
      </c>
      <c r="M46" s="2">
        <f t="shared" si="2"/>
        <v>847.35</v>
      </c>
      <c r="O46" s="1">
        <f t="shared" si="3"/>
        <v>15.112500000000002</v>
      </c>
      <c r="P46" s="2">
        <f t="shared" si="3"/>
        <v>814.88888888888891</v>
      </c>
    </row>
    <row r="47" spans="1:16" x14ac:dyDescent="0.45">
      <c r="A47" t="s">
        <v>83</v>
      </c>
      <c r="B47" s="4">
        <v>45838</v>
      </c>
      <c r="C47" s="20">
        <f>9+27/60</f>
        <v>9.4499999999999993</v>
      </c>
      <c r="D47" s="19">
        <v>252</v>
      </c>
      <c r="E47" s="19">
        <v>0</v>
      </c>
      <c r="F47" s="19">
        <v>5910</v>
      </c>
      <c r="G47" s="2">
        <f t="shared" si="1"/>
        <v>11901.25</v>
      </c>
      <c r="H47" s="2"/>
      <c r="I47" s="1">
        <f t="shared" si="0"/>
        <v>14.337499999999999</v>
      </c>
      <c r="J47" s="2">
        <f t="shared" si="0"/>
        <v>724</v>
      </c>
      <c r="L47" s="1">
        <f t="shared" si="2"/>
        <v>15.406666666666663</v>
      </c>
      <c r="M47" s="2">
        <f t="shared" si="2"/>
        <v>840.2</v>
      </c>
      <c r="O47" s="1">
        <f t="shared" si="3"/>
        <v>15.69351851851852</v>
      </c>
      <c r="P47" s="2">
        <f t="shared" si="3"/>
        <v>843.5</v>
      </c>
    </row>
    <row r="48" spans="1:16" x14ac:dyDescent="0.45">
      <c r="A48" t="s">
        <v>234</v>
      </c>
      <c r="B48" s="4">
        <v>45845</v>
      </c>
      <c r="C48" s="20">
        <f>14+6/60</f>
        <v>14.1</v>
      </c>
      <c r="D48" s="19">
        <v>668</v>
      </c>
      <c r="E48" s="19">
        <v>0</v>
      </c>
      <c r="F48" s="19">
        <v>11453</v>
      </c>
      <c r="G48" s="2">
        <f t="shared" si="1"/>
        <v>9660.75</v>
      </c>
      <c r="H48" s="2"/>
      <c r="I48" s="1">
        <f t="shared" si="0"/>
        <v>12.595833333333333</v>
      </c>
      <c r="J48" s="2">
        <f t="shared" si="0"/>
        <v>532.5</v>
      </c>
      <c r="L48" s="1">
        <f t="shared" si="2"/>
        <v>14.834166666666665</v>
      </c>
      <c r="M48" s="2">
        <f t="shared" si="2"/>
        <v>783.6</v>
      </c>
      <c r="O48" s="1">
        <f t="shared" si="3"/>
        <v>15.104166666666666</v>
      </c>
      <c r="P48" s="2">
        <f t="shared" si="3"/>
        <v>795.61111111111109</v>
      </c>
    </row>
    <row r="49" spans="1:16" x14ac:dyDescent="0.45">
      <c r="A49" t="s">
        <v>287</v>
      </c>
      <c r="B49" s="4">
        <v>45852</v>
      </c>
      <c r="C49" s="20">
        <f>9+55/60</f>
        <v>9.9166666666666661</v>
      </c>
      <c r="D49" s="19">
        <v>476</v>
      </c>
      <c r="E49" s="19">
        <v>0</v>
      </c>
      <c r="F49" s="19">
        <v>8091</v>
      </c>
      <c r="G49" s="2">
        <f t="shared" si="1"/>
        <v>9477.25</v>
      </c>
      <c r="H49" s="2"/>
      <c r="I49" s="1">
        <f t="shared" si="0"/>
        <v>12.345833333333333</v>
      </c>
      <c r="J49" s="2">
        <f t="shared" si="0"/>
        <v>527</v>
      </c>
      <c r="L49" s="1">
        <f t="shared" si="2"/>
        <v>14.016666666666666</v>
      </c>
      <c r="M49" s="2">
        <f t="shared" si="2"/>
        <v>701.7</v>
      </c>
      <c r="O49" s="1">
        <f t="shared" si="3"/>
        <v>14.396759259259259</v>
      </c>
      <c r="P49" s="2">
        <f t="shared" si="3"/>
        <v>759.05555555555554</v>
      </c>
    </row>
    <row r="50" spans="1:16" x14ac:dyDescent="0.45">
      <c r="A50" t="s">
        <v>287</v>
      </c>
      <c r="B50" s="4">
        <v>45859</v>
      </c>
      <c r="C50" s="20">
        <f>10+50/60</f>
        <v>10.833333333333334</v>
      </c>
      <c r="D50" s="19">
        <v>652</v>
      </c>
      <c r="E50" s="19">
        <v>0</v>
      </c>
      <c r="F50" s="19">
        <v>9999</v>
      </c>
      <c r="G50" s="2">
        <f t="shared" si="1"/>
        <v>8863.25</v>
      </c>
      <c r="H50" s="2"/>
      <c r="I50" s="1">
        <f t="shared" si="0"/>
        <v>11.074999999999999</v>
      </c>
      <c r="J50" s="2">
        <f t="shared" si="0"/>
        <v>512</v>
      </c>
      <c r="L50" s="1">
        <f t="shared" si="2"/>
        <v>13.240833333333333</v>
      </c>
      <c r="M50" s="2">
        <f t="shared" si="2"/>
        <v>634.5</v>
      </c>
      <c r="O50" s="1">
        <f t="shared" si="3"/>
        <v>14.647685185185184</v>
      </c>
      <c r="P50" s="2">
        <f t="shared" si="3"/>
        <v>780.94444444444446</v>
      </c>
    </row>
    <row r="51" spans="1:16" x14ac:dyDescent="0.45">
      <c r="A51" t="s">
        <v>288</v>
      </c>
      <c r="B51" s="4">
        <v>45866</v>
      </c>
      <c r="C51" s="20">
        <v>0</v>
      </c>
      <c r="D51" s="19">
        <v>0</v>
      </c>
      <c r="E51" s="19">
        <v>0</v>
      </c>
      <c r="F51" s="19">
        <v>0</v>
      </c>
      <c r="G51" s="2">
        <f t="shared" si="1"/>
        <v>7385.75</v>
      </c>
      <c r="H51" s="2"/>
      <c r="I51" s="1">
        <f t="shared" si="0"/>
        <v>8.7125000000000004</v>
      </c>
      <c r="J51" s="2">
        <f t="shared" si="0"/>
        <v>449</v>
      </c>
      <c r="L51" s="1">
        <f t="shared" si="2"/>
        <v>11.813333333333333</v>
      </c>
      <c r="M51" s="2">
        <f t="shared" si="2"/>
        <v>548.9</v>
      </c>
      <c r="O51" s="1">
        <f t="shared" si="3"/>
        <v>13.764351851851851</v>
      </c>
      <c r="P51" s="2">
        <f t="shared" si="3"/>
        <v>719.27777777777783</v>
      </c>
    </row>
    <row r="52" spans="1:16" x14ac:dyDescent="0.45">
      <c r="B52" s="4">
        <v>45873</v>
      </c>
      <c r="C52" s="20">
        <f>8+43/60</f>
        <v>8.7166666666666668</v>
      </c>
      <c r="D52" s="19">
        <v>300</v>
      </c>
      <c r="E52" s="19">
        <v>0</v>
      </c>
      <c r="F52" s="19">
        <v>2765</v>
      </c>
      <c r="G52" s="2">
        <f t="shared" si="1"/>
        <v>5213.75</v>
      </c>
      <c r="H52" s="2"/>
      <c r="I52" s="1">
        <f t="shared" si="0"/>
        <v>7.3666666666666671</v>
      </c>
      <c r="J52" s="2">
        <f t="shared" si="0"/>
        <v>357</v>
      </c>
      <c r="L52" s="1">
        <f t="shared" si="2"/>
        <v>10.419166666666666</v>
      </c>
      <c r="M52" s="2">
        <f t="shared" si="2"/>
        <v>475.5</v>
      </c>
      <c r="O52" s="1">
        <f t="shared" si="3"/>
        <v>11.300925925925926</v>
      </c>
      <c r="P52" s="2">
        <f t="shared" si="3"/>
        <v>499.44444444444446</v>
      </c>
    </row>
    <row r="53" spans="1:16" x14ac:dyDescent="0.45">
      <c r="B53" s="4">
        <v>45880</v>
      </c>
      <c r="C53" s="20">
        <f>16+17/60</f>
        <v>16.283333333333335</v>
      </c>
      <c r="D53" s="19">
        <v>761</v>
      </c>
      <c r="E53" s="19">
        <v>2</v>
      </c>
      <c r="F53" s="19">
        <v>15394</v>
      </c>
      <c r="G53" s="2">
        <f t="shared" si="1"/>
        <v>7039.5</v>
      </c>
      <c r="H53" s="2"/>
      <c r="I53" s="1">
        <f t="shared" si="0"/>
        <v>8.9583333333333339</v>
      </c>
      <c r="J53" s="2">
        <f t="shared" si="0"/>
        <v>428.25</v>
      </c>
      <c r="L53" s="1">
        <f>((C46)+(2*C47)+(3*C48)+(4*C49)+(4*C50)+(3*C51)+(2*C52)+(C53))/20</f>
        <v>9.6916666666666664</v>
      </c>
      <c r="M53" s="2">
        <f t="shared" si="2"/>
        <v>454.65</v>
      </c>
      <c r="O53" s="1">
        <f t="shared" si="3"/>
        <v>11.242129629629629</v>
      </c>
      <c r="P53" s="2">
        <f t="shared" si="3"/>
        <v>494.91666666666669</v>
      </c>
    </row>
    <row r="54" spans="1:16" x14ac:dyDescent="0.45">
      <c r="B54" s="4">
        <v>45887</v>
      </c>
      <c r="C54" s="20">
        <f>14+52/60</f>
        <v>14.866666666666667</v>
      </c>
      <c r="D54" s="19">
        <v>683</v>
      </c>
      <c r="E54" s="19">
        <v>2</v>
      </c>
      <c r="F54" s="19">
        <v>11736</v>
      </c>
      <c r="G54" s="2">
        <f t="shared" si="1"/>
        <v>7473.75</v>
      </c>
      <c r="H54" s="2"/>
      <c r="I54" s="1">
        <f t="shared" si="0"/>
        <v>9.9666666666666668</v>
      </c>
      <c r="J54" s="2">
        <f t="shared" si="0"/>
        <v>436</v>
      </c>
      <c r="L54" s="1">
        <f t="shared" si="2"/>
        <v>9.2158333333333342</v>
      </c>
      <c r="M54" s="2">
        <f t="shared" si="2"/>
        <v>436.45</v>
      </c>
      <c r="O54" s="1">
        <f t="shared" si="3"/>
        <v>10.043055555555554</v>
      </c>
      <c r="P54" s="2">
        <f t="shared" si="3"/>
        <v>442.02777777777777</v>
      </c>
    </row>
    <row r="55" spans="1:16" x14ac:dyDescent="0.45">
      <c r="B55" s="4">
        <v>45894</v>
      </c>
      <c r="C55" s="20">
        <f>16+5/60</f>
        <v>16.083333333333332</v>
      </c>
      <c r="D55" s="19">
        <v>733</v>
      </c>
      <c r="E55" s="19">
        <v>2</v>
      </c>
      <c r="F55" s="19">
        <v>13905</v>
      </c>
      <c r="G55" s="2">
        <f t="shared" si="1"/>
        <v>10950</v>
      </c>
      <c r="H55" s="2"/>
      <c r="I55" s="1">
        <f t="shared" si="0"/>
        <v>13.987500000000001</v>
      </c>
      <c r="J55" s="2">
        <f t="shared" si="0"/>
        <v>619.25</v>
      </c>
      <c r="L55" s="1">
        <f t="shared" si="2"/>
        <v>9.7983333333333356</v>
      </c>
      <c r="M55" s="2">
        <f t="shared" si="2"/>
        <v>457.9</v>
      </c>
      <c r="O55" s="1">
        <f t="shared" si="3"/>
        <v>10.465277777777779</v>
      </c>
      <c r="P55" s="2">
        <f t="shared" si="3"/>
        <v>504.72222222222223</v>
      </c>
    </row>
    <row r="56" spans="1:16" x14ac:dyDescent="0.45">
      <c r="B56" s="4">
        <v>45901</v>
      </c>
      <c r="C56" s="20">
        <f>18+37/60</f>
        <v>18.616666666666667</v>
      </c>
      <c r="D56" s="19">
        <v>789</v>
      </c>
      <c r="E56" s="19">
        <v>2</v>
      </c>
      <c r="F56" s="19">
        <v>13647</v>
      </c>
      <c r="G56" s="2">
        <f t="shared" si="1"/>
        <v>13670.5</v>
      </c>
      <c r="H56" s="2"/>
      <c r="I56" s="1">
        <f t="shared" si="0"/>
        <v>16.462499999999999</v>
      </c>
      <c r="J56" s="2">
        <f t="shared" si="0"/>
        <v>741.5</v>
      </c>
      <c r="L56" s="1">
        <f>((C49)+(2*C50)+(3*C51)+(4*C52)+(4*C53)+(3*C54)+(2*C55)+(C56))/20</f>
        <v>11.348333333333333</v>
      </c>
      <c r="M56" s="2">
        <f t="shared" si="2"/>
        <v>516.4</v>
      </c>
      <c r="O56" s="1">
        <f t="shared" si="3"/>
        <v>9.9796296296296294</v>
      </c>
      <c r="P56" s="2">
        <f t="shared" si="3"/>
        <v>478.33333333333331</v>
      </c>
    </row>
    <row r="57" spans="1:16" x14ac:dyDescent="0.45">
      <c r="B57" s="4">
        <v>45908</v>
      </c>
      <c r="C57" s="20">
        <f>17+16/50</f>
        <v>17.32</v>
      </c>
      <c r="D57" s="19">
        <v>792</v>
      </c>
      <c r="E57" s="19">
        <v>1</v>
      </c>
      <c r="F57" s="19">
        <v>7116</v>
      </c>
      <c r="G57" s="2">
        <f t="shared" si="1"/>
        <v>11601</v>
      </c>
      <c r="H57" s="2"/>
      <c r="I57" s="1">
        <f t="shared" si="0"/>
        <v>16.721666666666664</v>
      </c>
      <c r="J57" s="2">
        <f t="shared" si="0"/>
        <v>749.25</v>
      </c>
      <c r="L57" s="1">
        <f t="shared" si="2"/>
        <v>13.219333333333333</v>
      </c>
      <c r="M57" s="2">
        <f t="shared" si="2"/>
        <v>594.85</v>
      </c>
      <c r="O57" s="1">
        <f t="shared" si="3"/>
        <v>10.629259259259261</v>
      </c>
      <c r="P57" s="2">
        <f t="shared" si="3"/>
        <v>503.38888888888891</v>
      </c>
    </row>
    <row r="58" spans="1:16" x14ac:dyDescent="0.45">
      <c r="B58" s="4">
        <v>45915</v>
      </c>
      <c r="C58" s="1">
        <f>11+46/60</f>
        <v>11.766666666666667</v>
      </c>
      <c r="D58" s="14">
        <v>519</v>
      </c>
      <c r="E58" s="14">
        <v>0</v>
      </c>
      <c r="F58" s="14">
        <v>6513</v>
      </c>
      <c r="G58" s="2">
        <f t="shared" ref="G58" si="4">AVERAGE(F55:F58)</f>
        <v>10295.25</v>
      </c>
      <c r="H58" s="2"/>
      <c r="I58" s="1">
        <f t="shared" ref="I58" si="5">AVERAGE(C55:C58)</f>
        <v>15.946666666666667</v>
      </c>
      <c r="J58" s="2">
        <f t="shared" ref="J58" si="6">AVERAGE(D55:D58)</f>
        <v>708.25</v>
      </c>
      <c r="L58" s="1">
        <f t="shared" ref="L58" si="7">((C51)+(2*C52)+(3*C53)+(4*C54)+(4*C55)+(3*C56)+(2*C57)+(C58))/20</f>
        <v>14.616999999999999</v>
      </c>
      <c r="M58" s="2">
        <f t="shared" ref="M58" si="8">((D51)+(2*D52)+(3*D53)+(4*D54)+(4*D55)+(3*D56)+(2*D57)+(D58))/20</f>
        <v>650.85</v>
      </c>
      <c r="O58" s="1">
        <f t="shared" ref="O58" si="9">((C58)+(C57*2)+(C56*3)+(C55*4)+(C54*5)+(C53*6)+(C52*7)+(C51*8))/36</f>
        <v>11.101111111111111</v>
      </c>
      <c r="P58" s="2">
        <f t="shared" ref="P58" si="10">((D58)+(D57*2)+(D56*3)+(D55*4)+(D54*5)+(D53*6)+(D52*7)+(D51*8))/36</f>
        <v>485.63888888888891</v>
      </c>
    </row>
    <row r="59" spans="1:16" x14ac:dyDescent="0.45">
      <c r="B59" s="4"/>
      <c r="C59" s="1"/>
      <c r="D59" s="14"/>
      <c r="E59" s="14"/>
      <c r="F59" s="14"/>
      <c r="G59" s="2"/>
      <c r="H59" s="2"/>
    </row>
    <row r="60" spans="1:16" x14ac:dyDescent="0.45">
      <c r="B60" s="4"/>
      <c r="C60" s="1"/>
      <c r="D60" s="14"/>
      <c r="E60" s="14"/>
      <c r="F60" s="14"/>
      <c r="G60" s="2"/>
      <c r="H60" s="2"/>
    </row>
    <row r="61" spans="1:16" x14ac:dyDescent="0.45">
      <c r="B61" s="4"/>
      <c r="C61" s="1"/>
      <c r="D61" s="14"/>
      <c r="E61" s="14"/>
      <c r="F61" s="14"/>
      <c r="G61" s="2"/>
      <c r="H61" s="2"/>
    </row>
    <row r="62" spans="1:16" x14ac:dyDescent="0.45">
      <c r="B62" s="4"/>
      <c r="C62" s="1"/>
      <c r="D62" s="14"/>
      <c r="E62" s="14"/>
      <c r="F62" s="14"/>
      <c r="G62" s="2"/>
      <c r="H62" s="2"/>
    </row>
    <row r="63" spans="1:16" x14ac:dyDescent="0.45">
      <c r="B63" s="4"/>
      <c r="C63" s="1"/>
      <c r="D63" s="14"/>
      <c r="E63" s="14"/>
      <c r="F63" s="14"/>
      <c r="G63" s="2"/>
      <c r="H63" s="2"/>
    </row>
    <row r="64" spans="1:16" x14ac:dyDescent="0.45">
      <c r="B64" s="4"/>
      <c r="C64" s="1"/>
      <c r="D64" s="14"/>
      <c r="E64" s="14"/>
      <c r="F64" s="14"/>
      <c r="G64" s="2"/>
      <c r="H64" s="2"/>
    </row>
    <row r="65" spans="2:8" x14ac:dyDescent="0.45">
      <c r="B65" s="4"/>
      <c r="C65" s="1"/>
      <c r="D65" s="14"/>
      <c r="E65" s="14"/>
      <c r="F65" s="14"/>
      <c r="G65" s="2"/>
      <c r="H65" s="2"/>
    </row>
    <row r="66" spans="2:8" x14ac:dyDescent="0.45">
      <c r="B66" s="4"/>
      <c r="C66" s="1"/>
      <c r="D66" s="14"/>
      <c r="E66" s="14"/>
      <c r="F66" s="14"/>
      <c r="G66" s="2"/>
      <c r="H66" s="2"/>
    </row>
    <row r="67" spans="2:8" x14ac:dyDescent="0.45">
      <c r="B67" s="4"/>
      <c r="C67" s="1"/>
      <c r="D67" s="14"/>
      <c r="E67" s="14"/>
      <c r="F67" s="14"/>
      <c r="G67" s="2"/>
      <c r="H67" s="2"/>
    </row>
    <row r="68" spans="2:8" x14ac:dyDescent="0.45">
      <c r="B68" s="4"/>
      <c r="C68" s="1"/>
      <c r="D68" s="14"/>
      <c r="E68" s="14"/>
      <c r="F68" s="14"/>
      <c r="G68" s="2"/>
      <c r="H68" s="2"/>
    </row>
    <row r="69" spans="2:8" x14ac:dyDescent="0.45">
      <c r="B69" s="4"/>
      <c r="C69" s="1"/>
      <c r="D69" s="14"/>
      <c r="E69" s="14"/>
      <c r="F69" s="14"/>
      <c r="G69" s="2"/>
      <c r="H69" s="2"/>
    </row>
    <row r="70" spans="2:8" x14ac:dyDescent="0.45">
      <c r="B70" s="4"/>
      <c r="C70" s="1"/>
      <c r="D70" s="14"/>
      <c r="E70" s="14"/>
      <c r="F70" s="14"/>
      <c r="G70" s="2"/>
      <c r="H70" s="2"/>
    </row>
    <row r="71" spans="2:8" x14ac:dyDescent="0.45">
      <c r="B71" s="4"/>
      <c r="D71" s="14"/>
      <c r="E71" s="14"/>
      <c r="F71" s="14"/>
      <c r="G71" s="2"/>
      <c r="H71" s="2"/>
    </row>
    <row r="72" spans="2:8" x14ac:dyDescent="0.45">
      <c r="D72" s="2"/>
      <c r="E72" s="2"/>
      <c r="F72" s="2"/>
      <c r="G72" s="2"/>
      <c r="H72" s="2"/>
    </row>
    <row r="73" spans="2:8" x14ac:dyDescent="0.45">
      <c r="D73" s="2"/>
      <c r="E73" s="2"/>
      <c r="F73" s="2"/>
      <c r="G73" s="2"/>
      <c r="H73" s="2"/>
    </row>
    <row r="74" spans="2:8" x14ac:dyDescent="0.45">
      <c r="D74" s="2"/>
      <c r="E74" s="2"/>
      <c r="F74" s="2"/>
      <c r="G74" s="2"/>
      <c r="H74" s="2"/>
    </row>
    <row r="75" spans="2:8" x14ac:dyDescent="0.45">
      <c r="D75" s="2"/>
      <c r="E75" s="2"/>
      <c r="F75" s="2"/>
      <c r="G75" s="2"/>
      <c r="H75" s="2"/>
    </row>
    <row r="76" spans="2:8" x14ac:dyDescent="0.45">
      <c r="D76" s="2"/>
      <c r="E76" s="2"/>
      <c r="F76" s="2"/>
      <c r="G76" s="2"/>
      <c r="H76" s="2"/>
    </row>
  </sheetData>
  <conditionalFormatting sqref="G5:H76">
    <cfRule type="colorScale" priority="1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I5:I58">
    <cfRule type="colorScale" priority="7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J5:J58">
    <cfRule type="colorScale" priority="6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L9:L58">
    <cfRule type="colorScale" priority="2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M58">
    <cfRule type="colorScale" priority="5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O13:O58">
    <cfRule type="colorScale" priority="4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3:P58">
    <cfRule type="colorScale" priority="3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eDocument" ma:contentTypeID="0x010100B457EF713D1E0442AFCB56E948AFC817" ma:contentTypeVersion="49" ma:contentTypeDescription="Create a new document." ma:contentTypeScope="" ma:versionID="4cdbb3e4906c3c8ce860d96aa170547e">
  <xsd:schema xmlns:xsd="http://www.w3.org/2001/XMLSchema" xmlns:xs="http://www.w3.org/2001/XMLSchema" xmlns:p="http://schemas.microsoft.com/office/2006/metadata/properties" xmlns:ns2="f6e643c1-477a-4f62-8462-46c2159d3990" xmlns:ns3="4f9c820c-e7e2-444d-97ee-45f2b3485c1d" xmlns:ns4="15ffb055-6eb4-45a1-bc20-bf2ac0d420da" xmlns:ns5="725c79e5-42ce-4aa0-ac78-b6418001f0d2" xmlns:ns6="c91a514c-9034-4fa3-897a-8352025b26ed" xmlns:ns7="ceb11242-7f6c-443f-9046-0f086bb1dd9a" targetNamespace="http://schemas.microsoft.com/office/2006/metadata/properties" ma:root="true" ma:fieldsID="5ba6fee00fb8cd125932280e09e279bb" ns2:_="" ns3:_="" ns4:_="" ns5:_="" ns6:_="" ns7:_="">
    <xsd:import namespace="f6e643c1-477a-4f62-8462-46c2159d3990"/>
    <xsd:import namespace="4f9c820c-e7e2-444d-97ee-45f2b3485c1d"/>
    <xsd:import namespace="15ffb055-6eb4-45a1-bc20-bf2ac0d420da"/>
    <xsd:import namespace="725c79e5-42ce-4aa0-ac78-b6418001f0d2"/>
    <xsd:import namespace="c91a514c-9034-4fa3-897a-8352025b26ed"/>
    <xsd:import namespace="ceb11242-7f6c-443f-9046-0f086bb1dd9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Type" minOccurs="0"/>
                <xsd:element ref="ns4:KeyWords" minOccurs="0"/>
                <xsd:element ref="ns3:Narrative" minOccurs="0"/>
                <xsd:element ref="ns4:SecurityClassification" minOccurs="0"/>
                <xsd:element ref="ns3:Subactivity" minOccurs="0"/>
                <xsd:element ref="ns3:Case" minOccurs="0"/>
                <xsd:element ref="ns3:RelatedPeople" minOccurs="0"/>
                <xsd:element ref="ns3:CategoryName" minOccurs="0"/>
                <xsd:element ref="ns3:CategoryValue" minOccurs="0"/>
                <xsd:element ref="ns3:BusinessValue" minOccurs="0"/>
                <xsd:element ref="ns3:FunctionGroup" minOccurs="0"/>
                <xsd:element ref="ns3:Function" minOccurs="0"/>
                <xsd:element ref="ns3:PRAType" minOccurs="0"/>
                <xsd:element ref="ns3:PRADate1" minOccurs="0"/>
                <xsd:element ref="ns3:PRADate2" minOccurs="0"/>
                <xsd:element ref="ns3:PRADate3" minOccurs="0"/>
                <xsd:element ref="ns3:PRADateDisposal" minOccurs="0"/>
                <xsd:element ref="ns3:PRADateTrigger" minOccurs="0"/>
                <xsd:element ref="ns3:PRAText1" minOccurs="0"/>
                <xsd:element ref="ns3:PRAText2" minOccurs="0"/>
                <xsd:element ref="ns3:PRAText3" minOccurs="0"/>
                <xsd:element ref="ns3:PRAText4" minOccurs="0"/>
                <xsd:element ref="ns3:PRAText5" minOccurs="0"/>
                <xsd:element ref="ns3:AggregationStatus" minOccurs="0"/>
                <xsd:element ref="ns3:Project" minOccurs="0"/>
                <xsd:element ref="ns3:Activity" minOccurs="0"/>
                <xsd:element ref="ns5:AggregationNarrative" minOccurs="0"/>
                <xsd:element ref="ns6:Channel" minOccurs="0"/>
                <xsd:element ref="ns6:Team" minOccurs="0"/>
                <xsd:element ref="ns6:Level2" minOccurs="0"/>
                <xsd:element ref="ns6:Level3" minOccurs="0"/>
                <xsd:element ref="ns6:Year" minOccurs="0"/>
                <xsd:element ref="ns7:MediaServiceMetadata" minOccurs="0"/>
                <xsd:element ref="ns7:MediaServiceFastMetadata" minOccurs="0"/>
                <xsd:element ref="ns7:MediaServiceSearchProperties" minOccurs="0"/>
                <xsd:element ref="ns7:MediaServiceObjectDetectorVersions" minOccurs="0"/>
                <xsd:element ref="ns2:SharedWithUsers" minOccurs="0"/>
                <xsd:element ref="ns2:SharedWithDetails" minOccurs="0"/>
                <xsd:element ref="ns7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e643c1-477a-4f62-8462-46c2159d399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4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c820c-e7e2-444d-97ee-45f2b3485c1d" elementFormDefault="qualified">
    <xsd:import namespace="http://schemas.microsoft.com/office/2006/documentManagement/types"/>
    <xsd:import namespace="http://schemas.microsoft.com/office/infopath/2007/PartnerControls"/>
    <xsd:element name="DocumentType" ma:index="11" nillable="true" ma:displayName="Document Type" ma:format="Dropdown" ma:hidden="true" ma:internalName="DocumentType" ma:readOnly="false">
      <xsd:simpleType>
        <xsd:restriction base="dms:Choice">
          <xsd:enumeration value="APPLICATION, certificate, consent related"/>
          <xsd:enumeration value="CONTRACT, Variation, Agreement"/>
          <xsd:enumeration value="CORRESPONDENCE"/>
          <xsd:enumeration value="DRAWING, Plan, Map"/>
          <xsd:enumeration value="EMPLOYMENT related"/>
          <xsd:enumeration value="FINANCIAL related"/>
          <xsd:enumeration value="KNOWLEDGE article"/>
          <xsd:enumeration value="MEETING related"/>
          <xsd:enumeration value="MEMO, Filenote, Email"/>
          <xsd:enumeration value="MODEL, Calculation, Working"/>
          <xsd:enumeration value="PHOTO, Image or Multi-media"/>
          <xsd:enumeration value="PRESENTATION"/>
          <xsd:enumeration value="PUBLICATION material"/>
          <xsd:enumeration value="PURCHASING related"/>
          <xsd:enumeration value="REPORT, or planning related"/>
          <xsd:enumeration value="RULES, Policy, Bylaw, procedure"/>
          <xsd:enumeration value="SERVICE REQUEST related"/>
          <xsd:enumeration value="SPECIFICATION or standard"/>
          <xsd:enumeration value="SUPPLIER PRODUCT Info"/>
          <xsd:enumeration value="TEMPLATE, Checklist or Form"/>
        </xsd:restriction>
      </xsd:simpleType>
    </xsd:element>
    <xsd:element name="Narrative" ma:index="13" nillable="true" ma:displayName="Narrative" ma:hidden="true" ma:internalName="Narrative" ma:readOnly="false">
      <xsd:simpleType>
        <xsd:restriction base="dms:Note"/>
      </xsd:simpleType>
    </xsd:element>
    <xsd:element name="Subactivity" ma:index="15" nillable="true" ma:displayName="Subactivity" ma:default="" ma:hidden="true" ma:internalName="Subactivity" ma:readOnly="false">
      <xsd:simpleType>
        <xsd:restriction base="dms:Text">
          <xsd:maxLength value="255"/>
        </xsd:restriction>
      </xsd:simpleType>
    </xsd:element>
    <xsd:element name="Case" ma:index="16" nillable="true" ma:displayName="Case" ma:default="Athlete and APS Portal" ma:hidden="true" ma:internalName="Case" ma:readOnly="false">
      <xsd:simpleType>
        <xsd:restriction base="dms:Text">
          <xsd:maxLength value="255"/>
        </xsd:restriction>
      </xsd:simpleType>
    </xsd:element>
    <xsd:element name="RelatedPeople" ma:index="17" nillable="true" ma:displayName="Related People" ma:hidden="true" ma:list="UserInfo" ma:SharePointGroup="0" ma:internalName="RelatedPeople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ategoryName" ma:index="18" nillable="true" ma:displayName="Category 1" ma:default="NA" ma:hidden="true" ma:internalName="CategoryName" ma:readOnly="false">
      <xsd:simpleType>
        <xsd:restriction base="dms:Text">
          <xsd:maxLength value="255"/>
        </xsd:restriction>
      </xsd:simpleType>
    </xsd:element>
    <xsd:element name="CategoryValue" ma:index="19" nillable="true" ma:displayName="Category 2" ma:default="NA" ma:hidden="true" ma:internalName="CategoryValue" ma:readOnly="false">
      <xsd:simpleType>
        <xsd:restriction base="dms:Text">
          <xsd:maxLength value="255"/>
        </xsd:restriction>
      </xsd:simpleType>
    </xsd:element>
    <xsd:element name="BusinessValue" ma:index="20" nillable="true" ma:displayName="Business Value" ma:hidden="true" ma:internalName="BusinessValue" ma:readOnly="false">
      <xsd:simpleType>
        <xsd:restriction base="dms:Text">
          <xsd:maxLength value="255"/>
        </xsd:restriction>
      </xsd:simpleType>
    </xsd:element>
    <xsd:element name="FunctionGroup" ma:index="21" nillable="true" ma:displayName="Function Group" ma:default="NA" ma:hidden="true" ma:internalName="FunctionGroup" ma:readOnly="false">
      <xsd:simpleType>
        <xsd:restriction base="dms:Text">
          <xsd:maxLength value="255"/>
        </xsd:restriction>
      </xsd:simpleType>
    </xsd:element>
    <xsd:element name="Function" ma:index="22" nillable="true" ma:displayName="Function" ma:default="Athletes and Programmes" ma:hidden="true" ma:internalName="Function" ma:readOnly="false">
      <xsd:simpleType>
        <xsd:restriction base="dms:Text">
          <xsd:maxLength value="255"/>
        </xsd:restriction>
      </xsd:simpleType>
    </xsd:element>
    <xsd:element name="PRAType" ma:index="23" nillable="true" ma:displayName="PRA Type" ma:default="Doc" ma:hidden="true" ma:internalName="PRAType" ma:readOnly="false">
      <xsd:simpleType>
        <xsd:restriction base="dms:Text">
          <xsd:maxLength value="255"/>
        </xsd:restriction>
      </xsd:simpleType>
    </xsd:element>
    <xsd:element name="PRADate1" ma:index="24" nillable="true" ma:displayName="PRA Date 1" ma:format="DateOnly" ma:hidden="true" ma:internalName="PRADate1" ma:readOnly="false">
      <xsd:simpleType>
        <xsd:restriction base="dms:DateTime"/>
      </xsd:simpleType>
    </xsd:element>
    <xsd:element name="PRADate2" ma:index="25" nillable="true" ma:displayName="PRA Date 2" ma:format="DateOnly" ma:hidden="true" ma:internalName="PRADate2" ma:readOnly="false">
      <xsd:simpleType>
        <xsd:restriction base="dms:DateTime"/>
      </xsd:simpleType>
    </xsd:element>
    <xsd:element name="PRADate3" ma:index="26" nillable="true" ma:displayName="PRA Date 3" ma:format="DateOnly" ma:hidden="true" ma:internalName="PRADate3" ma:readOnly="false">
      <xsd:simpleType>
        <xsd:restriction base="dms:DateTime"/>
      </xsd:simpleType>
    </xsd:element>
    <xsd:element name="PRADateDisposal" ma:index="27" nillable="true" ma:displayName="PRA Date Disposal" ma:format="DateOnly" ma:hidden="true" ma:internalName="PRADateDisposal" ma:readOnly="false">
      <xsd:simpleType>
        <xsd:restriction base="dms:DateTime"/>
      </xsd:simpleType>
    </xsd:element>
    <xsd:element name="PRADateTrigger" ma:index="28" nillable="true" ma:displayName="PRA Date Trigger" ma:format="DateOnly" ma:hidden="true" ma:internalName="PRADateTrigger" ma:readOnly="false">
      <xsd:simpleType>
        <xsd:restriction base="dms:DateTime"/>
      </xsd:simpleType>
    </xsd:element>
    <xsd:element name="PRAText1" ma:index="29" nillable="true" ma:displayName="PRA Text 1" ma:hidden="true" ma:internalName="PRAText1" ma:readOnly="false">
      <xsd:simpleType>
        <xsd:restriction base="dms:Text">
          <xsd:maxLength value="255"/>
        </xsd:restriction>
      </xsd:simpleType>
    </xsd:element>
    <xsd:element name="PRAText2" ma:index="30" nillable="true" ma:displayName="PRA Text 2" ma:hidden="true" ma:internalName="PRAText2" ma:readOnly="false">
      <xsd:simpleType>
        <xsd:restriction base="dms:Text">
          <xsd:maxLength value="255"/>
        </xsd:restriction>
      </xsd:simpleType>
    </xsd:element>
    <xsd:element name="PRAText3" ma:index="31" nillable="true" ma:displayName="PRA Text 3" ma:hidden="true" ma:internalName="PRAText3" ma:readOnly="false">
      <xsd:simpleType>
        <xsd:restriction base="dms:Text">
          <xsd:maxLength value="255"/>
        </xsd:restriction>
      </xsd:simpleType>
    </xsd:element>
    <xsd:element name="PRAText4" ma:index="32" nillable="true" ma:displayName="PRA Text 4" ma:hidden="true" ma:internalName="PRAText4" ma:readOnly="false">
      <xsd:simpleType>
        <xsd:restriction base="dms:Text">
          <xsd:maxLength value="255"/>
        </xsd:restriction>
      </xsd:simpleType>
    </xsd:element>
    <xsd:element name="PRAText5" ma:index="33" nillable="true" ma:displayName="PRA Text 5" ma:hidden="true" ma:internalName="PRAText5" ma:readOnly="false">
      <xsd:simpleType>
        <xsd:restriction base="dms:Text">
          <xsd:maxLength value="255"/>
        </xsd:restriction>
      </xsd:simpleType>
    </xsd:element>
    <xsd:element name="AggregationStatus" ma:index="34" nillable="true" ma:displayName="Aggregation Status" ma:default="Normal" ma:format="Dropdown" ma:hidden="true" ma:internalName="AggregationStatus" ma:readOnly="false">
      <xsd:simpleType>
        <xsd:union memberTypes="dms:Text">
          <xsd:simpleType>
            <xsd:restriction base="dms:Choice">
              <xsd:enumeration value="Delete Soon"/>
              <xsd:enumeration value="Transfer Soon"/>
              <xsd:enumeration value="Appraise Soon"/>
              <xsd:enumeration value="Delete"/>
              <xsd:enumeration value="Transfer"/>
              <xsd:enumeration value="Appraise"/>
              <xsd:enumeration value="Hold"/>
              <xsd:enumeration value="Normal"/>
              <xsd:enumeration value="Archive"/>
            </xsd:restriction>
          </xsd:simpleType>
        </xsd:union>
      </xsd:simpleType>
    </xsd:element>
    <xsd:element name="Project" ma:index="35" nillable="true" ma:displayName="Project" ma:default="Athlete and APS Portal" ma:hidden="true" ma:internalName="Project" ma:readOnly="false">
      <xsd:simpleType>
        <xsd:restriction base="dms:Text">
          <xsd:maxLength value="255"/>
        </xsd:restriction>
      </xsd:simpleType>
    </xsd:element>
    <xsd:element name="Activity" ma:index="36" nillable="true" ma:displayName="Activity" ma:default="Athletes" ma:hidden="true" ma:internalName="Activity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ffb055-6eb4-45a1-bc20-bf2ac0d420da" elementFormDefault="qualified">
    <xsd:import namespace="http://schemas.microsoft.com/office/2006/documentManagement/types"/>
    <xsd:import namespace="http://schemas.microsoft.com/office/infopath/2007/PartnerControls"/>
    <xsd:element name="KeyWords" ma:index="12" nillable="true" ma:displayName="Key Words" ma:hidden="true" ma:internalName="KeyWords" ma:readOnly="false">
      <xsd:simpleType>
        <xsd:restriction base="dms:Note"/>
      </xsd:simpleType>
    </xsd:element>
    <xsd:element name="SecurityClassification" ma:index="14" nillable="true" ma:displayName="Security Classification" ma:format="Dropdown" ma:hidden="true" ma:internalName="SecurityClassification" ma:readOnly="false">
      <xsd:simpleType>
        <xsd:restriction base="dms:Choice">
          <xsd:enumeration value="Confidential"/>
          <xsd:enumeration value="Restricted"/>
          <xsd:enumeration value="Unrestric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5c79e5-42ce-4aa0-ac78-b6418001f0d2" elementFormDefault="qualified">
    <xsd:import namespace="http://schemas.microsoft.com/office/2006/documentManagement/types"/>
    <xsd:import namespace="http://schemas.microsoft.com/office/infopath/2007/PartnerControls"/>
    <xsd:element name="AggregationNarrative" ma:index="37" nillable="true" ma:displayName="Aggregation Narrative" ma:hidden="true" ma:internalName="AggregationNarrative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1a514c-9034-4fa3-897a-8352025b26ed" elementFormDefault="qualified">
    <xsd:import namespace="http://schemas.microsoft.com/office/2006/documentManagement/types"/>
    <xsd:import namespace="http://schemas.microsoft.com/office/infopath/2007/PartnerControls"/>
    <xsd:element name="Channel" ma:index="38" nillable="true" ma:displayName="Channel" ma:default="NA" ma:hidden="true" ma:internalName="Channel" ma:readOnly="false">
      <xsd:simpleType>
        <xsd:restriction base="dms:Text">
          <xsd:maxLength value="255"/>
        </xsd:restriction>
      </xsd:simpleType>
    </xsd:element>
    <xsd:element name="Team" ma:index="39" nillable="true" ma:displayName="Team" ma:default="Athlete and APS Portal" ma:hidden="true" ma:internalName="Team" ma:readOnly="false">
      <xsd:simpleType>
        <xsd:restriction base="dms:Text">
          <xsd:maxLength value="255"/>
        </xsd:restriction>
      </xsd:simpleType>
    </xsd:element>
    <xsd:element name="Level2" ma:index="40" nillable="true" ma:displayName="Level2" ma:default="NA" ma:hidden="true" ma:internalName="Level2" ma:readOnly="false">
      <xsd:simpleType>
        <xsd:restriction base="dms:Text">
          <xsd:maxLength value="255"/>
        </xsd:restriction>
      </xsd:simpleType>
    </xsd:element>
    <xsd:element name="Level3" ma:index="41" nillable="true" ma:displayName="Level3" ma:hidden="true" ma:internalName="Level3" ma:readOnly="false">
      <xsd:simpleType>
        <xsd:restriction base="dms:Text">
          <xsd:maxLength value="255"/>
        </xsd:restriction>
      </xsd:simpleType>
    </xsd:element>
    <xsd:element name="Year" ma:index="42" nillable="true" ma:displayName="Year" ma:default="NA" ma:hidden="true" ma:internalName="Year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b11242-7f6c-443f-9046-0f086bb1dd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4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4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4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49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ubactivity xmlns="4f9c820c-e7e2-444d-97ee-45f2b3485c1d" xsi:nil="true"/>
    <BusinessValue xmlns="4f9c820c-e7e2-444d-97ee-45f2b3485c1d" xsi:nil="true"/>
    <PRADateDisposal xmlns="4f9c820c-e7e2-444d-97ee-45f2b3485c1d" xsi:nil="true"/>
    <KeyWords xmlns="15ffb055-6eb4-45a1-bc20-bf2ac0d420da" xsi:nil="true"/>
    <SecurityClassification xmlns="15ffb055-6eb4-45a1-bc20-bf2ac0d420da" xsi:nil="true"/>
    <PRADate3 xmlns="4f9c820c-e7e2-444d-97ee-45f2b3485c1d" xsi:nil="true"/>
    <PRAText5 xmlns="4f9c820c-e7e2-444d-97ee-45f2b3485c1d" xsi:nil="true"/>
    <Level2 xmlns="c91a514c-9034-4fa3-897a-8352025b26ed">NA</Level2>
    <Activity xmlns="4f9c820c-e7e2-444d-97ee-45f2b3485c1d">Athletes</Activity>
    <AggregationStatus xmlns="4f9c820c-e7e2-444d-97ee-45f2b3485c1d">Normal</AggregationStatus>
    <CategoryValue xmlns="4f9c820c-e7e2-444d-97ee-45f2b3485c1d">NA</CategoryValue>
    <PRADate2 xmlns="4f9c820c-e7e2-444d-97ee-45f2b3485c1d" xsi:nil="true"/>
    <Case xmlns="4f9c820c-e7e2-444d-97ee-45f2b3485c1d">Athlete and APS Portal</Case>
    <PRAText1 xmlns="4f9c820c-e7e2-444d-97ee-45f2b3485c1d" xsi:nil="true"/>
    <PRAText4 xmlns="4f9c820c-e7e2-444d-97ee-45f2b3485c1d" xsi:nil="true"/>
    <Level3 xmlns="c91a514c-9034-4fa3-897a-8352025b26ed" xsi:nil="true"/>
    <Team xmlns="c91a514c-9034-4fa3-897a-8352025b26ed">Athlete and APS Portal</Team>
    <Project xmlns="4f9c820c-e7e2-444d-97ee-45f2b3485c1d">Athlete and APS Portal</Project>
    <FunctionGroup xmlns="4f9c820c-e7e2-444d-97ee-45f2b3485c1d">NA</FunctionGroup>
    <Function xmlns="4f9c820c-e7e2-444d-97ee-45f2b3485c1d">Athletes and Programmes</Function>
    <RelatedPeople xmlns="4f9c820c-e7e2-444d-97ee-45f2b3485c1d">
      <UserInfo>
        <DisplayName/>
        <AccountId xsi:nil="true"/>
        <AccountType/>
      </UserInfo>
    </RelatedPeople>
    <AggregationNarrative xmlns="725c79e5-42ce-4aa0-ac78-b6418001f0d2" xsi:nil="true"/>
    <Channel xmlns="c91a514c-9034-4fa3-897a-8352025b26ed">Men's Endurance</Channel>
    <PRAType xmlns="4f9c820c-e7e2-444d-97ee-45f2b3485c1d">Doc</PRAType>
    <PRADate1 xmlns="4f9c820c-e7e2-444d-97ee-45f2b3485c1d" xsi:nil="true"/>
    <DocumentType xmlns="4f9c820c-e7e2-444d-97ee-45f2b3485c1d" xsi:nil="true"/>
    <PRAText3 xmlns="4f9c820c-e7e2-444d-97ee-45f2b3485c1d" xsi:nil="true"/>
    <Year xmlns="c91a514c-9034-4fa3-897a-8352025b26ed">NA</Year>
    <Narrative xmlns="4f9c820c-e7e2-444d-97ee-45f2b3485c1d" xsi:nil="true"/>
    <CategoryName xmlns="4f9c820c-e7e2-444d-97ee-45f2b3485c1d">Training data</CategoryName>
    <PRADateTrigger xmlns="4f9c820c-e7e2-444d-97ee-45f2b3485c1d" xsi:nil="true"/>
    <PRAText2 xmlns="4f9c820c-e7e2-444d-97ee-45f2b3485c1d" xsi:nil="true"/>
    <_dlc_DocId xmlns="f6e643c1-477a-4f62-8462-46c2159d3990">proj-1743585712-91</_dlc_DocId>
    <_dlc_DocIdUrl xmlns="f6e643c1-477a-4f62-8462-46c2159d3990">
      <Url>https://cyclingnz.sharepoint.com/sites/proj-AthleteandAPSPortal/_layouts/15/DocIdRedir.aspx?ID=proj-1743585712-91</Url>
      <Description>proj-1743585712-91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1A882D-8889-490A-B8AC-AF77B31BCA0C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F8BF7AB-5CF5-4376-87C7-A6091086E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e643c1-477a-4f62-8462-46c2159d3990"/>
    <ds:schemaRef ds:uri="4f9c820c-e7e2-444d-97ee-45f2b3485c1d"/>
    <ds:schemaRef ds:uri="15ffb055-6eb4-45a1-bc20-bf2ac0d420da"/>
    <ds:schemaRef ds:uri="725c79e5-42ce-4aa0-ac78-b6418001f0d2"/>
    <ds:schemaRef ds:uri="c91a514c-9034-4fa3-897a-8352025b26ed"/>
    <ds:schemaRef ds:uri="ceb11242-7f6c-443f-9046-0f086bb1d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288AF3-8643-4920-8EB0-6E649F40CDD0}">
  <ds:schemaRefs>
    <ds:schemaRef ds:uri="http://purl.org/dc/terms/"/>
    <ds:schemaRef ds:uri="http://purl.org/dc/elements/1.1/"/>
    <ds:schemaRef ds:uri="ceb11242-7f6c-443f-9046-0f086bb1dd9a"/>
    <ds:schemaRef ds:uri="http://schemas.microsoft.com/office/2006/metadata/properties"/>
    <ds:schemaRef ds:uri="f6e643c1-477a-4f62-8462-46c2159d3990"/>
    <ds:schemaRef ds:uri="http://schemas.microsoft.com/office/infopath/2007/PartnerControls"/>
    <ds:schemaRef ds:uri="4f9c820c-e7e2-444d-97ee-45f2b3485c1d"/>
    <ds:schemaRef ds:uri="http://schemas.microsoft.com/office/2006/documentManagement/types"/>
    <ds:schemaRef ds:uri="http://schemas.openxmlformats.org/package/2006/metadata/core-properties"/>
    <ds:schemaRef ds:uri="725c79e5-42ce-4aa0-ac78-b6418001f0d2"/>
    <ds:schemaRef ds:uri="http://purl.org/dc/dcmitype/"/>
    <ds:schemaRef ds:uri="c91a514c-9034-4fa3-897a-8352025b26ed"/>
    <ds:schemaRef ds:uri="15ffb055-6eb4-45a1-bc20-bf2ac0d420da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775975FA-DE10-4A9A-B520-9ED731716536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9d5ca952-e4a5-43e6-b17c-c01d313ad135}" enabled="0" method="" siteId="{9d5ca952-e4a5-43e6-b17c-c01d313ad13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Campbell</vt:lpstr>
      <vt:lpstr>George</vt:lpstr>
      <vt:lpstr>Nick</vt:lpstr>
      <vt:lpstr>Tom</vt:lpstr>
      <vt:lpstr>Keegan</vt:lpstr>
      <vt:lpstr>Gatey</vt:lpstr>
      <vt:lpstr>Marshall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Boris Clark</dc:creator>
  <cp:keywords/>
  <dc:description/>
  <cp:lastModifiedBy>Sam Bremer</cp:lastModifiedBy>
  <cp:revision/>
  <dcterms:created xsi:type="dcterms:W3CDTF">2023-07-28T01:55:40Z</dcterms:created>
  <dcterms:modified xsi:type="dcterms:W3CDTF">2025-09-21T23:01:27Z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0x010100B457EF713D1E0442AFCB56E948AFC817</vt:lpwstr>
  </property>
  <property fmtid="{D5CDD505-2E9C-101B-9397-08002B2CF9AE}" pid="3" name="_dlc_DocIdItemGuid">
    <vt:lpwstr>433f0080-747b-4438-b5b9-eea2356c4018</vt:lpwstr>
  </property>
</Properties>
</file>