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300" windowWidth="11715" windowHeight="11835" firstSheet="8" activeTab="13"/>
  </bookViews>
  <sheets>
    <sheet name="D1 North" sheetId="8" r:id="rId1"/>
    <sheet name="D2 North" sheetId="9" r:id="rId2"/>
    <sheet name="S1 North L" sheetId="10" r:id="rId3"/>
    <sheet name="S1 North R" sheetId="22" r:id="rId4"/>
    <sheet name="S2 North L" sheetId="27" r:id="rId5"/>
    <sheet name="S2 North R" sheetId="28" r:id="rId6"/>
    <sheet name="S1 West" sheetId="23" r:id="rId7"/>
    <sheet name="S1 East" sheetId="25" r:id="rId8"/>
    <sheet name="S2 West" sheetId="24" r:id="rId9"/>
    <sheet name="S2 East" sheetId="29" r:id="rId10"/>
    <sheet name="T1 North" sheetId="17" r:id="rId11"/>
    <sheet name="T2 North" sheetId="30" r:id="rId12"/>
    <sheet name="T1 West" sheetId="32" r:id="rId13"/>
    <sheet name="T2 West" sheetId="33" r:id="rId14"/>
    <sheet name="T1 East" sheetId="34" r:id="rId15"/>
    <sheet name="T2 East" sheetId="35" r:id="rId16"/>
    <sheet name="A1O1 North" sheetId="36" r:id="rId17"/>
  </sheets>
  <definedNames>
    <definedName name="_xlnm._FilterDatabase" localSheetId="16" hidden="1">'A1O1 North'!$A$4:$G$18</definedName>
    <definedName name="_xlnm._FilterDatabase" localSheetId="0" hidden="1">'D1 North'!$A$4:$G$18</definedName>
    <definedName name="_xlnm._FilterDatabase" localSheetId="1" hidden="1">'D2 North'!$A$4:$G$18</definedName>
    <definedName name="_xlnm._FilterDatabase" localSheetId="7" hidden="1">'S1 East'!$A$4:$G$18</definedName>
    <definedName name="_xlnm._FilterDatabase" localSheetId="2" hidden="1">'S1 North L'!$A$4:$G$18</definedName>
    <definedName name="_xlnm._FilterDatabase" localSheetId="3" hidden="1">'S1 North R'!$A$4:$G$18</definedName>
    <definedName name="_xlnm._FilterDatabase" localSheetId="6" hidden="1">'S1 West'!$A$4:$G$18</definedName>
    <definedName name="_xlnm._FilterDatabase" localSheetId="9" hidden="1">'S2 East'!$A$4:$G$18</definedName>
    <definedName name="_xlnm._FilterDatabase" localSheetId="4" hidden="1">'S2 North L'!$A$4:$G$18</definedName>
    <definedName name="_xlnm._FilterDatabase" localSheetId="5" hidden="1">'S2 North R'!$A$4:$G$18</definedName>
    <definedName name="_xlnm._FilterDatabase" localSheetId="8" hidden="1">'S2 West'!$A$4:$G$18</definedName>
    <definedName name="_xlnm._FilterDatabase" localSheetId="14" hidden="1">'T1 East'!$A$4:$G$18</definedName>
    <definedName name="_xlnm._FilterDatabase" localSheetId="10" hidden="1">'T1 North'!$A$4:$G$18</definedName>
    <definedName name="_xlnm._FilterDatabase" localSheetId="12" hidden="1">'T1 West'!$A$4:$G$18</definedName>
    <definedName name="_xlnm._FilterDatabase" localSheetId="15" hidden="1">'T2 East'!$A$4:$G$18</definedName>
    <definedName name="_xlnm._FilterDatabase" localSheetId="11" hidden="1">'T2 North'!$A$4:$G$18</definedName>
    <definedName name="_xlnm._FilterDatabase" localSheetId="13" hidden="1">'T2 West'!$A$4:$G$18</definedName>
  </definedNames>
  <calcPr calcId="145621"/>
</workbook>
</file>

<file path=xl/calcChain.xml><?xml version="1.0" encoding="utf-8"?>
<calcChain xmlns="http://schemas.openxmlformats.org/spreadsheetml/2006/main">
  <c r="BU5" i="10" l="1"/>
  <c r="BW5" i="10"/>
  <c r="BU6" i="10"/>
  <c r="BW6" i="10"/>
  <c r="BU7" i="10"/>
  <c r="BW7" i="10"/>
  <c r="BU8" i="10"/>
  <c r="BW8" i="10"/>
  <c r="BU9" i="10"/>
  <c r="BW9" i="10"/>
  <c r="BU10" i="10"/>
  <c r="BW10" i="10"/>
  <c r="BU11" i="10"/>
  <c r="BW11" i="10"/>
  <c r="BU12" i="10"/>
  <c r="BW12" i="10"/>
  <c r="BU13" i="10"/>
  <c r="BW13" i="10"/>
  <c r="BU14" i="10"/>
  <c r="BW14" i="10"/>
  <c r="BU15" i="10"/>
  <c r="BW15" i="10"/>
  <c r="BU16" i="10"/>
  <c r="BW16" i="10"/>
  <c r="BU17" i="10"/>
  <c r="BW17" i="10"/>
  <c r="BU18" i="10"/>
  <c r="BW18" i="10"/>
  <c r="BU22" i="10"/>
  <c r="BW22" i="10"/>
  <c r="BU23" i="10"/>
  <c r="BW23" i="10"/>
  <c r="BU24" i="10"/>
  <c r="BW24" i="10"/>
  <c r="BW27" i="10" s="1"/>
  <c r="BU25" i="10"/>
  <c r="BV25" i="10" s="1"/>
  <c r="BW25" i="10"/>
  <c r="BU27" i="10"/>
  <c r="BU30" i="10" s="1"/>
  <c r="BV23" i="10" s="1"/>
  <c r="BT29" i="9"/>
  <c r="BV18" i="9"/>
  <c r="BT18" i="9"/>
  <c r="BV17" i="9"/>
  <c r="BT17" i="9"/>
  <c r="BV16" i="9"/>
  <c r="BT16" i="9"/>
  <c r="BV15" i="9"/>
  <c r="BT15" i="9"/>
  <c r="BV14" i="9"/>
  <c r="BT14" i="9"/>
  <c r="BV13" i="9"/>
  <c r="BT13" i="9"/>
  <c r="BV12" i="9"/>
  <c r="BV23" i="9" s="1"/>
  <c r="BT12" i="9"/>
  <c r="BT23" i="9" s="1"/>
  <c r="BV11" i="9"/>
  <c r="BV25" i="9" s="1"/>
  <c r="BT11" i="9"/>
  <c r="BT25" i="9" s="1"/>
  <c r="BV10" i="9"/>
  <c r="BT10" i="9"/>
  <c r="BV9" i="9"/>
  <c r="BT9" i="9"/>
  <c r="BV8" i="9"/>
  <c r="BT8" i="9"/>
  <c r="BV7" i="9"/>
  <c r="BV24" i="9" s="1"/>
  <c r="BT7" i="9"/>
  <c r="BT24" i="9" s="1"/>
  <c r="BV6" i="9"/>
  <c r="BT6" i="9"/>
  <c r="BV5" i="9"/>
  <c r="BV22" i="9" s="1"/>
  <c r="BT5" i="9"/>
  <c r="BT22" i="9" s="1"/>
  <c r="BV5" i="8"/>
  <c r="BV6" i="8"/>
  <c r="BV7" i="8"/>
  <c r="BV8" i="8"/>
  <c r="BV9" i="8"/>
  <c r="BV10" i="8"/>
  <c r="BV11" i="8"/>
  <c r="BV12" i="8"/>
  <c r="BV13" i="8"/>
  <c r="BV14" i="8"/>
  <c r="BV15" i="8"/>
  <c r="BV16" i="8"/>
  <c r="BV17" i="8"/>
  <c r="BV18" i="8"/>
  <c r="BX18" i="35"/>
  <c r="BV18" i="35"/>
  <c r="BX17" i="35"/>
  <c r="BV17" i="35"/>
  <c r="BX16" i="35"/>
  <c r="BV16" i="35"/>
  <c r="BX15" i="35"/>
  <c r="BV15" i="35"/>
  <c r="BX14" i="35"/>
  <c r="BV14" i="35"/>
  <c r="BX13" i="35"/>
  <c r="BV13" i="35"/>
  <c r="BX12" i="35"/>
  <c r="BV12" i="35"/>
  <c r="BX11" i="35"/>
  <c r="BX23" i="35" s="1"/>
  <c r="BV11" i="35"/>
  <c r="BV23" i="35" s="1"/>
  <c r="BX10" i="35"/>
  <c r="BX25" i="35" s="1"/>
  <c r="BV10" i="35"/>
  <c r="BV25" i="35" s="1"/>
  <c r="BX9" i="35"/>
  <c r="BV9" i="35"/>
  <c r="BX8" i="35"/>
  <c r="BV8" i="35"/>
  <c r="BX7" i="35"/>
  <c r="BX24" i="35" s="1"/>
  <c r="BV7" i="35"/>
  <c r="BV24" i="35" s="1"/>
  <c r="BX6" i="35"/>
  <c r="BV6" i="35"/>
  <c r="BX5" i="35"/>
  <c r="BX22" i="35" s="1"/>
  <c r="BX27" i="35" s="1"/>
  <c r="BV5" i="35"/>
  <c r="BV22" i="35" s="1"/>
  <c r="BX18" i="34"/>
  <c r="BV18" i="34"/>
  <c r="BX17" i="34"/>
  <c r="BV17" i="34"/>
  <c r="BX16" i="34"/>
  <c r="BV16" i="34"/>
  <c r="BX15" i="34"/>
  <c r="BV15" i="34"/>
  <c r="BX14" i="34"/>
  <c r="BV14" i="34"/>
  <c r="BX13" i="34"/>
  <c r="BV13" i="34"/>
  <c r="BX12" i="34"/>
  <c r="BV12" i="34"/>
  <c r="BX11" i="34"/>
  <c r="BX23" i="34" s="1"/>
  <c r="BV11" i="34"/>
  <c r="BV23" i="34" s="1"/>
  <c r="BX10" i="34"/>
  <c r="BX25" i="34" s="1"/>
  <c r="BV10" i="34"/>
  <c r="BV25" i="34" s="1"/>
  <c r="BX9" i="34"/>
  <c r="BV9" i="34"/>
  <c r="BX8" i="34"/>
  <c r="BV8" i="34"/>
  <c r="BX7" i="34"/>
  <c r="BX24" i="34" s="1"/>
  <c r="BV7" i="34"/>
  <c r="BV24" i="34" s="1"/>
  <c r="BX6" i="34"/>
  <c r="BV6" i="34"/>
  <c r="BX5" i="34"/>
  <c r="BX22" i="34" s="1"/>
  <c r="BX27" i="34" s="1"/>
  <c r="BV5" i="34"/>
  <c r="BV22" i="34" s="1"/>
  <c r="BX18" i="33"/>
  <c r="BV18" i="33"/>
  <c r="BX17" i="33"/>
  <c r="BV17" i="33"/>
  <c r="BX16" i="33"/>
  <c r="BV16" i="33"/>
  <c r="BX15" i="33"/>
  <c r="BV15" i="33"/>
  <c r="BX14" i="33"/>
  <c r="BV14" i="33"/>
  <c r="BX13" i="33"/>
  <c r="BV13" i="33"/>
  <c r="BX12" i="33"/>
  <c r="BV12" i="33"/>
  <c r="BX11" i="33"/>
  <c r="BX23" i="33" s="1"/>
  <c r="BV11" i="33"/>
  <c r="BV23" i="33" s="1"/>
  <c r="BX10" i="33"/>
  <c r="BX25" i="33" s="1"/>
  <c r="BV10" i="33"/>
  <c r="BV25" i="33" s="1"/>
  <c r="BX9" i="33"/>
  <c r="BV9" i="33"/>
  <c r="BX8" i="33"/>
  <c r="BV8" i="33"/>
  <c r="BX7" i="33"/>
  <c r="BX24" i="33" s="1"/>
  <c r="BV7" i="33"/>
  <c r="BV24" i="33" s="1"/>
  <c r="BX6" i="33"/>
  <c r="BV6" i="33"/>
  <c r="BX5" i="33"/>
  <c r="BX22" i="33" s="1"/>
  <c r="BX27" i="33" s="1"/>
  <c r="BV5" i="33"/>
  <c r="BV22" i="33" s="1"/>
  <c r="BX18" i="32"/>
  <c r="BV18" i="32"/>
  <c r="BX17" i="32"/>
  <c r="BV17" i="32"/>
  <c r="BX16" i="32"/>
  <c r="BV16" i="32"/>
  <c r="BX15" i="32"/>
  <c r="BV15" i="32"/>
  <c r="BX14" i="32"/>
  <c r="BV14" i="32"/>
  <c r="BX13" i="32"/>
  <c r="BV13" i="32"/>
  <c r="BX12" i="32"/>
  <c r="BV12" i="32"/>
  <c r="BX11" i="32"/>
  <c r="BX23" i="32" s="1"/>
  <c r="BV11" i="32"/>
  <c r="BV23" i="32" s="1"/>
  <c r="BX10" i="32"/>
  <c r="BX25" i="32" s="1"/>
  <c r="BV10" i="32"/>
  <c r="BV25" i="32" s="1"/>
  <c r="BX9" i="32"/>
  <c r="BV9" i="32"/>
  <c r="BX8" i="32"/>
  <c r="BV8" i="32"/>
  <c r="BX7" i="32"/>
  <c r="BX24" i="32" s="1"/>
  <c r="BV7" i="32"/>
  <c r="BV24" i="32" s="1"/>
  <c r="BX6" i="32"/>
  <c r="BV6" i="32"/>
  <c r="BX5" i="32"/>
  <c r="BX22" i="32" s="1"/>
  <c r="BX27" i="32" s="1"/>
  <c r="BV5" i="32"/>
  <c r="BV22" i="32" s="1"/>
  <c r="BX18" i="30"/>
  <c r="BV18" i="30"/>
  <c r="BX17" i="30"/>
  <c r="BV17" i="30"/>
  <c r="BX16" i="30"/>
  <c r="BV16" i="30"/>
  <c r="BX15" i="30"/>
  <c r="BV15" i="30"/>
  <c r="BX14" i="30"/>
  <c r="BV14" i="30"/>
  <c r="BX13" i="30"/>
  <c r="BV13" i="30"/>
  <c r="BX12" i="30"/>
  <c r="BV12" i="30"/>
  <c r="BX11" i="30"/>
  <c r="BX23" i="30" s="1"/>
  <c r="BV11" i="30"/>
  <c r="BV23" i="30" s="1"/>
  <c r="BX10" i="30"/>
  <c r="BX25" i="30" s="1"/>
  <c r="BV10" i="30"/>
  <c r="BV25" i="30" s="1"/>
  <c r="BX9" i="30"/>
  <c r="BV9" i="30"/>
  <c r="BX8" i="30"/>
  <c r="BV8" i="30"/>
  <c r="BX7" i="30"/>
  <c r="BX24" i="30" s="1"/>
  <c r="BV7" i="30"/>
  <c r="BV24" i="30" s="1"/>
  <c r="BX6" i="30"/>
  <c r="BV6" i="30"/>
  <c r="BX5" i="30"/>
  <c r="BX22" i="30" s="1"/>
  <c r="BX27" i="30" s="1"/>
  <c r="BV5" i="30"/>
  <c r="BV22" i="30" s="1"/>
  <c r="BX25" i="17"/>
  <c r="BX24" i="17"/>
  <c r="BX23" i="17"/>
  <c r="BX22" i="17"/>
  <c r="BW23" i="17"/>
  <c r="BW24" i="17"/>
  <c r="BW25" i="17"/>
  <c r="BW22" i="17"/>
  <c r="BX6" i="17"/>
  <c r="BX7" i="17"/>
  <c r="BX8" i="17"/>
  <c r="BX9" i="17"/>
  <c r="BX10" i="17"/>
  <c r="BX11" i="17"/>
  <c r="BX12" i="17"/>
  <c r="BX13" i="17"/>
  <c r="BX14" i="17"/>
  <c r="BX15" i="17"/>
  <c r="BX16" i="17"/>
  <c r="BX17" i="17"/>
  <c r="BX18" i="17"/>
  <c r="BX5" i="17"/>
  <c r="BV6" i="17"/>
  <c r="BV7" i="17"/>
  <c r="BV8" i="17"/>
  <c r="BV9" i="17"/>
  <c r="BV10" i="17"/>
  <c r="BV11" i="17"/>
  <c r="BV12" i="17"/>
  <c r="BV13" i="17"/>
  <c r="BV14" i="17"/>
  <c r="BV15" i="17"/>
  <c r="BV16" i="17"/>
  <c r="BV17" i="17"/>
  <c r="BV18" i="17"/>
  <c r="BV5" i="17"/>
  <c r="BO27" i="17"/>
  <c r="BP27" i="17"/>
  <c r="BQ27" i="17"/>
  <c r="BR27" i="17"/>
  <c r="BS27" i="17"/>
  <c r="BT27" i="17"/>
  <c r="BU27" i="17"/>
  <c r="BV23" i="17"/>
  <c r="BV24" i="17"/>
  <c r="BV25" i="17"/>
  <c r="BV22" i="17"/>
  <c r="BV27" i="17" s="1"/>
  <c r="BW18" i="29"/>
  <c r="BU18" i="29"/>
  <c r="BW17" i="29"/>
  <c r="BU17" i="29"/>
  <c r="BW16" i="29"/>
  <c r="BU16" i="29"/>
  <c r="BW15" i="29"/>
  <c r="BU15" i="29"/>
  <c r="BW14" i="29"/>
  <c r="BU14" i="29"/>
  <c r="BW13" i="29"/>
  <c r="BU13" i="29"/>
  <c r="BW12" i="29"/>
  <c r="BU12" i="29"/>
  <c r="BW11" i="29"/>
  <c r="BW23" i="29" s="1"/>
  <c r="BU11" i="29"/>
  <c r="BU23" i="29" s="1"/>
  <c r="BW10" i="29"/>
  <c r="BW25" i="29" s="1"/>
  <c r="BU10" i="29"/>
  <c r="BU25" i="29" s="1"/>
  <c r="BW9" i="29"/>
  <c r="BU9" i="29"/>
  <c r="BW8" i="29"/>
  <c r="BU8" i="29"/>
  <c r="BW7" i="29"/>
  <c r="BW24" i="29" s="1"/>
  <c r="BU7" i="29"/>
  <c r="BU24" i="29" s="1"/>
  <c r="BW6" i="29"/>
  <c r="BU6" i="29"/>
  <c r="BW5" i="29"/>
  <c r="BW22" i="29" s="1"/>
  <c r="BW27" i="29" s="1"/>
  <c r="BU5" i="29"/>
  <c r="BU22" i="29" s="1"/>
  <c r="BW18" i="24"/>
  <c r="BU18" i="24"/>
  <c r="BW17" i="24"/>
  <c r="BU17" i="24"/>
  <c r="BW16" i="24"/>
  <c r="BU16" i="24"/>
  <c r="BW15" i="24"/>
  <c r="BU15" i="24"/>
  <c r="BW14" i="24"/>
  <c r="BU14" i="24"/>
  <c r="BW13" i="24"/>
  <c r="BU13" i="24"/>
  <c r="BW12" i="24"/>
  <c r="BU12" i="24"/>
  <c r="BW11" i="24"/>
  <c r="BW23" i="24" s="1"/>
  <c r="BU11" i="24"/>
  <c r="BU23" i="24" s="1"/>
  <c r="BW10" i="24"/>
  <c r="BW25" i="24" s="1"/>
  <c r="BU10" i="24"/>
  <c r="BU25" i="24" s="1"/>
  <c r="BW9" i="24"/>
  <c r="BU9" i="24"/>
  <c r="BW8" i="24"/>
  <c r="BU8" i="24"/>
  <c r="BW7" i="24"/>
  <c r="BW24" i="24" s="1"/>
  <c r="BU7" i="24"/>
  <c r="BW6" i="24"/>
  <c r="BU6" i="24"/>
  <c r="BW5" i="24"/>
  <c r="BW22" i="24" s="1"/>
  <c r="BW27" i="24" s="1"/>
  <c r="BU5" i="24"/>
  <c r="BU22" i="24" s="1"/>
  <c r="BW18" i="25"/>
  <c r="BU18" i="25"/>
  <c r="BW17" i="25"/>
  <c r="BU17" i="25"/>
  <c r="BW16" i="25"/>
  <c r="BU16" i="25"/>
  <c r="BW15" i="25"/>
  <c r="BU15" i="25"/>
  <c r="BW14" i="25"/>
  <c r="BU14" i="25"/>
  <c r="BW13" i="25"/>
  <c r="BU13" i="25"/>
  <c r="BW12" i="25"/>
  <c r="BU12" i="25"/>
  <c r="BW11" i="25"/>
  <c r="BW23" i="25" s="1"/>
  <c r="BU11" i="25"/>
  <c r="BU23" i="25" s="1"/>
  <c r="BW10" i="25"/>
  <c r="BW25" i="25" s="1"/>
  <c r="BU10" i="25"/>
  <c r="BU25" i="25" s="1"/>
  <c r="BW9" i="25"/>
  <c r="BU9" i="25"/>
  <c r="BW8" i="25"/>
  <c r="BU8" i="25"/>
  <c r="BW7" i="25"/>
  <c r="BW24" i="25" s="1"/>
  <c r="BU7" i="25"/>
  <c r="BU24" i="25" s="1"/>
  <c r="BW6" i="25"/>
  <c r="BU6" i="25"/>
  <c r="BW5" i="25"/>
  <c r="BW22" i="25" s="1"/>
  <c r="BW27" i="25" s="1"/>
  <c r="BU5" i="25"/>
  <c r="BU22" i="25" s="1"/>
  <c r="BW18" i="23"/>
  <c r="BU18" i="23"/>
  <c r="BW17" i="23"/>
  <c r="BU17" i="23"/>
  <c r="BW16" i="23"/>
  <c r="BU16" i="23"/>
  <c r="BW15" i="23"/>
  <c r="BU15" i="23"/>
  <c r="BW14" i="23"/>
  <c r="BU14" i="23"/>
  <c r="BW13" i="23"/>
  <c r="BU13" i="23"/>
  <c r="BW12" i="23"/>
  <c r="BU12" i="23"/>
  <c r="BW11" i="23"/>
  <c r="BW23" i="23" s="1"/>
  <c r="BU11" i="23"/>
  <c r="BU23" i="23" s="1"/>
  <c r="BW10" i="23"/>
  <c r="BW25" i="23" s="1"/>
  <c r="BU10" i="23"/>
  <c r="BU25" i="23" s="1"/>
  <c r="BW9" i="23"/>
  <c r="BU9" i="23"/>
  <c r="BW8" i="23"/>
  <c r="BU8" i="23"/>
  <c r="BW7" i="23"/>
  <c r="BW24" i="23" s="1"/>
  <c r="BU7" i="23"/>
  <c r="BU24" i="23" s="1"/>
  <c r="BW6" i="23"/>
  <c r="BU6" i="23"/>
  <c r="BW5" i="23"/>
  <c r="BW22" i="23" s="1"/>
  <c r="BW27" i="23" s="1"/>
  <c r="BU5" i="23"/>
  <c r="BU22" i="23" s="1"/>
  <c r="BW18" i="28"/>
  <c r="BU18" i="28"/>
  <c r="BW17" i="28"/>
  <c r="BU17" i="28"/>
  <c r="BW16" i="28"/>
  <c r="BU16" i="28"/>
  <c r="BW15" i="28"/>
  <c r="BU15" i="28"/>
  <c r="BW14" i="28"/>
  <c r="BU14" i="28"/>
  <c r="BW13" i="28"/>
  <c r="BU13" i="28"/>
  <c r="BW12" i="28"/>
  <c r="BU12" i="28"/>
  <c r="BW11" i="28"/>
  <c r="BW23" i="28" s="1"/>
  <c r="BU11" i="28"/>
  <c r="BU23" i="28" s="1"/>
  <c r="BW10" i="28"/>
  <c r="BW25" i="28" s="1"/>
  <c r="BU10" i="28"/>
  <c r="BU25" i="28" s="1"/>
  <c r="BW9" i="28"/>
  <c r="BU9" i="28"/>
  <c r="BW8" i="28"/>
  <c r="BU8" i="28"/>
  <c r="BW7" i="28"/>
  <c r="BW24" i="28" s="1"/>
  <c r="BU7" i="28"/>
  <c r="BU24" i="28" s="1"/>
  <c r="BW6" i="28"/>
  <c r="BU6" i="28"/>
  <c r="BW5" i="28"/>
  <c r="BW22" i="28" s="1"/>
  <c r="BW27" i="28" s="1"/>
  <c r="BU5" i="28"/>
  <c r="BU22" i="28" s="1"/>
  <c r="BW18" i="27"/>
  <c r="BU18" i="27"/>
  <c r="BW17" i="27"/>
  <c r="BU17" i="27"/>
  <c r="BW16" i="27"/>
  <c r="BU16" i="27"/>
  <c r="BW15" i="27"/>
  <c r="BU15" i="27"/>
  <c r="BW14" i="27"/>
  <c r="BU14" i="27"/>
  <c r="BW13" i="27"/>
  <c r="BU13" i="27"/>
  <c r="BW12" i="27"/>
  <c r="BU12" i="27"/>
  <c r="BW11" i="27"/>
  <c r="BW23" i="27" s="1"/>
  <c r="BU11" i="27"/>
  <c r="BU23" i="27" s="1"/>
  <c r="BW10" i="27"/>
  <c r="BW25" i="27" s="1"/>
  <c r="BU10" i="27"/>
  <c r="BU25" i="27" s="1"/>
  <c r="BW9" i="27"/>
  <c r="BU9" i="27"/>
  <c r="BW8" i="27"/>
  <c r="BU8" i="27"/>
  <c r="BW7" i="27"/>
  <c r="BW24" i="27" s="1"/>
  <c r="BU7" i="27"/>
  <c r="BU24" i="27" s="1"/>
  <c r="BW6" i="27"/>
  <c r="BU6" i="27"/>
  <c r="BW5" i="27"/>
  <c r="BW22" i="27" s="1"/>
  <c r="BW27" i="27" s="1"/>
  <c r="BU5" i="27"/>
  <c r="BU22" i="27" s="1"/>
  <c r="BW18" i="22"/>
  <c r="BU18" i="22"/>
  <c r="BW17" i="22"/>
  <c r="BU17" i="22"/>
  <c r="BW16" i="22"/>
  <c r="BU16" i="22"/>
  <c r="BW15" i="22"/>
  <c r="BU15" i="22"/>
  <c r="BW14" i="22"/>
  <c r="BU14" i="22"/>
  <c r="BW13" i="22"/>
  <c r="BU13" i="22"/>
  <c r="BW12" i="22"/>
  <c r="BU12" i="22"/>
  <c r="BW11" i="22"/>
  <c r="BW23" i="22" s="1"/>
  <c r="BU11" i="22"/>
  <c r="BU23" i="22" s="1"/>
  <c r="BW10" i="22"/>
  <c r="BW25" i="22" s="1"/>
  <c r="BU10" i="22"/>
  <c r="BU25" i="22" s="1"/>
  <c r="BW9" i="22"/>
  <c r="BU9" i="22"/>
  <c r="BW8" i="22"/>
  <c r="BU8" i="22"/>
  <c r="BW7" i="22"/>
  <c r="BW24" i="22" s="1"/>
  <c r="BU7" i="22"/>
  <c r="BU24" i="22" s="1"/>
  <c r="BW6" i="22"/>
  <c r="BU6" i="22"/>
  <c r="BW5" i="22"/>
  <c r="BW22" i="22" s="1"/>
  <c r="BW27" i="22" s="1"/>
  <c r="BU5" i="22"/>
  <c r="BU22" i="22" s="1"/>
  <c r="H15" i="10"/>
  <c r="BM22" i="10"/>
  <c r="BU27" i="8"/>
  <c r="BU23" i="8"/>
  <c r="BU24" i="8"/>
  <c r="BU25" i="8"/>
  <c r="BU22" i="8"/>
  <c r="BT30" i="8"/>
  <c r="BT29" i="8"/>
  <c r="BV22" i="8"/>
  <c r="BV24" i="8"/>
  <c r="BV25" i="8"/>
  <c r="BV23" i="8"/>
  <c r="BT5" i="8"/>
  <c r="BT22" i="8" s="1"/>
  <c r="BT6" i="8"/>
  <c r="BT7" i="8"/>
  <c r="BT24" i="8" s="1"/>
  <c r="BT8" i="8"/>
  <c r="BT9" i="8"/>
  <c r="BT10" i="8"/>
  <c r="BT11" i="8"/>
  <c r="BT25" i="8" s="1"/>
  <c r="BT12" i="8"/>
  <c r="BT23" i="8" s="1"/>
  <c r="BT13" i="8"/>
  <c r="BT14" i="8"/>
  <c r="BT15" i="8"/>
  <c r="BT16" i="8"/>
  <c r="BT17" i="8"/>
  <c r="BT18" i="8"/>
  <c r="BV24" i="10" l="1"/>
  <c r="BV22" i="10"/>
  <c r="BV27" i="10" s="1"/>
  <c r="BV27" i="9"/>
  <c r="BT27" i="9"/>
  <c r="BV27" i="35"/>
  <c r="BV30" i="35" s="1"/>
  <c r="BW22" i="35" s="1"/>
  <c r="BW24" i="35"/>
  <c r="BW23" i="35"/>
  <c r="BV27" i="34"/>
  <c r="BV30" i="34" s="1"/>
  <c r="BW22" i="34" s="1"/>
  <c r="BW24" i="34"/>
  <c r="BW23" i="34"/>
  <c r="BV27" i="33"/>
  <c r="BV30" i="33" s="1"/>
  <c r="BW22" i="33" s="1"/>
  <c r="BW24" i="33"/>
  <c r="BW23" i="33"/>
  <c r="BV27" i="32"/>
  <c r="BV30" i="32" s="1"/>
  <c r="BW22" i="32" s="1"/>
  <c r="BV27" i="30"/>
  <c r="BV30" i="30" s="1"/>
  <c r="BW22" i="30" s="1"/>
  <c r="BW24" i="30"/>
  <c r="BW23" i="30"/>
  <c r="BW27" i="17"/>
  <c r="BX27" i="17"/>
  <c r="BV30" i="17"/>
  <c r="BU24" i="24"/>
  <c r="BU27" i="24" s="1"/>
  <c r="BU30" i="24" s="1"/>
  <c r="BU27" i="29"/>
  <c r="BU30" i="29" s="1"/>
  <c r="BV22" i="29" s="1"/>
  <c r="BU27" i="25"/>
  <c r="BU30" i="25" s="1"/>
  <c r="BV22" i="25" s="1"/>
  <c r="BU27" i="23"/>
  <c r="BU30" i="23" s="1"/>
  <c r="BV22" i="23" s="1"/>
  <c r="BU27" i="28"/>
  <c r="BU30" i="28" s="1"/>
  <c r="BV22" i="28" s="1"/>
  <c r="BU27" i="27"/>
  <c r="BU30" i="27" s="1"/>
  <c r="BV22" i="27" s="1"/>
  <c r="BV23" i="27"/>
  <c r="BU27" i="22"/>
  <c r="BU30" i="22" s="1"/>
  <c r="BV22" i="22" s="1"/>
  <c r="BV24" i="22"/>
  <c r="BV23" i="22"/>
  <c r="BT27" i="8"/>
  <c r="BV27" i="8"/>
  <c r="BT30" i="9" l="1"/>
  <c r="BW25" i="35"/>
  <c r="BW27" i="35" s="1"/>
  <c r="BW25" i="34"/>
  <c r="BW27" i="34" s="1"/>
  <c r="BW25" i="33"/>
  <c r="BW27" i="33" s="1"/>
  <c r="BW23" i="32"/>
  <c r="BW27" i="32" s="1"/>
  <c r="BW24" i="32"/>
  <c r="BW25" i="32"/>
  <c r="BW25" i="30"/>
  <c r="BW27" i="30" s="1"/>
  <c r="BV23" i="29"/>
  <c r="BV22" i="24"/>
  <c r="BV23" i="24"/>
  <c r="BV23" i="25"/>
  <c r="BV23" i="23"/>
  <c r="BV23" i="28"/>
  <c r="BV24" i="29"/>
  <c r="BV25" i="29"/>
  <c r="BV24" i="24"/>
  <c r="BV27" i="24" s="1"/>
  <c r="BV25" i="24"/>
  <c r="BV24" i="25"/>
  <c r="BV27" i="25" s="1"/>
  <c r="BV25" i="25"/>
  <c r="BV24" i="23"/>
  <c r="BV25" i="23"/>
  <c r="BV24" i="28"/>
  <c r="BV27" i="28" s="1"/>
  <c r="BV25" i="28"/>
  <c r="BV24" i="27"/>
  <c r="BV25" i="27"/>
  <c r="BV25" i="22"/>
  <c r="BV27" i="22" s="1"/>
  <c r="BU24" i="9" l="1"/>
  <c r="BU25" i="9"/>
  <c r="BU22" i="9"/>
  <c r="BU23" i="9"/>
  <c r="BU27" i="9"/>
  <c r="BV27" i="29"/>
  <c r="BV27" i="23"/>
  <c r="BV27" i="27"/>
  <c r="X43" i="36" l="1"/>
  <c r="X44" i="36"/>
  <c r="X45" i="36"/>
  <c r="X42" i="36"/>
  <c r="H54" i="36"/>
  <c r="AC47" i="36"/>
  <c r="AD47" i="36"/>
  <c r="AE47" i="36"/>
  <c r="AF47" i="36"/>
  <c r="AG47" i="36"/>
  <c r="AH47" i="36"/>
  <c r="AI47" i="36"/>
  <c r="AB47" i="36"/>
  <c r="AJ47" i="36"/>
  <c r="AK47" i="36"/>
  <c r="AC42" i="36"/>
  <c r="AD42" i="36"/>
  <c r="AE42" i="36"/>
  <c r="AF42" i="36"/>
  <c r="AG42" i="36"/>
  <c r="AH42" i="36"/>
  <c r="AI42" i="36"/>
  <c r="AC43" i="36"/>
  <c r="AD43" i="36"/>
  <c r="AE43" i="36"/>
  <c r="AF43" i="36"/>
  <c r="AG43" i="36"/>
  <c r="AH43" i="36"/>
  <c r="AI43" i="36"/>
  <c r="AC44" i="36"/>
  <c r="AD44" i="36"/>
  <c r="AE44" i="36"/>
  <c r="AF44" i="36"/>
  <c r="AG44" i="36"/>
  <c r="AH44" i="36"/>
  <c r="AI44" i="36"/>
  <c r="AC45" i="36"/>
  <c r="AD45" i="36"/>
  <c r="AE45" i="36"/>
  <c r="AF45" i="36"/>
  <c r="AG45" i="36"/>
  <c r="AH45" i="36"/>
  <c r="AI45" i="36"/>
  <c r="AB43" i="36"/>
  <c r="AB44" i="36"/>
  <c r="AB45" i="36"/>
  <c r="AB42" i="36"/>
  <c r="AA43" i="36"/>
  <c r="AA44" i="36"/>
  <c r="AA45" i="36"/>
  <c r="AA42" i="36"/>
  <c r="Z43" i="36"/>
  <c r="Z44" i="36"/>
  <c r="Z45" i="36"/>
  <c r="Z42" i="36"/>
  <c r="Y43" i="36"/>
  <c r="Y44" i="36"/>
  <c r="Y45" i="36"/>
  <c r="Y42" i="36"/>
  <c r="AH5" i="36"/>
  <c r="AH13" i="36"/>
  <c r="AH12" i="36"/>
  <c r="AH10" i="36"/>
  <c r="AO9" i="36"/>
  <c r="AH9" i="36"/>
  <c r="AH8" i="36"/>
  <c r="AO7" i="36"/>
  <c r="AH7" i="36"/>
  <c r="AO6" i="36"/>
  <c r="AH6" i="36"/>
  <c r="AP5" i="36"/>
  <c r="AO5" i="36"/>
  <c r="AV5" i="36"/>
  <c r="Q13" i="36"/>
  <c r="Q12" i="36"/>
  <c r="Q11" i="36"/>
  <c r="Q10" i="36"/>
  <c r="Q8" i="36"/>
  <c r="T6" i="36"/>
  <c r="T5" i="36"/>
  <c r="BV27" i="36"/>
  <c r="BW27" i="36"/>
  <c r="BQ34" i="36" l="1"/>
  <c r="I34" i="36"/>
  <c r="I33" i="36"/>
  <c r="I32" i="36"/>
  <c r="I35" i="36" s="1"/>
  <c r="I31" i="36"/>
  <c r="H26" i="36"/>
  <c r="H25" i="36"/>
  <c r="H24" i="36"/>
  <c r="H23" i="36"/>
  <c r="H18" i="36"/>
  <c r="H17" i="36"/>
  <c r="BX16" i="36"/>
  <c r="BQ16" i="36"/>
  <c r="BP16" i="36"/>
  <c r="BO16" i="36"/>
  <c r="BN16" i="36"/>
  <c r="AN16" i="36"/>
  <c r="AG16" i="36"/>
  <c r="AA16" i="36"/>
  <c r="Z16" i="36"/>
  <c r="V16" i="36"/>
  <c r="S16" i="36"/>
  <c r="U16" i="36" s="1"/>
  <c r="P16" i="36"/>
  <c r="R16" i="36" s="1"/>
  <c r="BX15" i="36"/>
  <c r="BQ15" i="36"/>
  <c r="BP15" i="36"/>
  <c r="BO15" i="36"/>
  <c r="BN15" i="36"/>
  <c r="AN15" i="36"/>
  <c r="AG15" i="36"/>
  <c r="AA15" i="36"/>
  <c r="Z15" i="36"/>
  <c r="V15" i="36"/>
  <c r="S15" i="36"/>
  <c r="U15" i="36" s="1"/>
  <c r="P15" i="36"/>
  <c r="R15" i="36" s="1"/>
  <c r="BX14" i="36"/>
  <c r="BQ14" i="36"/>
  <c r="BP14" i="36"/>
  <c r="BO14" i="36"/>
  <c r="BN14" i="36"/>
  <c r="BI14" i="36"/>
  <c r="BB14" i="36"/>
  <c r="AU14" i="36"/>
  <c r="AN14" i="36"/>
  <c r="AG14" i="36"/>
  <c r="AA14" i="36"/>
  <c r="Z14" i="36"/>
  <c r="V14" i="36"/>
  <c r="S14" i="36"/>
  <c r="U14" i="36" s="1"/>
  <c r="P14" i="36"/>
  <c r="R14" i="36" s="1"/>
  <c r="BX13" i="36"/>
  <c r="BQ13" i="36"/>
  <c r="BP13" i="36"/>
  <c r="BO13" i="36"/>
  <c r="BN13" i="36"/>
  <c r="BI13" i="36"/>
  <c r="BB13" i="36"/>
  <c r="AU13" i="36"/>
  <c r="AN13" i="36"/>
  <c r="AG13" i="36"/>
  <c r="AA13" i="36"/>
  <c r="Z13" i="36"/>
  <c r="V13" i="36"/>
  <c r="S13" i="36"/>
  <c r="U13" i="36" s="1"/>
  <c r="P13" i="36"/>
  <c r="R13" i="36" s="1"/>
  <c r="BX12" i="36"/>
  <c r="BQ12" i="36"/>
  <c r="BP12" i="36"/>
  <c r="BO12" i="36"/>
  <c r="BN12" i="36"/>
  <c r="BI12" i="36"/>
  <c r="BB12" i="36"/>
  <c r="AU12" i="36"/>
  <c r="AN12" i="36"/>
  <c r="AG12" i="36"/>
  <c r="AA12" i="36"/>
  <c r="Z12" i="36"/>
  <c r="V12" i="36"/>
  <c r="S12" i="36"/>
  <c r="U12" i="36" s="1"/>
  <c r="P12" i="36"/>
  <c r="R12" i="36" s="1"/>
  <c r="BX11" i="36"/>
  <c r="BQ11" i="36"/>
  <c r="BQ23" i="36" s="1"/>
  <c r="BP11" i="36"/>
  <c r="BO11" i="36"/>
  <c r="BN11" i="36"/>
  <c r="BI11" i="36"/>
  <c r="BB11" i="36"/>
  <c r="AU11" i="36"/>
  <c r="AN11" i="36"/>
  <c r="AG11" i="36"/>
  <c r="AA11" i="36"/>
  <c r="AA24" i="36" s="1"/>
  <c r="Z11" i="36"/>
  <c r="V11" i="36"/>
  <c r="S11" i="36"/>
  <c r="U11" i="36" s="1"/>
  <c r="P11" i="36"/>
  <c r="R11" i="36" s="1"/>
  <c r="BX10" i="36"/>
  <c r="BQ10" i="36"/>
  <c r="BQ25" i="36" s="1"/>
  <c r="BP10" i="36"/>
  <c r="BP25" i="36" s="1"/>
  <c r="BO10" i="36"/>
  <c r="BO25" i="36" s="1"/>
  <c r="BN10" i="36"/>
  <c r="BN25" i="36" s="1"/>
  <c r="BI10" i="36"/>
  <c r="BB10" i="36"/>
  <c r="AU10" i="36"/>
  <c r="AN10" i="36"/>
  <c r="AG10" i="36"/>
  <c r="AA10" i="36"/>
  <c r="AA26" i="36" s="1"/>
  <c r="Z10" i="36"/>
  <c r="Z26" i="36" s="1"/>
  <c r="V10" i="36"/>
  <c r="S10" i="36"/>
  <c r="U10" i="36" s="1"/>
  <c r="U26" i="36" s="1"/>
  <c r="R10" i="36"/>
  <c r="R26" i="36" s="1"/>
  <c r="P10" i="36"/>
  <c r="BX9" i="36"/>
  <c r="BQ9" i="36"/>
  <c r="BP9" i="36"/>
  <c r="BO9" i="36"/>
  <c r="BN9" i="36"/>
  <c r="BI9" i="36"/>
  <c r="BB9" i="36"/>
  <c r="AU9" i="36"/>
  <c r="AN9" i="36"/>
  <c r="AG9" i="36"/>
  <c r="AA9" i="36"/>
  <c r="Z9" i="36"/>
  <c r="V9" i="36"/>
  <c r="U9" i="36"/>
  <c r="S9" i="36"/>
  <c r="P9" i="36"/>
  <c r="R9" i="36" s="1"/>
  <c r="BX8" i="36"/>
  <c r="BQ8" i="36"/>
  <c r="BP8" i="36"/>
  <c r="BO8" i="36"/>
  <c r="BN8" i="36"/>
  <c r="BI8" i="36"/>
  <c r="BB8" i="36"/>
  <c r="AU8" i="36"/>
  <c r="AN8" i="36"/>
  <c r="AG8" i="36"/>
  <c r="AA8" i="36"/>
  <c r="Z8" i="36"/>
  <c r="V8" i="36"/>
  <c r="S8" i="36"/>
  <c r="U8" i="36" s="1"/>
  <c r="P8" i="36"/>
  <c r="R8" i="36" s="1"/>
  <c r="BX7" i="36"/>
  <c r="BQ7" i="36"/>
  <c r="BP7" i="36"/>
  <c r="BO7" i="36"/>
  <c r="BN7" i="36"/>
  <c r="BI7" i="36"/>
  <c r="BB7" i="36"/>
  <c r="AU7" i="36"/>
  <c r="AN7" i="36"/>
  <c r="AG7" i="36"/>
  <c r="AA7" i="36"/>
  <c r="Z7" i="36"/>
  <c r="V7" i="36"/>
  <c r="S7" i="36"/>
  <c r="U7" i="36" s="1"/>
  <c r="R7" i="36"/>
  <c r="P7" i="36"/>
  <c r="BX6" i="36"/>
  <c r="BQ6" i="36"/>
  <c r="BP6" i="36"/>
  <c r="BO6" i="36"/>
  <c r="BN6" i="36"/>
  <c r="BI6" i="36"/>
  <c r="BB6" i="36"/>
  <c r="AU6" i="36"/>
  <c r="AN6" i="36"/>
  <c r="AG6" i="36"/>
  <c r="AA6" i="36"/>
  <c r="Z6" i="36"/>
  <c r="V6" i="36"/>
  <c r="U6" i="36"/>
  <c r="S6" i="36"/>
  <c r="P6" i="36"/>
  <c r="R6" i="36" s="1"/>
  <c r="BX5" i="36"/>
  <c r="BQ5" i="36"/>
  <c r="BP5" i="36"/>
  <c r="BO5" i="36"/>
  <c r="BN5" i="36"/>
  <c r="BI5" i="36"/>
  <c r="BB5" i="36"/>
  <c r="AU5" i="36"/>
  <c r="AN5" i="36"/>
  <c r="AG5" i="36"/>
  <c r="AA5" i="36"/>
  <c r="Z5" i="36"/>
  <c r="Z23" i="36" s="1"/>
  <c r="V5" i="36"/>
  <c r="U5" i="36"/>
  <c r="S5" i="36"/>
  <c r="P5" i="36"/>
  <c r="R5" i="36" s="1"/>
  <c r="R23" i="36" s="1"/>
  <c r="I2" i="36"/>
  <c r="BQ34" i="35"/>
  <c r="I34" i="35"/>
  <c r="I33" i="35"/>
  <c r="I32" i="35"/>
  <c r="I31" i="35"/>
  <c r="I35" i="35" s="1"/>
  <c r="H26" i="35"/>
  <c r="H25" i="35"/>
  <c r="H24" i="35"/>
  <c r="H23" i="35"/>
  <c r="H18" i="35"/>
  <c r="H17" i="35"/>
  <c r="BQ16" i="35"/>
  <c r="BP16" i="35"/>
  <c r="BO16" i="35"/>
  <c r="BN16" i="35"/>
  <c r="AO16" i="35"/>
  <c r="AN16" i="35"/>
  <c r="AH16" i="35"/>
  <c r="AG16" i="35"/>
  <c r="BT16" i="35" s="1"/>
  <c r="AA16" i="35"/>
  <c r="Z16" i="35"/>
  <c r="V16" i="35"/>
  <c r="S16" i="35"/>
  <c r="U16" i="35" s="1"/>
  <c r="R16" i="35"/>
  <c r="P16" i="35"/>
  <c r="BQ15" i="35"/>
  <c r="BP15" i="35"/>
  <c r="BO15" i="35"/>
  <c r="BN15" i="35"/>
  <c r="AO15" i="35"/>
  <c r="AN15" i="35"/>
  <c r="AH15" i="35"/>
  <c r="AG15" i="35"/>
  <c r="AA15" i="35"/>
  <c r="Z15" i="35"/>
  <c r="V15" i="35"/>
  <c r="S15" i="35"/>
  <c r="U15" i="35" s="1"/>
  <c r="Q15" i="35"/>
  <c r="P15" i="35"/>
  <c r="BQ14" i="35"/>
  <c r="BP14" i="35"/>
  <c r="BO14" i="35"/>
  <c r="BN14" i="35"/>
  <c r="BI14" i="35"/>
  <c r="BB14" i="35"/>
  <c r="AU14" i="35"/>
  <c r="AO14" i="35"/>
  <c r="AN14" i="35"/>
  <c r="AH14" i="35"/>
  <c r="AG14" i="35"/>
  <c r="BS14" i="35" s="1"/>
  <c r="AA14" i="35"/>
  <c r="Z14" i="35"/>
  <c r="V14" i="35"/>
  <c r="U14" i="35"/>
  <c r="S14" i="35"/>
  <c r="P14" i="35"/>
  <c r="R14" i="35" s="1"/>
  <c r="BQ13" i="35"/>
  <c r="BP13" i="35"/>
  <c r="BO13" i="35"/>
  <c r="BN13" i="35"/>
  <c r="BI13" i="35"/>
  <c r="BB13" i="35"/>
  <c r="AU13" i="35"/>
  <c r="AO13" i="35"/>
  <c r="AN13" i="35"/>
  <c r="AH13" i="35"/>
  <c r="AG13" i="35"/>
  <c r="AA13" i="35"/>
  <c r="Z13" i="35"/>
  <c r="V13" i="35"/>
  <c r="S13" i="35"/>
  <c r="U13" i="35" s="1"/>
  <c r="R13" i="35"/>
  <c r="P13" i="35"/>
  <c r="BQ12" i="35"/>
  <c r="BP12" i="35"/>
  <c r="BO12" i="35"/>
  <c r="BN12" i="35"/>
  <c r="BI12" i="35"/>
  <c r="BB12" i="35"/>
  <c r="AU12" i="35"/>
  <c r="AO12" i="35"/>
  <c r="AN12" i="35"/>
  <c r="AH12" i="35"/>
  <c r="AG12" i="35"/>
  <c r="AA12" i="35"/>
  <c r="Z12" i="35"/>
  <c r="V12" i="35"/>
  <c r="U12" i="35"/>
  <c r="S12" i="35"/>
  <c r="P12" i="35"/>
  <c r="R12" i="35" s="1"/>
  <c r="BQ11" i="35"/>
  <c r="BQ23" i="35" s="1"/>
  <c r="BP11" i="35"/>
  <c r="BP23" i="35" s="1"/>
  <c r="BO11" i="35"/>
  <c r="BO23" i="35" s="1"/>
  <c r="BN11" i="35"/>
  <c r="BN23" i="35" s="1"/>
  <c r="BI11" i="35"/>
  <c r="BB11" i="35"/>
  <c r="AU11" i="35"/>
  <c r="AN11" i="35"/>
  <c r="AG11" i="35"/>
  <c r="AA11" i="35"/>
  <c r="AA24" i="35" s="1"/>
  <c r="Z11" i="35"/>
  <c r="Z24" i="35" s="1"/>
  <c r="V11" i="35"/>
  <c r="S11" i="35"/>
  <c r="U11" i="35" s="1"/>
  <c r="U24" i="35" s="1"/>
  <c r="Q11" i="35"/>
  <c r="P11" i="35"/>
  <c r="BQ10" i="35"/>
  <c r="BQ25" i="35" s="1"/>
  <c r="BP10" i="35"/>
  <c r="BP25" i="35" s="1"/>
  <c r="BO10" i="35"/>
  <c r="BO25" i="35" s="1"/>
  <c r="BN10" i="35"/>
  <c r="BN25" i="35" s="1"/>
  <c r="BI10" i="35"/>
  <c r="BB10" i="35"/>
  <c r="BT10" i="35" s="1"/>
  <c r="BT25" i="35" s="1"/>
  <c r="AU10" i="35"/>
  <c r="AN10" i="35"/>
  <c r="AG10" i="35"/>
  <c r="AA10" i="35"/>
  <c r="AA26" i="35" s="1"/>
  <c r="Z10" i="35"/>
  <c r="Z26" i="35" s="1"/>
  <c r="V10" i="35"/>
  <c r="S10" i="35"/>
  <c r="U10" i="35" s="1"/>
  <c r="U26" i="35" s="1"/>
  <c r="P10" i="35"/>
  <c r="R10" i="35" s="1"/>
  <c r="R26" i="35" s="1"/>
  <c r="BQ9" i="35"/>
  <c r="BP9" i="35"/>
  <c r="BO9" i="35"/>
  <c r="BN9" i="35"/>
  <c r="BI9" i="35"/>
  <c r="BB9" i="35"/>
  <c r="AU9" i="35"/>
  <c r="AO9" i="35"/>
  <c r="AN9" i="35"/>
  <c r="AH9" i="35"/>
  <c r="AG9" i="35"/>
  <c r="BR9" i="35" s="1"/>
  <c r="AA9" i="35"/>
  <c r="Z9" i="35"/>
  <c r="V9" i="35"/>
  <c r="T9" i="35"/>
  <c r="S9" i="35"/>
  <c r="P9" i="35"/>
  <c r="R9" i="35" s="1"/>
  <c r="BQ8" i="35"/>
  <c r="BP8" i="35"/>
  <c r="BO8" i="35"/>
  <c r="BN8" i="35"/>
  <c r="BI8" i="35"/>
  <c r="BB8" i="35"/>
  <c r="AU8" i="35"/>
  <c r="AO8" i="35"/>
  <c r="AN8" i="35"/>
  <c r="AH8" i="35"/>
  <c r="AG8" i="35"/>
  <c r="AA8" i="35"/>
  <c r="Z8" i="35"/>
  <c r="V8" i="35"/>
  <c r="T8" i="35"/>
  <c r="S8" i="35"/>
  <c r="Q8" i="35"/>
  <c r="P8" i="35"/>
  <c r="R8" i="35" s="1"/>
  <c r="BQ7" i="35"/>
  <c r="BQ24" i="35" s="1"/>
  <c r="BP7" i="35"/>
  <c r="BO7" i="35"/>
  <c r="BO24" i="35" s="1"/>
  <c r="BN7" i="35"/>
  <c r="BN24" i="35" s="1"/>
  <c r="BI7" i="35"/>
  <c r="BB7" i="35"/>
  <c r="AU7" i="35"/>
  <c r="BS7" i="35" s="1"/>
  <c r="AO7" i="35"/>
  <c r="AN7" i="35"/>
  <c r="AG7" i="35"/>
  <c r="AA7" i="35"/>
  <c r="AA25" i="35" s="1"/>
  <c r="Z7" i="35"/>
  <c r="Z25" i="35" s="1"/>
  <c r="V7" i="35"/>
  <c r="T7" i="35"/>
  <c r="S7" i="35"/>
  <c r="U7" i="35" s="1"/>
  <c r="Q7" i="35"/>
  <c r="P7" i="35"/>
  <c r="R7" i="35" s="1"/>
  <c r="R25" i="35" s="1"/>
  <c r="BQ6" i="35"/>
  <c r="BP6" i="35"/>
  <c r="BO6" i="35"/>
  <c r="BN6" i="35"/>
  <c r="BI6" i="35"/>
  <c r="BB6" i="35"/>
  <c r="AU6" i="35"/>
  <c r="AO6" i="35"/>
  <c r="BR6" i="35" s="1"/>
  <c r="AN6" i="35"/>
  <c r="AG6" i="35"/>
  <c r="AA6" i="35"/>
  <c r="Z6" i="35"/>
  <c r="V6" i="35"/>
  <c r="U6" i="35"/>
  <c r="S6" i="35"/>
  <c r="Q6" i="35"/>
  <c r="P6" i="35"/>
  <c r="BQ5" i="35"/>
  <c r="BP5" i="35"/>
  <c r="BP22" i="35" s="1"/>
  <c r="BO5" i="35"/>
  <c r="BO22" i="35" s="1"/>
  <c r="BO27" i="35" s="1"/>
  <c r="BN5" i="35"/>
  <c r="BN22" i="35" s="1"/>
  <c r="BN27" i="35" s="1"/>
  <c r="BI5" i="35"/>
  <c r="BB5" i="35"/>
  <c r="AV5" i="35"/>
  <c r="AU5" i="35"/>
  <c r="AO5" i="35"/>
  <c r="AN5" i="35"/>
  <c r="AG5" i="35"/>
  <c r="AA5" i="35"/>
  <c r="AA23" i="35" s="1"/>
  <c r="AA28" i="35" s="1"/>
  <c r="Z5" i="35"/>
  <c r="V5" i="35"/>
  <c r="T5" i="35"/>
  <c r="S5" i="35"/>
  <c r="U5" i="35" s="1"/>
  <c r="Q5" i="35"/>
  <c r="P5" i="35"/>
  <c r="I2" i="35"/>
  <c r="BQ34" i="34"/>
  <c r="I34" i="34"/>
  <c r="I33" i="34"/>
  <c r="I32" i="34"/>
  <c r="I31" i="34"/>
  <c r="I35" i="34" s="1"/>
  <c r="H26" i="34"/>
  <c r="H25" i="34"/>
  <c r="H24" i="34"/>
  <c r="H23" i="34"/>
  <c r="H18" i="34"/>
  <c r="H17" i="34"/>
  <c r="BQ16" i="34"/>
  <c r="BP16" i="34"/>
  <c r="BO16" i="34"/>
  <c r="BN16" i="34"/>
  <c r="AO16" i="34"/>
  <c r="AN16" i="34"/>
  <c r="AH16" i="34"/>
  <c r="AG16" i="34"/>
  <c r="BT16" i="34" s="1"/>
  <c r="AA16" i="34"/>
  <c r="Z16" i="34"/>
  <c r="V16" i="34"/>
  <c r="U16" i="34"/>
  <c r="S16" i="34"/>
  <c r="R16" i="34"/>
  <c r="P16" i="34"/>
  <c r="BQ15" i="34"/>
  <c r="BP15" i="34"/>
  <c r="BO15" i="34"/>
  <c r="BN15" i="34"/>
  <c r="AO15" i="34"/>
  <c r="AN15" i="34"/>
  <c r="AH15" i="34"/>
  <c r="AG15" i="34"/>
  <c r="AA15" i="34"/>
  <c r="Z15" i="34"/>
  <c r="V15" i="34"/>
  <c r="S15" i="34"/>
  <c r="U15" i="34" s="1"/>
  <c r="Q15" i="34"/>
  <c r="R15" i="34" s="1"/>
  <c r="P15" i="34"/>
  <c r="BQ14" i="34"/>
  <c r="BP14" i="34"/>
  <c r="BO14" i="34"/>
  <c r="BN14" i="34"/>
  <c r="BI14" i="34"/>
  <c r="BB14" i="34"/>
  <c r="AU14" i="34"/>
  <c r="AO14" i="34"/>
  <c r="AN14" i="34"/>
  <c r="AH14" i="34"/>
  <c r="AG14" i="34"/>
  <c r="BS14" i="34" s="1"/>
  <c r="AA14" i="34"/>
  <c r="Z14" i="34"/>
  <c r="V14" i="34"/>
  <c r="U14" i="34"/>
  <c r="S14" i="34"/>
  <c r="R14" i="34"/>
  <c r="P14" i="34"/>
  <c r="BQ13" i="34"/>
  <c r="BP13" i="34"/>
  <c r="BO13" i="34"/>
  <c r="BN13" i="34"/>
  <c r="BI13" i="34"/>
  <c r="BB13" i="34"/>
  <c r="AU13" i="34"/>
  <c r="AO13" i="34"/>
  <c r="AN13" i="34"/>
  <c r="AH13" i="34"/>
  <c r="AG13" i="34"/>
  <c r="AA13" i="34"/>
  <c r="Z13" i="34"/>
  <c r="V13" i="34"/>
  <c r="U13" i="34"/>
  <c r="S13" i="34"/>
  <c r="R13" i="34"/>
  <c r="P13" i="34"/>
  <c r="BQ12" i="34"/>
  <c r="BP12" i="34"/>
  <c r="BO12" i="34"/>
  <c r="BN12" i="34"/>
  <c r="BI12" i="34"/>
  <c r="BB12" i="34"/>
  <c r="AU12" i="34"/>
  <c r="AO12" i="34"/>
  <c r="AN12" i="34"/>
  <c r="AH12" i="34"/>
  <c r="AG12" i="34"/>
  <c r="BS12" i="34" s="1"/>
  <c r="AA12" i="34"/>
  <c r="Z12" i="34"/>
  <c r="V12" i="34"/>
  <c r="U12" i="34"/>
  <c r="S12" i="34"/>
  <c r="R12" i="34"/>
  <c r="P12" i="34"/>
  <c r="BQ11" i="34"/>
  <c r="BQ23" i="34" s="1"/>
  <c r="BP11" i="34"/>
  <c r="BP23" i="34" s="1"/>
  <c r="BO11" i="34"/>
  <c r="BO23" i="34" s="1"/>
  <c r="BN11" i="34"/>
  <c r="BN23" i="34" s="1"/>
  <c r="BI11" i="34"/>
  <c r="BB11" i="34"/>
  <c r="AU11" i="34"/>
  <c r="AN11" i="34"/>
  <c r="AG11" i="34"/>
  <c r="BU11" i="34" s="1"/>
  <c r="AA11" i="34"/>
  <c r="AA24" i="34" s="1"/>
  <c r="Z11" i="34"/>
  <c r="Z24" i="34" s="1"/>
  <c r="V11" i="34"/>
  <c r="S11" i="34"/>
  <c r="U11" i="34" s="1"/>
  <c r="U24" i="34" s="1"/>
  <c r="Q11" i="34"/>
  <c r="P11" i="34"/>
  <c r="BQ10" i="34"/>
  <c r="BQ25" i="34" s="1"/>
  <c r="BP10" i="34"/>
  <c r="BP25" i="34" s="1"/>
  <c r="BO10" i="34"/>
  <c r="BO25" i="34" s="1"/>
  <c r="BN10" i="34"/>
  <c r="BN25" i="34" s="1"/>
  <c r="BI10" i="34"/>
  <c r="BB10" i="34"/>
  <c r="BT10" i="34" s="1"/>
  <c r="BT25" i="34" s="1"/>
  <c r="AU10" i="34"/>
  <c r="AN10" i="34"/>
  <c r="AG10" i="34"/>
  <c r="AA10" i="34"/>
  <c r="AA26" i="34" s="1"/>
  <c r="Z10" i="34"/>
  <c r="Z26" i="34" s="1"/>
  <c r="V10" i="34"/>
  <c r="S10" i="34"/>
  <c r="U10" i="34" s="1"/>
  <c r="U26" i="34" s="1"/>
  <c r="P10" i="34"/>
  <c r="R10" i="34" s="1"/>
  <c r="R26" i="34" s="1"/>
  <c r="BQ9" i="34"/>
  <c r="BP9" i="34"/>
  <c r="BO9" i="34"/>
  <c r="BN9" i="34"/>
  <c r="BI9" i="34"/>
  <c r="BB9" i="34"/>
  <c r="AU9" i="34"/>
  <c r="AO9" i="34"/>
  <c r="AN9" i="34"/>
  <c r="AH9" i="34"/>
  <c r="AG9" i="34"/>
  <c r="AA9" i="34"/>
  <c r="Z9" i="34"/>
  <c r="V9" i="34"/>
  <c r="T9" i="34"/>
  <c r="S9" i="34"/>
  <c r="R9" i="34"/>
  <c r="P9" i="34"/>
  <c r="BQ8" i="34"/>
  <c r="BP8" i="34"/>
  <c r="BO8" i="34"/>
  <c r="BN8" i="34"/>
  <c r="BI8" i="34"/>
  <c r="BB8" i="34"/>
  <c r="AU8" i="34"/>
  <c r="AO8" i="34"/>
  <c r="AN8" i="34"/>
  <c r="AH8" i="34"/>
  <c r="AG8" i="34"/>
  <c r="AA8" i="34"/>
  <c r="Z8" i="34"/>
  <c r="V8" i="34"/>
  <c r="T8" i="34"/>
  <c r="S8" i="34"/>
  <c r="Q8" i="34"/>
  <c r="P8" i="34"/>
  <c r="R8" i="34" s="1"/>
  <c r="BQ7" i="34"/>
  <c r="BQ24" i="34" s="1"/>
  <c r="BP7" i="34"/>
  <c r="BO7" i="34"/>
  <c r="BN7" i="34"/>
  <c r="BN24" i="34" s="1"/>
  <c r="BI7" i="34"/>
  <c r="BB7" i="34"/>
  <c r="AU7" i="34"/>
  <c r="AO7" i="34"/>
  <c r="AN7" i="34"/>
  <c r="AG7" i="34"/>
  <c r="AA7" i="34"/>
  <c r="Z7" i="34"/>
  <c r="Z25" i="34" s="1"/>
  <c r="V7" i="34"/>
  <c r="T7" i="34"/>
  <c r="S7" i="34"/>
  <c r="U7" i="34" s="1"/>
  <c r="R7" i="34"/>
  <c r="R25" i="34" s="1"/>
  <c r="Q7" i="34"/>
  <c r="P7" i="34"/>
  <c r="BQ6" i="34"/>
  <c r="BP6" i="34"/>
  <c r="BO6" i="34"/>
  <c r="BN6" i="34"/>
  <c r="BI6" i="34"/>
  <c r="BB6" i="34"/>
  <c r="AU6" i="34"/>
  <c r="AO6" i="34"/>
  <c r="AN6" i="34"/>
  <c r="AG6" i="34"/>
  <c r="BT6" i="34" s="1"/>
  <c r="AA6" i="34"/>
  <c r="Z6" i="34"/>
  <c r="V6" i="34"/>
  <c r="U6" i="34"/>
  <c r="S6" i="34"/>
  <c r="Q6" i="34"/>
  <c r="P6" i="34"/>
  <c r="R6" i="34" s="1"/>
  <c r="BQ5" i="34"/>
  <c r="BP5" i="34"/>
  <c r="BO5" i="34"/>
  <c r="BN5" i="34"/>
  <c r="BN22" i="34" s="1"/>
  <c r="BI5" i="34"/>
  <c r="BB5" i="34"/>
  <c r="AV5" i="34"/>
  <c r="AU5" i="34"/>
  <c r="AO5" i="34"/>
  <c r="AN5" i="34"/>
  <c r="AG5" i="34"/>
  <c r="AA5" i="34"/>
  <c r="AA23" i="34" s="1"/>
  <c r="Z5" i="34"/>
  <c r="Z23" i="34" s="1"/>
  <c r="V5" i="34"/>
  <c r="T5" i="34"/>
  <c r="S5" i="34"/>
  <c r="Q5" i="34"/>
  <c r="P5" i="34"/>
  <c r="I2" i="34"/>
  <c r="BQ34" i="33"/>
  <c r="I34" i="33"/>
  <c r="I33" i="33"/>
  <c r="I32" i="33"/>
  <c r="I31" i="33"/>
  <c r="H26" i="33"/>
  <c r="H25" i="33"/>
  <c r="H24" i="33"/>
  <c r="H23" i="33"/>
  <c r="H18" i="33"/>
  <c r="H17" i="33"/>
  <c r="BQ16" i="33"/>
  <c r="BP16" i="33"/>
  <c r="BO16" i="33"/>
  <c r="BN16" i="33"/>
  <c r="AO16" i="33"/>
  <c r="AN16" i="33"/>
  <c r="AH16" i="33"/>
  <c r="AG16" i="33"/>
  <c r="BT16" i="33" s="1"/>
  <c r="AA16" i="33"/>
  <c r="Z16" i="33"/>
  <c r="V16" i="33"/>
  <c r="S16" i="33"/>
  <c r="U16" i="33" s="1"/>
  <c r="P16" i="33"/>
  <c r="R16" i="33" s="1"/>
  <c r="BQ15" i="33"/>
  <c r="BP15" i="33"/>
  <c r="BO15" i="33"/>
  <c r="BN15" i="33"/>
  <c r="AO15" i="33"/>
  <c r="AN15" i="33"/>
  <c r="AH15" i="33"/>
  <c r="AG15" i="33"/>
  <c r="AA15" i="33"/>
  <c r="Z15" i="33"/>
  <c r="V15" i="33"/>
  <c r="U15" i="33"/>
  <c r="S15" i="33"/>
  <c r="Q15" i="33"/>
  <c r="P15" i="33"/>
  <c r="BQ14" i="33"/>
  <c r="BP14" i="33"/>
  <c r="BO14" i="33"/>
  <c r="BN14" i="33"/>
  <c r="BI14" i="33"/>
  <c r="BB14" i="33"/>
  <c r="AU14" i="33"/>
  <c r="AO14" i="33"/>
  <c r="AN14" i="33"/>
  <c r="AH14" i="33"/>
  <c r="AG14" i="33"/>
  <c r="BS14" i="33" s="1"/>
  <c r="AA14" i="33"/>
  <c r="Z14" i="33"/>
  <c r="V14" i="33"/>
  <c r="U14" i="33"/>
  <c r="S14" i="33"/>
  <c r="P14" i="33"/>
  <c r="R14" i="33" s="1"/>
  <c r="BQ13" i="33"/>
  <c r="BP13" i="33"/>
  <c r="BO13" i="33"/>
  <c r="BN13" i="33"/>
  <c r="BI13" i="33"/>
  <c r="BB13" i="33"/>
  <c r="AU13" i="33"/>
  <c r="AO13" i="33"/>
  <c r="AN13" i="33"/>
  <c r="AH13" i="33"/>
  <c r="AG13" i="33"/>
  <c r="AA13" i="33"/>
  <c r="Z13" i="33"/>
  <c r="V13" i="33"/>
  <c r="S13" i="33"/>
  <c r="U13" i="33" s="1"/>
  <c r="R13" i="33"/>
  <c r="P13" i="33"/>
  <c r="BQ12" i="33"/>
  <c r="BP12" i="33"/>
  <c r="BO12" i="33"/>
  <c r="BN12" i="33"/>
  <c r="BI12" i="33"/>
  <c r="BB12" i="33"/>
  <c r="AU12" i="33"/>
  <c r="AO12" i="33"/>
  <c r="AN12" i="33"/>
  <c r="BU12" i="33" s="1"/>
  <c r="AH12" i="33"/>
  <c r="AG12" i="33"/>
  <c r="AA12" i="33"/>
  <c r="Z12" i="33"/>
  <c r="V12" i="33"/>
  <c r="U12" i="33"/>
  <c r="S12" i="33"/>
  <c r="P12" i="33"/>
  <c r="R12" i="33" s="1"/>
  <c r="BQ11" i="33"/>
  <c r="BP11" i="33"/>
  <c r="BO11" i="33"/>
  <c r="BN11" i="33"/>
  <c r="BN23" i="33" s="1"/>
  <c r="BI11" i="33"/>
  <c r="BB11" i="33"/>
  <c r="AU11" i="33"/>
  <c r="AN11" i="33"/>
  <c r="BT11" i="33" s="1"/>
  <c r="AG11" i="33"/>
  <c r="AA11" i="33"/>
  <c r="AA24" i="33" s="1"/>
  <c r="Z11" i="33"/>
  <c r="V11" i="33"/>
  <c r="S11" i="33"/>
  <c r="U11" i="33" s="1"/>
  <c r="U24" i="33" s="1"/>
  <c r="Q11" i="33"/>
  <c r="P11" i="33"/>
  <c r="R11" i="33" s="1"/>
  <c r="BQ10" i="33"/>
  <c r="BQ25" i="33" s="1"/>
  <c r="BP10" i="33"/>
  <c r="BP25" i="33" s="1"/>
  <c r="BO10" i="33"/>
  <c r="BO25" i="33" s="1"/>
  <c r="BN10" i="33"/>
  <c r="BN25" i="33" s="1"/>
  <c r="BI10" i="33"/>
  <c r="BB10" i="33"/>
  <c r="AU10" i="33"/>
  <c r="AN10" i="33"/>
  <c r="AG10" i="33"/>
  <c r="AA10" i="33"/>
  <c r="AA26" i="33" s="1"/>
  <c r="Z10" i="33"/>
  <c r="Z26" i="33" s="1"/>
  <c r="V10" i="33"/>
  <c r="S10" i="33"/>
  <c r="U10" i="33" s="1"/>
  <c r="U26" i="33" s="1"/>
  <c r="P10" i="33"/>
  <c r="R10" i="33" s="1"/>
  <c r="R26" i="33" s="1"/>
  <c r="BQ9" i="33"/>
  <c r="BP9" i="33"/>
  <c r="BO9" i="33"/>
  <c r="BN9" i="33"/>
  <c r="BI9" i="33"/>
  <c r="BB9" i="33"/>
  <c r="AU9" i="33"/>
  <c r="AO9" i="33"/>
  <c r="AN9" i="33"/>
  <c r="AH9" i="33"/>
  <c r="AG9" i="33"/>
  <c r="AA9" i="33"/>
  <c r="Z9" i="33"/>
  <c r="V9" i="33"/>
  <c r="T9" i="33"/>
  <c r="S9" i="33"/>
  <c r="P9" i="33"/>
  <c r="R9" i="33" s="1"/>
  <c r="BQ8" i="33"/>
  <c r="BP8" i="33"/>
  <c r="BO8" i="33"/>
  <c r="BN8" i="33"/>
  <c r="BI8" i="33"/>
  <c r="BB8" i="33"/>
  <c r="AU8" i="33"/>
  <c r="AO8" i="33"/>
  <c r="AN8" i="33"/>
  <c r="AH8" i="33"/>
  <c r="AG8" i="33"/>
  <c r="AA8" i="33"/>
  <c r="Z8" i="33"/>
  <c r="V8" i="33"/>
  <c r="T8" i="33"/>
  <c r="S8" i="33"/>
  <c r="U8" i="33" s="1"/>
  <c r="Q8" i="33"/>
  <c r="P8" i="33"/>
  <c r="R8" i="33" s="1"/>
  <c r="BQ7" i="33"/>
  <c r="BQ24" i="33" s="1"/>
  <c r="BP7" i="33"/>
  <c r="BO7" i="33"/>
  <c r="BO24" i="33" s="1"/>
  <c r="BN7" i="33"/>
  <c r="BI7" i="33"/>
  <c r="BB7" i="33"/>
  <c r="AU7" i="33"/>
  <c r="AO7" i="33"/>
  <c r="AN7" i="33"/>
  <c r="AG7" i="33"/>
  <c r="AA7" i="33"/>
  <c r="Z7" i="33"/>
  <c r="V7" i="33"/>
  <c r="T7" i="33"/>
  <c r="S7" i="33"/>
  <c r="U7" i="33" s="1"/>
  <c r="R7" i="33"/>
  <c r="Q7" i="33"/>
  <c r="P7" i="33"/>
  <c r="BQ6" i="33"/>
  <c r="BP6" i="33"/>
  <c r="BO6" i="33"/>
  <c r="BN6" i="33"/>
  <c r="BI6" i="33"/>
  <c r="BB6" i="33"/>
  <c r="AU6" i="33"/>
  <c r="AO6" i="33"/>
  <c r="AN6" i="33"/>
  <c r="AG6" i="33"/>
  <c r="BT6" i="33" s="1"/>
  <c r="AA6" i="33"/>
  <c r="Z6" i="33"/>
  <c r="V6" i="33"/>
  <c r="U6" i="33"/>
  <c r="S6" i="33"/>
  <c r="Q6" i="33"/>
  <c r="P6" i="33"/>
  <c r="BQ5" i="33"/>
  <c r="BQ22" i="33" s="1"/>
  <c r="BP5" i="33"/>
  <c r="BO5" i="33"/>
  <c r="BO22" i="33" s="1"/>
  <c r="BN5" i="33"/>
  <c r="BI5" i="33"/>
  <c r="BB5" i="33"/>
  <c r="AV5" i="33"/>
  <c r="AU5" i="33"/>
  <c r="AO5" i="33"/>
  <c r="AN5" i="33"/>
  <c r="AG5" i="33"/>
  <c r="AA5" i="33"/>
  <c r="AA23" i="33" s="1"/>
  <c r="Z5" i="33"/>
  <c r="Z23" i="33" s="1"/>
  <c r="V5" i="33"/>
  <c r="T5" i="33"/>
  <c r="S5" i="33"/>
  <c r="Q5" i="33"/>
  <c r="P5" i="33"/>
  <c r="I2" i="33"/>
  <c r="BQ34" i="32"/>
  <c r="I34" i="32"/>
  <c r="I33" i="32"/>
  <c r="I32" i="32"/>
  <c r="I31" i="32"/>
  <c r="I35" i="32" s="1"/>
  <c r="H26" i="32"/>
  <c r="H25" i="32"/>
  <c r="H24" i="32"/>
  <c r="H23" i="32"/>
  <c r="H18" i="32"/>
  <c r="H17" i="32"/>
  <c r="BQ16" i="32"/>
  <c r="BP16" i="32"/>
  <c r="BO16" i="32"/>
  <c r="BN16" i="32"/>
  <c r="AO16" i="32"/>
  <c r="AN16" i="32"/>
  <c r="AH16" i="32"/>
  <c r="AG16" i="32"/>
  <c r="AA16" i="32"/>
  <c r="Z16" i="32"/>
  <c r="V16" i="32"/>
  <c r="S16" i="32"/>
  <c r="U16" i="32" s="1"/>
  <c r="R16" i="32"/>
  <c r="P16" i="32"/>
  <c r="BQ15" i="32"/>
  <c r="BP15" i="32"/>
  <c r="BO15" i="32"/>
  <c r="BN15" i="32"/>
  <c r="AO15" i="32"/>
  <c r="AN15" i="32"/>
  <c r="AH15" i="32"/>
  <c r="AG15" i="32"/>
  <c r="AA15" i="32"/>
  <c r="Z15" i="32"/>
  <c r="V15" i="32"/>
  <c r="S15" i="32"/>
  <c r="U15" i="32" s="1"/>
  <c r="Q15" i="32"/>
  <c r="P15" i="32"/>
  <c r="BQ14" i="32"/>
  <c r="BP14" i="32"/>
  <c r="BO14" i="32"/>
  <c r="BN14" i="32"/>
  <c r="BI14" i="32"/>
  <c r="BB14" i="32"/>
  <c r="AU14" i="32"/>
  <c r="AO14" i="32"/>
  <c r="AN14" i="32"/>
  <c r="AH14" i="32"/>
  <c r="AG14" i="32"/>
  <c r="AA14" i="32"/>
  <c r="Z14" i="32"/>
  <c r="V14" i="32"/>
  <c r="S14" i="32"/>
  <c r="U14" i="32" s="1"/>
  <c r="R14" i="32"/>
  <c r="P14" i="32"/>
  <c r="BQ13" i="32"/>
  <c r="BP13" i="32"/>
  <c r="BO13" i="32"/>
  <c r="BN13" i="32"/>
  <c r="BI13" i="32"/>
  <c r="BB13" i="32"/>
  <c r="AU13" i="32"/>
  <c r="AO13" i="32"/>
  <c r="AN13" i="32"/>
  <c r="AH13" i="32"/>
  <c r="AG13" i="32"/>
  <c r="AA13" i="32"/>
  <c r="Z13" i="32"/>
  <c r="V13" i="32"/>
  <c r="U13" i="32"/>
  <c r="S13" i="32"/>
  <c r="P13" i="32"/>
  <c r="R13" i="32" s="1"/>
  <c r="BQ12" i="32"/>
  <c r="BP12" i="32"/>
  <c r="BO12" i="32"/>
  <c r="BN12" i="32"/>
  <c r="BN23" i="32" s="1"/>
  <c r="BI12" i="32"/>
  <c r="BB12" i="32"/>
  <c r="AU12" i="32"/>
  <c r="AO12" i="32"/>
  <c r="AN12" i="32"/>
  <c r="AH12" i="32"/>
  <c r="AG12" i="32"/>
  <c r="AA12" i="32"/>
  <c r="Z12" i="32"/>
  <c r="V12" i="32"/>
  <c r="S12" i="32"/>
  <c r="U12" i="32" s="1"/>
  <c r="R12" i="32"/>
  <c r="P12" i="32"/>
  <c r="BQ11" i="32"/>
  <c r="BP11" i="32"/>
  <c r="BO11" i="32"/>
  <c r="BN11" i="32"/>
  <c r="BI11" i="32"/>
  <c r="BB11" i="32"/>
  <c r="AU11" i="32"/>
  <c r="AN11" i="32"/>
  <c r="AG11" i="32"/>
  <c r="AA11" i="32"/>
  <c r="AA24" i="32" s="1"/>
  <c r="Z11" i="32"/>
  <c r="V11" i="32"/>
  <c r="S11" i="32"/>
  <c r="U11" i="32" s="1"/>
  <c r="U24" i="32" s="1"/>
  <c r="Q11" i="32"/>
  <c r="P11" i="32"/>
  <c r="R11" i="32" s="1"/>
  <c r="R24" i="32" s="1"/>
  <c r="BQ10" i="32"/>
  <c r="BQ25" i="32" s="1"/>
  <c r="BP10" i="32"/>
  <c r="BP25" i="32" s="1"/>
  <c r="BO10" i="32"/>
  <c r="BO25" i="32" s="1"/>
  <c r="BN10" i="32"/>
  <c r="BI10" i="32"/>
  <c r="BB10" i="32"/>
  <c r="AU10" i="32"/>
  <c r="AN10" i="32"/>
  <c r="AG10" i="32"/>
  <c r="BU10" i="32" s="1"/>
  <c r="BU25" i="32" s="1"/>
  <c r="AA10" i="32"/>
  <c r="AA26" i="32" s="1"/>
  <c r="Z10" i="32"/>
  <c r="Z26" i="32" s="1"/>
  <c r="V10" i="32"/>
  <c r="S10" i="32"/>
  <c r="U10" i="32" s="1"/>
  <c r="U26" i="32" s="1"/>
  <c r="P10" i="32"/>
  <c r="R10" i="32" s="1"/>
  <c r="R26" i="32" s="1"/>
  <c r="BQ9" i="32"/>
  <c r="BP9" i="32"/>
  <c r="BO9" i="32"/>
  <c r="BN9" i="32"/>
  <c r="BI9" i="32"/>
  <c r="BB9" i="32"/>
  <c r="AU9" i="32"/>
  <c r="AO9" i="32"/>
  <c r="AN9" i="32"/>
  <c r="AH9" i="32"/>
  <c r="AG9" i="32"/>
  <c r="BS9" i="32" s="1"/>
  <c r="AA9" i="32"/>
  <c r="Z9" i="32"/>
  <c r="V9" i="32"/>
  <c r="T9" i="32"/>
  <c r="U9" i="32" s="1"/>
  <c r="S9" i="32"/>
  <c r="P9" i="32"/>
  <c r="R9" i="32" s="1"/>
  <c r="BQ8" i="32"/>
  <c r="BP8" i="32"/>
  <c r="BO8" i="32"/>
  <c r="BN8" i="32"/>
  <c r="BI8" i="32"/>
  <c r="BB8" i="32"/>
  <c r="AU8" i="32"/>
  <c r="AO8" i="32"/>
  <c r="AN8" i="32"/>
  <c r="BU8" i="32" s="1"/>
  <c r="AH8" i="32"/>
  <c r="AG8" i="32"/>
  <c r="AA8" i="32"/>
  <c r="Z8" i="32"/>
  <c r="V8" i="32"/>
  <c r="T8" i="32"/>
  <c r="S8" i="32"/>
  <c r="U8" i="32" s="1"/>
  <c r="Q8" i="32"/>
  <c r="P8" i="32"/>
  <c r="BQ7" i="32"/>
  <c r="BP7" i="32"/>
  <c r="BP24" i="32" s="1"/>
  <c r="BO7" i="32"/>
  <c r="BN7" i="32"/>
  <c r="BI7" i="32"/>
  <c r="BB7" i="32"/>
  <c r="AU7" i="32"/>
  <c r="AO7" i="32"/>
  <c r="AN7" i="32"/>
  <c r="AG7" i="32"/>
  <c r="BT7" i="32" s="1"/>
  <c r="AA7" i="32"/>
  <c r="AA25" i="32" s="1"/>
  <c r="Z7" i="32"/>
  <c r="V7" i="32"/>
  <c r="T7" i="32"/>
  <c r="S7" i="32"/>
  <c r="Q7" i="32"/>
  <c r="P7" i="32"/>
  <c r="R7" i="32" s="1"/>
  <c r="BQ6" i="32"/>
  <c r="BP6" i="32"/>
  <c r="BO6" i="32"/>
  <c r="BN6" i="32"/>
  <c r="BI6" i="32"/>
  <c r="BB6" i="32"/>
  <c r="AU6" i="32"/>
  <c r="AO6" i="32"/>
  <c r="AN6" i="32"/>
  <c r="AG6" i="32"/>
  <c r="AA6" i="32"/>
  <c r="Z6" i="32"/>
  <c r="V6" i="32"/>
  <c r="U6" i="32"/>
  <c r="S6" i="32"/>
  <c r="Q6" i="32"/>
  <c r="R6" i="32" s="1"/>
  <c r="P6" i="32"/>
  <c r="BQ5" i="32"/>
  <c r="BP5" i="32"/>
  <c r="BO5" i="32"/>
  <c r="BN5" i="32"/>
  <c r="BN22" i="32" s="1"/>
  <c r="BI5" i="32"/>
  <c r="BB5" i="32"/>
  <c r="AV5" i="32"/>
  <c r="AU5" i="32"/>
  <c r="AO5" i="32"/>
  <c r="AN5" i="32"/>
  <c r="AG5" i="32"/>
  <c r="BS5" i="32" s="1"/>
  <c r="AA5" i="32"/>
  <c r="AA23" i="32" s="1"/>
  <c r="Z5" i="32"/>
  <c r="V5" i="32"/>
  <c r="T5" i="32"/>
  <c r="U5" i="32" s="1"/>
  <c r="U23" i="32" s="1"/>
  <c r="S5" i="32"/>
  <c r="Q5" i="32"/>
  <c r="P5" i="32"/>
  <c r="R5" i="32" s="1"/>
  <c r="I2" i="32"/>
  <c r="BQ34" i="30"/>
  <c r="I34" i="30"/>
  <c r="I33" i="30"/>
  <c r="I32" i="30"/>
  <c r="I31" i="30"/>
  <c r="H26" i="30"/>
  <c r="H25" i="30"/>
  <c r="H24" i="30"/>
  <c r="H28" i="30" s="1"/>
  <c r="I23" i="30" s="1"/>
  <c r="H23" i="30"/>
  <c r="H18" i="30"/>
  <c r="H17" i="30"/>
  <c r="BQ16" i="30"/>
  <c r="BP16" i="30"/>
  <c r="BO16" i="30"/>
  <c r="BN16" i="30"/>
  <c r="AO16" i="30"/>
  <c r="AN16" i="30"/>
  <c r="AH16" i="30"/>
  <c r="AG16" i="30"/>
  <c r="BS16" i="30" s="1"/>
  <c r="AA16" i="30"/>
  <c r="Z16" i="30"/>
  <c r="V16" i="30"/>
  <c r="U16" i="30"/>
  <c r="S16" i="30"/>
  <c r="R16" i="30"/>
  <c r="P16" i="30"/>
  <c r="BQ15" i="30"/>
  <c r="BP15" i="30"/>
  <c r="BO15" i="30"/>
  <c r="BN15" i="30"/>
  <c r="AO15" i="30"/>
  <c r="AN15" i="30"/>
  <c r="AH15" i="30"/>
  <c r="AG15" i="30"/>
  <c r="AA15" i="30"/>
  <c r="Z15" i="30"/>
  <c r="V15" i="30"/>
  <c r="S15" i="30"/>
  <c r="U15" i="30" s="1"/>
  <c r="Q15" i="30"/>
  <c r="P15" i="30"/>
  <c r="BQ14" i="30"/>
  <c r="BP14" i="30"/>
  <c r="BO14" i="30"/>
  <c r="BN14" i="30"/>
  <c r="BI14" i="30"/>
  <c r="BB14" i="30"/>
  <c r="AU14" i="30"/>
  <c r="AO14" i="30"/>
  <c r="AN14" i="30"/>
  <c r="AH14" i="30"/>
  <c r="AG14" i="30"/>
  <c r="BR14" i="30" s="1"/>
  <c r="AA14" i="30"/>
  <c r="Z14" i="30"/>
  <c r="V14" i="30"/>
  <c r="U14" i="30"/>
  <c r="S14" i="30"/>
  <c r="R14" i="30"/>
  <c r="P14" i="30"/>
  <c r="BQ13" i="30"/>
  <c r="BP13" i="30"/>
  <c r="BO13" i="30"/>
  <c r="BN13" i="30"/>
  <c r="BI13" i="30"/>
  <c r="BB13" i="30"/>
  <c r="AU13" i="30"/>
  <c r="AO13" i="30"/>
  <c r="AN13" i="30"/>
  <c r="BU13" i="30" s="1"/>
  <c r="AH13" i="30"/>
  <c r="AG13" i="30"/>
  <c r="AA13" i="30"/>
  <c r="Z13" i="30"/>
  <c r="V13" i="30"/>
  <c r="U13" i="30"/>
  <c r="S13" i="30"/>
  <c r="R13" i="30"/>
  <c r="P13" i="30"/>
  <c r="BQ12" i="30"/>
  <c r="BP12" i="30"/>
  <c r="BO12" i="30"/>
  <c r="BN12" i="30"/>
  <c r="BI12" i="30"/>
  <c r="BB12" i="30"/>
  <c r="AU12" i="30"/>
  <c r="AO12" i="30"/>
  <c r="AN12" i="30"/>
  <c r="AH12" i="30"/>
  <c r="AG12" i="30"/>
  <c r="BR12" i="30" s="1"/>
  <c r="AA12" i="30"/>
  <c r="Z12" i="30"/>
  <c r="V12" i="30"/>
  <c r="U12" i="30"/>
  <c r="S12" i="30"/>
  <c r="R12" i="30"/>
  <c r="P12" i="30"/>
  <c r="BQ11" i="30"/>
  <c r="BQ23" i="30" s="1"/>
  <c r="BP11" i="30"/>
  <c r="BO11" i="30"/>
  <c r="BO23" i="30" s="1"/>
  <c r="BN11" i="30"/>
  <c r="BN23" i="30" s="1"/>
  <c r="BI11" i="30"/>
  <c r="BB11" i="30"/>
  <c r="AU11" i="30"/>
  <c r="AN11" i="30"/>
  <c r="AG11" i="30"/>
  <c r="BT11" i="30" s="1"/>
  <c r="AA11" i="30"/>
  <c r="AA24" i="30" s="1"/>
  <c r="Z11" i="30"/>
  <c r="Z24" i="30" s="1"/>
  <c r="V11" i="30"/>
  <c r="U11" i="30"/>
  <c r="U24" i="30" s="1"/>
  <c r="S11" i="30"/>
  <c r="Q11" i="30"/>
  <c r="P11" i="30"/>
  <c r="R11" i="30" s="1"/>
  <c r="R24" i="30" s="1"/>
  <c r="BQ10" i="30"/>
  <c r="BQ25" i="30" s="1"/>
  <c r="BP10" i="30"/>
  <c r="BP25" i="30" s="1"/>
  <c r="BO10" i="30"/>
  <c r="BO25" i="30" s="1"/>
  <c r="BN10" i="30"/>
  <c r="BN25" i="30" s="1"/>
  <c r="BI10" i="30"/>
  <c r="BB10" i="30"/>
  <c r="AU10" i="30"/>
  <c r="AN10" i="30"/>
  <c r="BT10" i="30" s="1"/>
  <c r="BT25" i="30" s="1"/>
  <c r="AG10" i="30"/>
  <c r="AA10" i="30"/>
  <c r="AA26" i="30" s="1"/>
  <c r="Z10" i="30"/>
  <c r="Z26" i="30" s="1"/>
  <c r="V10" i="30"/>
  <c r="S10" i="30"/>
  <c r="U10" i="30" s="1"/>
  <c r="U26" i="30" s="1"/>
  <c r="P10" i="30"/>
  <c r="R10" i="30" s="1"/>
  <c r="R26" i="30" s="1"/>
  <c r="BQ9" i="30"/>
  <c r="BP9" i="30"/>
  <c r="BO9" i="30"/>
  <c r="BN9" i="30"/>
  <c r="BI9" i="30"/>
  <c r="BB9" i="30"/>
  <c r="AU9" i="30"/>
  <c r="AO9" i="30"/>
  <c r="AN9" i="30"/>
  <c r="AH9" i="30"/>
  <c r="BT9" i="30" s="1"/>
  <c r="AG9" i="30"/>
  <c r="AA9" i="30"/>
  <c r="Z9" i="30"/>
  <c r="V9" i="30"/>
  <c r="T9" i="30"/>
  <c r="S9" i="30"/>
  <c r="U9" i="30" s="1"/>
  <c r="P9" i="30"/>
  <c r="R9" i="30" s="1"/>
  <c r="BQ8" i="30"/>
  <c r="BP8" i="30"/>
  <c r="BO8" i="30"/>
  <c r="BN8" i="30"/>
  <c r="BI8" i="30"/>
  <c r="BB8" i="30"/>
  <c r="AU8" i="30"/>
  <c r="AO8" i="30"/>
  <c r="AN8" i="30"/>
  <c r="AH8" i="30"/>
  <c r="AG8" i="30"/>
  <c r="AA8" i="30"/>
  <c r="Z8" i="30"/>
  <c r="V8" i="30"/>
  <c r="T8" i="30"/>
  <c r="U8" i="30" s="1"/>
  <c r="S8" i="30"/>
  <c r="Q8" i="30"/>
  <c r="R8" i="30" s="1"/>
  <c r="P8" i="30"/>
  <c r="BQ7" i="30"/>
  <c r="BQ24" i="30" s="1"/>
  <c r="BP7" i="30"/>
  <c r="BO7" i="30"/>
  <c r="BO24" i="30" s="1"/>
  <c r="BN7" i="30"/>
  <c r="BI7" i="30"/>
  <c r="BB7" i="30"/>
  <c r="AU7" i="30"/>
  <c r="AO7" i="30"/>
  <c r="AN7" i="30"/>
  <c r="BS7" i="30" s="1"/>
  <c r="AG7" i="30"/>
  <c r="AA7" i="30"/>
  <c r="Z7" i="30"/>
  <c r="Z25" i="30" s="1"/>
  <c r="V7" i="30"/>
  <c r="T7" i="30"/>
  <c r="S7" i="30"/>
  <c r="Q7" i="30"/>
  <c r="P7" i="30"/>
  <c r="R7" i="30" s="1"/>
  <c r="BQ6" i="30"/>
  <c r="BP6" i="30"/>
  <c r="BO6" i="30"/>
  <c r="BN6" i="30"/>
  <c r="BI6" i="30"/>
  <c r="BB6" i="30"/>
  <c r="AU6" i="30"/>
  <c r="AO6" i="30"/>
  <c r="AN6" i="30"/>
  <c r="AG6" i="30"/>
  <c r="AA6" i="30"/>
  <c r="Z6" i="30"/>
  <c r="V6" i="30"/>
  <c r="U6" i="30"/>
  <c r="S6" i="30"/>
  <c r="R6" i="30"/>
  <c r="Q6" i="30"/>
  <c r="P6" i="30"/>
  <c r="BQ5" i="30"/>
  <c r="BQ22" i="30" s="1"/>
  <c r="BP5" i="30"/>
  <c r="BP22" i="30" s="1"/>
  <c r="BO5" i="30"/>
  <c r="BN5" i="30"/>
  <c r="BI5" i="30"/>
  <c r="BB5" i="30"/>
  <c r="AV5" i="30"/>
  <c r="AU5" i="30"/>
  <c r="AO5" i="30"/>
  <c r="AN5" i="30"/>
  <c r="BT5" i="30" s="1"/>
  <c r="AG5" i="30"/>
  <c r="AA5" i="30"/>
  <c r="AA23" i="30" s="1"/>
  <c r="Z5" i="30"/>
  <c r="Z23" i="30" s="1"/>
  <c r="V5" i="30"/>
  <c r="T5" i="30"/>
  <c r="S5" i="30"/>
  <c r="U5" i="30" s="1"/>
  <c r="U23" i="30" s="1"/>
  <c r="Q5" i="30"/>
  <c r="R5" i="30" s="1"/>
  <c r="P5" i="30"/>
  <c r="I2" i="30"/>
  <c r="BM14" i="29"/>
  <c r="BN14" i="29"/>
  <c r="BO14" i="29"/>
  <c r="BP14" i="29"/>
  <c r="BM14" i="25"/>
  <c r="BN14" i="25"/>
  <c r="BO14" i="25"/>
  <c r="BP14" i="25"/>
  <c r="BM15" i="28"/>
  <c r="BN15" i="28"/>
  <c r="BO15" i="28"/>
  <c r="BP15" i="28"/>
  <c r="BQ15" i="28"/>
  <c r="BR15" i="28"/>
  <c r="BS15" i="28"/>
  <c r="BT15" i="28"/>
  <c r="BM14" i="27"/>
  <c r="BN14" i="27"/>
  <c r="BO14" i="27"/>
  <c r="BP14" i="27"/>
  <c r="BM14" i="22"/>
  <c r="BN14" i="22"/>
  <c r="BO14" i="22"/>
  <c r="BP14" i="22"/>
  <c r="BM14" i="10"/>
  <c r="BN14" i="10"/>
  <c r="BO14" i="10"/>
  <c r="BP14" i="10"/>
  <c r="BM14" i="28"/>
  <c r="BN14" i="28"/>
  <c r="BO14" i="28"/>
  <c r="BP14" i="28"/>
  <c r="BM14" i="23"/>
  <c r="BN14" i="23"/>
  <c r="BO14" i="23"/>
  <c r="BP14" i="23"/>
  <c r="BN14" i="17"/>
  <c r="BO14" i="17"/>
  <c r="BP14" i="17"/>
  <c r="BQ14" i="17"/>
  <c r="BN15" i="17"/>
  <c r="BO15" i="17"/>
  <c r="BP15" i="17"/>
  <c r="BQ15" i="17"/>
  <c r="BN16" i="17"/>
  <c r="BO16" i="17"/>
  <c r="BP16" i="17"/>
  <c r="BQ16" i="17"/>
  <c r="BN5" i="17"/>
  <c r="V15" i="17"/>
  <c r="V16" i="17"/>
  <c r="Z15" i="17"/>
  <c r="AA15" i="17"/>
  <c r="Z16" i="17"/>
  <c r="AA16" i="17"/>
  <c r="X15" i="29"/>
  <c r="X16" i="29"/>
  <c r="X17" i="29"/>
  <c r="X18" i="29"/>
  <c r="X15" i="25"/>
  <c r="X16" i="25"/>
  <c r="X17" i="25"/>
  <c r="X18" i="25"/>
  <c r="X15" i="24"/>
  <c r="X16" i="24"/>
  <c r="X17" i="24"/>
  <c r="X18" i="24"/>
  <c r="X15" i="23"/>
  <c r="X16" i="23"/>
  <c r="X17" i="23"/>
  <c r="X18" i="23"/>
  <c r="X15" i="10"/>
  <c r="X16" i="10"/>
  <c r="X17" i="10"/>
  <c r="X18" i="10"/>
  <c r="X15" i="22"/>
  <c r="X16" i="22"/>
  <c r="X17" i="22"/>
  <c r="X18" i="22"/>
  <c r="Y5" i="22"/>
  <c r="Y6" i="22"/>
  <c r="Y7" i="22"/>
  <c r="Y8" i="22"/>
  <c r="Y9" i="22"/>
  <c r="Y10" i="22"/>
  <c r="Y11" i="22"/>
  <c r="Y12" i="22"/>
  <c r="Y13" i="22"/>
  <c r="Y14" i="22"/>
  <c r="R5" i="35" l="1"/>
  <c r="BT5" i="35"/>
  <c r="BU7" i="35"/>
  <c r="BP24" i="35"/>
  <c r="BT9" i="35"/>
  <c r="BR10" i="35"/>
  <c r="BU11" i="35"/>
  <c r="BU13" i="35"/>
  <c r="R15" i="35"/>
  <c r="Z23" i="35"/>
  <c r="Z28" i="35" s="1"/>
  <c r="BQ22" i="35"/>
  <c r="BQ27" i="35" s="1"/>
  <c r="BT6" i="35"/>
  <c r="BR7" i="35"/>
  <c r="U8" i="35"/>
  <c r="U25" i="35" s="1"/>
  <c r="R11" i="35"/>
  <c r="R24" i="35" s="1"/>
  <c r="BU12" i="35"/>
  <c r="U23" i="35"/>
  <c r="R6" i="35"/>
  <c r="R23" i="35" s="1"/>
  <c r="R28" i="35" s="1"/>
  <c r="BU6" i="35"/>
  <c r="BU8" i="35"/>
  <c r="U9" i="35"/>
  <c r="BS11" i="35"/>
  <c r="BT14" i="35"/>
  <c r="BU15" i="35"/>
  <c r="BR5" i="35"/>
  <c r="BS12" i="35"/>
  <c r="BU14" i="35"/>
  <c r="BS15" i="35"/>
  <c r="H28" i="35"/>
  <c r="I24" i="35" s="1"/>
  <c r="U5" i="34"/>
  <c r="U23" i="34" s="1"/>
  <c r="BS5" i="34"/>
  <c r="BR6" i="34"/>
  <c r="BT7" i="34"/>
  <c r="BP24" i="34"/>
  <c r="U8" i="34"/>
  <c r="BR9" i="34"/>
  <c r="BR10" i="34"/>
  <c r="R11" i="34"/>
  <c r="R24" i="34" s="1"/>
  <c r="BR15" i="34"/>
  <c r="R5" i="34"/>
  <c r="BR5" i="34"/>
  <c r="BP22" i="34"/>
  <c r="BP27" i="34" s="1"/>
  <c r="BU7" i="34"/>
  <c r="BU8" i="34"/>
  <c r="BS11" i="34"/>
  <c r="BU12" i="34"/>
  <c r="BU13" i="34"/>
  <c r="BU14" i="34"/>
  <c r="BS15" i="34"/>
  <c r="H28" i="34"/>
  <c r="I23" i="34" s="1"/>
  <c r="BN27" i="34"/>
  <c r="AA25" i="34"/>
  <c r="AA28" i="34" s="1"/>
  <c r="BS7" i="34"/>
  <c r="U9" i="34"/>
  <c r="BS9" i="34"/>
  <c r="BU10" i="34"/>
  <c r="BU25" i="34" s="1"/>
  <c r="U5" i="33"/>
  <c r="U23" i="33" s="1"/>
  <c r="BN22" i="33"/>
  <c r="BN27" i="33" s="1"/>
  <c r="R6" i="33"/>
  <c r="BS6" i="33"/>
  <c r="Z25" i="33"/>
  <c r="BR7" i="33"/>
  <c r="BN24" i="33"/>
  <c r="BU8" i="33"/>
  <c r="U9" i="33"/>
  <c r="U25" i="33" s="1"/>
  <c r="Z24" i="33"/>
  <c r="BS11" i="33"/>
  <c r="BO23" i="33"/>
  <c r="BR14" i="33"/>
  <c r="BU15" i="33"/>
  <c r="R25" i="33"/>
  <c r="R24" i="33"/>
  <c r="BR5" i="33"/>
  <c r="BR9" i="33"/>
  <c r="BT10" i="33"/>
  <c r="BT25" i="33" s="1"/>
  <c r="BP23" i="33"/>
  <c r="BS12" i="33"/>
  <c r="BU14" i="33"/>
  <c r="BS15" i="33"/>
  <c r="H28" i="33"/>
  <c r="I26" i="33" s="1"/>
  <c r="Z28" i="33"/>
  <c r="BO27" i="33"/>
  <c r="BR6" i="33"/>
  <c r="AA25" i="33"/>
  <c r="AA28" i="33" s="1"/>
  <c r="BS7" i="33"/>
  <c r="R5" i="33"/>
  <c r="BT5" i="33"/>
  <c r="BP22" i="33"/>
  <c r="BP27" i="33" s="1"/>
  <c r="BU7" i="33"/>
  <c r="BP24" i="33"/>
  <c r="BT9" i="33"/>
  <c r="BR10" i="33"/>
  <c r="BR25" i="33" s="1"/>
  <c r="BU11" i="33"/>
  <c r="BQ23" i="33"/>
  <c r="BR12" i="33"/>
  <c r="BU13" i="33"/>
  <c r="R15" i="33"/>
  <c r="I24" i="33"/>
  <c r="I35" i="33"/>
  <c r="U7" i="32"/>
  <c r="BO24" i="32"/>
  <c r="BR9" i="32"/>
  <c r="Z24" i="32"/>
  <c r="BO23" i="32"/>
  <c r="BT13" i="32"/>
  <c r="BT16" i="32"/>
  <c r="H28" i="32"/>
  <c r="I23" i="32" s="1"/>
  <c r="BP22" i="32"/>
  <c r="BQ24" i="32"/>
  <c r="BU9" i="32"/>
  <c r="BR10" i="32"/>
  <c r="BQ23" i="32"/>
  <c r="BR12" i="32"/>
  <c r="BU13" i="32"/>
  <c r="BR14" i="32"/>
  <c r="R15" i="32"/>
  <c r="R23" i="32" s="1"/>
  <c r="I25" i="32"/>
  <c r="BU5" i="32"/>
  <c r="Z23" i="32"/>
  <c r="Z25" i="32"/>
  <c r="R8" i="32"/>
  <c r="R25" i="32" s="1"/>
  <c r="BT8" i="32"/>
  <c r="BR15" i="32"/>
  <c r="I26" i="32"/>
  <c r="R25" i="30"/>
  <c r="I26" i="30"/>
  <c r="BN24" i="30"/>
  <c r="BT8" i="30"/>
  <c r="BR15" i="30"/>
  <c r="AA25" i="30"/>
  <c r="AA28" i="30" s="1"/>
  <c r="BR9" i="30"/>
  <c r="BT13" i="30"/>
  <c r="BS15" i="30"/>
  <c r="BT16" i="30"/>
  <c r="BP23" i="30"/>
  <c r="BP27" i="30" s="1"/>
  <c r="BR5" i="30"/>
  <c r="BS6" i="30"/>
  <c r="BU5" i="30"/>
  <c r="BO22" i="30"/>
  <c r="BO27" i="30" s="1"/>
  <c r="U7" i="30"/>
  <c r="BT7" i="30"/>
  <c r="BP24" i="30"/>
  <c r="BU8" i="30"/>
  <c r="BU9" i="30"/>
  <c r="BU10" i="30"/>
  <c r="BU25" i="30" s="1"/>
  <c r="R15" i="30"/>
  <c r="R23" i="30" s="1"/>
  <c r="R28" i="30" s="1"/>
  <c r="I35" i="30"/>
  <c r="BT6" i="36"/>
  <c r="BU14" i="36"/>
  <c r="BT9" i="36"/>
  <c r="BR12" i="36"/>
  <c r="U25" i="36"/>
  <c r="AA25" i="36"/>
  <c r="Z25" i="36"/>
  <c r="BU9" i="36"/>
  <c r="BR10" i="36"/>
  <c r="BR25" i="36" s="1"/>
  <c r="BS6" i="36"/>
  <c r="BT8" i="36"/>
  <c r="BU12" i="36"/>
  <c r="BU13" i="36"/>
  <c r="U23" i="36"/>
  <c r="BU5" i="36"/>
  <c r="R24" i="36"/>
  <c r="BS11" i="36"/>
  <c r="BT14" i="36"/>
  <c r="BT5" i="36"/>
  <c r="BU6" i="36"/>
  <c r="BR14" i="36"/>
  <c r="BS15" i="36"/>
  <c r="BS16" i="36"/>
  <c r="BR6" i="36"/>
  <c r="BU11" i="36"/>
  <c r="BS12" i="36"/>
  <c r="BT13" i="36"/>
  <c r="BQ24" i="36"/>
  <c r="BS14" i="36"/>
  <c r="BO22" i="36"/>
  <c r="BU8" i="36"/>
  <c r="BP23" i="36"/>
  <c r="BT16" i="36"/>
  <c r="BP22" i="36"/>
  <c r="BN22" i="36"/>
  <c r="BU7" i="36"/>
  <c r="BP24" i="36"/>
  <c r="BN24" i="36"/>
  <c r="BQ22" i="36"/>
  <c r="BO24" i="36"/>
  <c r="BO23" i="36"/>
  <c r="BR5" i="36"/>
  <c r="BR9" i="36"/>
  <c r="BN23" i="36"/>
  <c r="H28" i="36"/>
  <c r="I24" i="36" s="1"/>
  <c r="BX19" i="36"/>
  <c r="BW10" i="36" s="1"/>
  <c r="BW25" i="36" s="1"/>
  <c r="AK45" i="36" s="1"/>
  <c r="Z24" i="36"/>
  <c r="Z28" i="36" s="1"/>
  <c r="AA23" i="36"/>
  <c r="I26" i="36"/>
  <c r="R25" i="36"/>
  <c r="U24" i="36"/>
  <c r="BT11" i="36"/>
  <c r="BS5" i="36"/>
  <c r="BS22" i="36" s="1"/>
  <c r="BR7" i="36"/>
  <c r="BR8" i="36"/>
  <c r="BS9" i="36"/>
  <c r="BS10" i="36"/>
  <c r="BS25" i="36" s="1"/>
  <c r="BR11" i="36"/>
  <c r="BT12" i="36"/>
  <c r="BR13" i="36"/>
  <c r="BT15" i="36"/>
  <c r="BU16" i="36"/>
  <c r="BU10" i="36"/>
  <c r="BU25" i="36" s="1"/>
  <c r="BR15" i="36"/>
  <c r="BS7" i="36"/>
  <c r="BS8" i="36"/>
  <c r="BT10" i="36"/>
  <c r="BT25" i="36" s="1"/>
  <c r="BS13" i="36"/>
  <c r="BU15" i="36"/>
  <c r="BR16" i="36"/>
  <c r="BT7" i="36"/>
  <c r="BT24" i="36" s="1"/>
  <c r="BP27" i="35"/>
  <c r="BR25" i="35"/>
  <c r="BS5" i="35"/>
  <c r="BR8" i="35"/>
  <c r="BS9" i="35"/>
  <c r="BS10" i="35"/>
  <c r="BS25" i="35" s="1"/>
  <c r="BR11" i="35"/>
  <c r="BT12" i="35"/>
  <c r="BR13" i="35"/>
  <c r="BT15" i="35"/>
  <c r="BT22" i="35" s="1"/>
  <c r="BU16" i="35"/>
  <c r="BU23" i="35" s="1"/>
  <c r="BS8" i="35"/>
  <c r="BS24" i="35" s="1"/>
  <c r="BS13" i="35"/>
  <c r="BR16" i="35"/>
  <c r="BU5" i="35"/>
  <c r="BU22" i="35" s="1"/>
  <c r="BS6" i="35"/>
  <c r="X6" i="35" s="1"/>
  <c r="Y6" i="35" s="1"/>
  <c r="BT7" i="35"/>
  <c r="BT8" i="35"/>
  <c r="BU9" i="35"/>
  <c r="BU24" i="35" s="1"/>
  <c r="BU10" i="35"/>
  <c r="BU25" i="35" s="1"/>
  <c r="BT11" i="35"/>
  <c r="BR12" i="35"/>
  <c r="BT13" i="35"/>
  <c r="BR14" i="35"/>
  <c r="X14" i="35" s="1"/>
  <c r="Y14" i="35" s="1"/>
  <c r="BR15" i="35"/>
  <c r="X15" i="35" s="1"/>
  <c r="Y15" i="35" s="1"/>
  <c r="BS16" i="35"/>
  <c r="I23" i="35"/>
  <c r="BO24" i="34"/>
  <c r="BQ22" i="34"/>
  <c r="BQ27" i="34" s="1"/>
  <c r="BO22" i="34"/>
  <c r="BO27" i="34" s="1"/>
  <c r="U25" i="34"/>
  <c r="Z28" i="34"/>
  <c r="U28" i="34"/>
  <c r="R23" i="34"/>
  <c r="R28" i="34" s="1"/>
  <c r="BR22" i="34"/>
  <c r="BR25" i="34"/>
  <c r="BU6" i="34"/>
  <c r="BR7" i="34"/>
  <c r="BR8" i="34"/>
  <c r="BS10" i="34"/>
  <c r="BS25" i="34" s="1"/>
  <c r="BR11" i="34"/>
  <c r="BT12" i="34"/>
  <c r="BR13" i="34"/>
  <c r="BT14" i="34"/>
  <c r="BT15" i="34"/>
  <c r="BU16" i="34"/>
  <c r="BU23" i="34" s="1"/>
  <c r="BT5" i="34"/>
  <c r="BT22" i="34" s="1"/>
  <c r="BS8" i="34"/>
  <c r="BS24" i="34" s="1"/>
  <c r="BT9" i="34"/>
  <c r="BS13" i="34"/>
  <c r="BS23" i="34" s="1"/>
  <c r="BU15" i="34"/>
  <c r="BR16" i="34"/>
  <c r="X16" i="34" s="1"/>
  <c r="Y16" i="34" s="1"/>
  <c r="BU5" i="34"/>
  <c r="BS6" i="34"/>
  <c r="X6" i="34" s="1"/>
  <c r="Y6" i="34" s="1"/>
  <c r="BT8" i="34"/>
  <c r="BT24" i="34" s="1"/>
  <c r="BU9" i="34"/>
  <c r="BU24" i="34" s="1"/>
  <c r="BT11" i="34"/>
  <c r="BR12" i="34"/>
  <c r="X12" i="34" s="1"/>
  <c r="Y12" i="34" s="1"/>
  <c r="BT13" i="34"/>
  <c r="BR14" i="34"/>
  <c r="X14" i="34" s="1"/>
  <c r="Y14" i="34" s="1"/>
  <c r="BS16" i="34"/>
  <c r="R23" i="33"/>
  <c r="R28" i="33" s="1"/>
  <c r="BQ27" i="33"/>
  <c r="BS5" i="33"/>
  <c r="BS22" i="33" s="1"/>
  <c r="BU6" i="33"/>
  <c r="X6" i="33" s="1"/>
  <c r="Y6" i="33" s="1"/>
  <c r="BR8" i="33"/>
  <c r="BS9" i="33"/>
  <c r="X9" i="33" s="1"/>
  <c r="Y9" i="33" s="1"/>
  <c r="BS10" i="33"/>
  <c r="BS25" i="33" s="1"/>
  <c r="BR11" i="33"/>
  <c r="BT12" i="33"/>
  <c r="BR13" i="33"/>
  <c r="BT14" i="33"/>
  <c r="X14" i="33" s="1"/>
  <c r="Y14" i="33" s="1"/>
  <c r="BT15" i="33"/>
  <c r="BT22" i="33" s="1"/>
  <c r="BU16" i="33"/>
  <c r="BS8" i="33"/>
  <c r="BS24" i="33" s="1"/>
  <c r="BS13" i="33"/>
  <c r="BR16" i="33"/>
  <c r="BU5" i="33"/>
  <c r="BT7" i="33"/>
  <c r="BT8" i="33"/>
  <c r="BU9" i="33"/>
  <c r="BU24" i="33" s="1"/>
  <c r="BU10" i="33"/>
  <c r="BU25" i="33" s="1"/>
  <c r="BT13" i="33"/>
  <c r="BR15" i="33"/>
  <c r="BS16" i="33"/>
  <c r="I23" i="33"/>
  <c r="BT10" i="32"/>
  <c r="BT25" i="32" s="1"/>
  <c r="BS7" i="32"/>
  <c r="BO22" i="32"/>
  <c r="BO27" i="32" s="1"/>
  <c r="BS6" i="32"/>
  <c r="BS16" i="32"/>
  <c r="BU15" i="32"/>
  <c r="BP23" i="32"/>
  <c r="BP27" i="32" s="1"/>
  <c r="BT11" i="32"/>
  <c r="BN24" i="32"/>
  <c r="BQ22" i="32"/>
  <c r="BQ27" i="32" s="1"/>
  <c r="U25" i="32"/>
  <c r="U28" i="32" s="1"/>
  <c r="Z28" i="32"/>
  <c r="BR25" i="32"/>
  <c r="AA28" i="32"/>
  <c r="BR5" i="32"/>
  <c r="BU11" i="32"/>
  <c r="BS12" i="32"/>
  <c r="BS14" i="32"/>
  <c r="BS15" i="32"/>
  <c r="BU6" i="32"/>
  <c r="BU22" i="32" s="1"/>
  <c r="BR7" i="32"/>
  <c r="BR8" i="32"/>
  <c r="BS10" i="32"/>
  <c r="BS25" i="32" s="1"/>
  <c r="BR11" i="32"/>
  <c r="BT12" i="32"/>
  <c r="BR13" i="32"/>
  <c r="BT14" i="32"/>
  <c r="BT15" i="32"/>
  <c r="BU16" i="32"/>
  <c r="BN25" i="32"/>
  <c r="BT5" i="32"/>
  <c r="BR6" i="32"/>
  <c r="X6" i="32" s="1"/>
  <c r="Y6" i="32" s="1"/>
  <c r="BT9" i="32"/>
  <c r="BT24" i="32" s="1"/>
  <c r="BU12" i="32"/>
  <c r="BS13" i="32"/>
  <c r="BU14" i="32"/>
  <c r="BR16" i="32"/>
  <c r="X16" i="32" s="1"/>
  <c r="Y16" i="32" s="1"/>
  <c r="BT6" i="32"/>
  <c r="BU7" i="32"/>
  <c r="BU24" i="32" s="1"/>
  <c r="BS8" i="32"/>
  <c r="BS24" i="32" s="1"/>
  <c r="BS11" i="32"/>
  <c r="Z28" i="30"/>
  <c r="BQ27" i="30"/>
  <c r="U25" i="30"/>
  <c r="BT24" i="30"/>
  <c r="I25" i="30"/>
  <c r="U28" i="30"/>
  <c r="BU7" i="30"/>
  <c r="BU24" i="30" s="1"/>
  <c r="BR10" i="30"/>
  <c r="BN22" i="30"/>
  <c r="BN27" i="30" s="1"/>
  <c r="BS5" i="30"/>
  <c r="BS22" i="30" s="1"/>
  <c r="BU6" i="30"/>
  <c r="BR7" i="30"/>
  <c r="BR8" i="30"/>
  <c r="BS9" i="30"/>
  <c r="X9" i="30" s="1"/>
  <c r="Y9" i="30" s="1"/>
  <c r="BS10" i="30"/>
  <c r="BS25" i="30" s="1"/>
  <c r="BR11" i="30"/>
  <c r="BT12" i="30"/>
  <c r="BR13" i="30"/>
  <c r="BT14" i="30"/>
  <c r="BT15" i="30"/>
  <c r="BU16" i="30"/>
  <c r="I24" i="30"/>
  <c r="BT6" i="30"/>
  <c r="BT22" i="30" s="1"/>
  <c r="BS12" i="30"/>
  <c r="X12" i="30" s="1"/>
  <c r="Y12" i="30" s="1"/>
  <c r="BS14" i="30"/>
  <c r="BR6" i="30"/>
  <c r="BR22" i="30" s="1"/>
  <c r="BS8" i="30"/>
  <c r="BS24" i="30" s="1"/>
  <c r="BS11" i="30"/>
  <c r="BU12" i="30"/>
  <c r="BS13" i="30"/>
  <c r="BU14" i="30"/>
  <c r="BU15" i="30"/>
  <c r="X15" i="30" s="1"/>
  <c r="Y15" i="30" s="1"/>
  <c r="BR16" i="30"/>
  <c r="X16" i="30" s="1"/>
  <c r="Y16" i="30" s="1"/>
  <c r="BU11" i="30"/>
  <c r="Q6" i="9"/>
  <c r="Q7" i="9"/>
  <c r="Q8" i="9"/>
  <c r="Q9" i="9"/>
  <c r="Q10" i="9"/>
  <c r="Q11" i="9"/>
  <c r="Q12" i="9"/>
  <c r="Q13" i="9"/>
  <c r="Q14" i="9"/>
  <c r="Q15" i="9"/>
  <c r="Q5" i="9"/>
  <c r="BP34" i="29"/>
  <c r="I34" i="29"/>
  <c r="I33" i="29"/>
  <c r="I32" i="29"/>
  <c r="I31" i="29"/>
  <c r="H26" i="29"/>
  <c r="H25" i="29"/>
  <c r="H24" i="29"/>
  <c r="H23" i="29"/>
  <c r="H18" i="29"/>
  <c r="H17" i="29"/>
  <c r="H16" i="29"/>
  <c r="BH14" i="29"/>
  <c r="BA14" i="29"/>
  <c r="AT14" i="29"/>
  <c r="AG14" i="29"/>
  <c r="AF14" i="29"/>
  <c r="Z14" i="29"/>
  <c r="Y14" i="29"/>
  <c r="U14" i="29"/>
  <c r="R14" i="29"/>
  <c r="T14" i="29" s="1"/>
  <c r="P14" i="29"/>
  <c r="O14" i="29"/>
  <c r="Q14" i="29" s="1"/>
  <c r="BP13" i="29"/>
  <c r="BO13" i="29"/>
  <c r="BN13" i="29"/>
  <c r="BM13" i="29"/>
  <c r="BH13" i="29"/>
  <c r="BA13" i="29"/>
  <c r="AT13" i="29"/>
  <c r="AG13" i="29"/>
  <c r="AF13" i="29"/>
  <c r="Z13" i="29"/>
  <c r="Y13" i="29"/>
  <c r="U13" i="29"/>
  <c r="R13" i="29"/>
  <c r="T13" i="29" s="1"/>
  <c r="P13" i="29"/>
  <c r="O13" i="29"/>
  <c r="Q13" i="29" s="1"/>
  <c r="BP12" i="29"/>
  <c r="BO12" i="29"/>
  <c r="BN12" i="29"/>
  <c r="BM12" i="29"/>
  <c r="BH12" i="29"/>
  <c r="BA12" i="29"/>
  <c r="AT12" i="29"/>
  <c r="AN12" i="29"/>
  <c r="AM12" i="29"/>
  <c r="AG12" i="29"/>
  <c r="AF12" i="29"/>
  <c r="Z12" i="29"/>
  <c r="Y12" i="29"/>
  <c r="U12" i="29"/>
  <c r="R12" i="29"/>
  <c r="T12" i="29" s="1"/>
  <c r="P12" i="29"/>
  <c r="O12" i="29"/>
  <c r="BP11" i="29"/>
  <c r="BP23" i="29" s="1"/>
  <c r="BO11" i="29"/>
  <c r="BO23" i="29" s="1"/>
  <c r="BN11" i="29"/>
  <c r="BN23" i="29" s="1"/>
  <c r="BM11" i="29"/>
  <c r="BH11" i="29"/>
  <c r="BA11" i="29"/>
  <c r="AT11" i="29"/>
  <c r="AN11" i="29"/>
  <c r="AM11" i="29"/>
  <c r="AG11" i="29"/>
  <c r="AF11" i="29"/>
  <c r="BS11" i="29" s="1"/>
  <c r="Z11" i="29"/>
  <c r="Z24" i="29" s="1"/>
  <c r="Y11" i="29"/>
  <c r="Y24" i="29" s="1"/>
  <c r="U11" i="29"/>
  <c r="T11" i="29"/>
  <c r="R11" i="29"/>
  <c r="P11" i="29"/>
  <c r="O11" i="29"/>
  <c r="BP10" i="29"/>
  <c r="BP25" i="29" s="1"/>
  <c r="BO10" i="29"/>
  <c r="BO25" i="29" s="1"/>
  <c r="BN10" i="29"/>
  <c r="BN25" i="29" s="1"/>
  <c r="BM10" i="29"/>
  <c r="BM25" i="29" s="1"/>
  <c r="BH10" i="29"/>
  <c r="BA10" i="29"/>
  <c r="AT10" i="29"/>
  <c r="AN10" i="29"/>
  <c r="AM10" i="29"/>
  <c r="BT10" i="29" s="1"/>
  <c r="BT25" i="29" s="1"/>
  <c r="AG10" i="29"/>
  <c r="AF10" i="29"/>
  <c r="Z10" i="29"/>
  <c r="Z26" i="29" s="1"/>
  <c r="Y10" i="29"/>
  <c r="Y26" i="29" s="1"/>
  <c r="U10" i="29"/>
  <c r="R10" i="29"/>
  <c r="T10" i="29" s="1"/>
  <c r="T26" i="29" s="1"/>
  <c r="O10" i="29"/>
  <c r="BP9" i="29"/>
  <c r="BO9" i="29"/>
  <c r="BN9" i="29"/>
  <c r="BM9" i="29"/>
  <c r="BH9" i="29"/>
  <c r="BA9" i="29"/>
  <c r="AT9" i="29"/>
  <c r="AN9" i="29"/>
  <c r="AM9" i="29"/>
  <c r="AG9" i="29"/>
  <c r="AF9" i="29"/>
  <c r="Z9" i="29"/>
  <c r="Y9" i="29"/>
  <c r="U9" i="29"/>
  <c r="R9" i="29"/>
  <c r="T9" i="29" s="1"/>
  <c r="O9" i="29"/>
  <c r="Q9" i="29" s="1"/>
  <c r="BP8" i="29"/>
  <c r="BO8" i="29"/>
  <c r="BN8" i="29"/>
  <c r="BM8" i="29"/>
  <c r="BH8" i="29"/>
  <c r="BA8" i="29"/>
  <c r="AT8" i="29"/>
  <c r="AN8" i="29"/>
  <c r="AM8" i="29"/>
  <c r="AG8" i="29"/>
  <c r="AF8" i="29"/>
  <c r="Z8" i="29"/>
  <c r="Y8" i="29"/>
  <c r="U8" i="29"/>
  <c r="S8" i="29"/>
  <c r="T8" i="29" s="1"/>
  <c r="R8" i="29"/>
  <c r="P8" i="29"/>
  <c r="O8" i="29"/>
  <c r="Q8" i="29" s="1"/>
  <c r="BP7" i="29"/>
  <c r="BO7" i="29"/>
  <c r="BO24" i="29" s="1"/>
  <c r="BN7" i="29"/>
  <c r="BM7" i="29"/>
  <c r="BH7" i="29"/>
  <c r="BA7" i="29"/>
  <c r="AT7" i="29"/>
  <c r="AN7" i="29"/>
  <c r="AM7" i="29"/>
  <c r="BT7" i="29" s="1"/>
  <c r="AG7" i="29"/>
  <c r="AF7" i="29"/>
  <c r="Z7" i="29"/>
  <c r="Y7" i="29"/>
  <c r="Y25" i="29" s="1"/>
  <c r="U7" i="29"/>
  <c r="S7" i="29"/>
  <c r="R7" i="29"/>
  <c r="T7" i="29" s="1"/>
  <c r="P7" i="29"/>
  <c r="O7" i="29"/>
  <c r="Q7" i="29" s="1"/>
  <c r="Q25" i="29" s="1"/>
  <c r="BP6" i="29"/>
  <c r="BO6" i="29"/>
  <c r="BN6" i="29"/>
  <c r="BM6" i="29"/>
  <c r="BH6" i="29"/>
  <c r="BA6" i="29"/>
  <c r="AT6" i="29"/>
  <c r="AN6" i="29"/>
  <c r="AM6" i="29"/>
  <c r="BT6" i="29" s="1"/>
  <c r="AG6" i="29"/>
  <c r="AF6" i="29"/>
  <c r="Z6" i="29"/>
  <c r="Y6" i="29"/>
  <c r="U6" i="29"/>
  <c r="R6" i="29"/>
  <c r="T6" i="29" s="1"/>
  <c r="O6" i="29"/>
  <c r="Q6" i="29" s="1"/>
  <c r="BH5" i="29"/>
  <c r="BA5" i="29"/>
  <c r="AU5" i="29"/>
  <c r="AT5" i="29"/>
  <c r="AO5" i="29"/>
  <c r="BP5" i="29" s="1"/>
  <c r="AM5" i="29"/>
  <c r="AG5" i="29"/>
  <c r="AF5" i="29"/>
  <c r="Z5" i="29"/>
  <c r="Z23" i="29" s="1"/>
  <c r="Y5" i="29"/>
  <c r="Y23" i="29" s="1"/>
  <c r="Y28" i="29" s="1"/>
  <c r="U5" i="29"/>
  <c r="S5" i="29"/>
  <c r="R5" i="29"/>
  <c r="T5" i="29" s="1"/>
  <c r="T23" i="29" s="1"/>
  <c r="O5" i="29"/>
  <c r="Q5" i="29" s="1"/>
  <c r="I2" i="29"/>
  <c r="BP34" i="28"/>
  <c r="I34" i="28"/>
  <c r="I33" i="28"/>
  <c r="I32" i="28"/>
  <c r="I35" i="28" s="1"/>
  <c r="I31" i="28"/>
  <c r="H26" i="28"/>
  <c r="H25" i="28"/>
  <c r="H24" i="28"/>
  <c r="H23" i="28"/>
  <c r="H18" i="28"/>
  <c r="H17" i="28"/>
  <c r="H16" i="28"/>
  <c r="BH14" i="28"/>
  <c r="BA14" i="28"/>
  <c r="AT14" i="28"/>
  <c r="AG14" i="28"/>
  <c r="AF14" i="28"/>
  <c r="Z14" i="28"/>
  <c r="Y14" i="28"/>
  <c r="U14" i="28"/>
  <c r="T14" i="28"/>
  <c r="R14" i="28"/>
  <c r="P14" i="28"/>
  <c r="O14" i="28"/>
  <c r="BP13" i="28"/>
  <c r="BO13" i="28"/>
  <c r="BN13" i="28"/>
  <c r="BM13" i="28"/>
  <c r="BH13" i="28"/>
  <c r="BA13" i="28"/>
  <c r="AT13" i="28"/>
  <c r="BR13" i="28" s="1"/>
  <c r="AG13" i="28"/>
  <c r="AF13" i="28"/>
  <c r="Z13" i="28"/>
  <c r="Y13" i="28"/>
  <c r="U13" i="28"/>
  <c r="T13" i="28"/>
  <c r="R13" i="28"/>
  <c r="P13" i="28"/>
  <c r="O13" i="28"/>
  <c r="BP12" i="28"/>
  <c r="BO12" i="28"/>
  <c r="BN12" i="28"/>
  <c r="BM12" i="28"/>
  <c r="BH12" i="28"/>
  <c r="BA12" i="28"/>
  <c r="AT12" i="28"/>
  <c r="AN12" i="28"/>
  <c r="AM12" i="28"/>
  <c r="AG12" i="28"/>
  <c r="AF12" i="28"/>
  <c r="BR12" i="28" s="1"/>
  <c r="Z12" i="28"/>
  <c r="Y12" i="28"/>
  <c r="U12" i="28"/>
  <c r="T12" i="28"/>
  <c r="R12" i="28"/>
  <c r="P12" i="28"/>
  <c r="O12" i="28"/>
  <c r="BP11" i="28"/>
  <c r="BP23" i="28" s="1"/>
  <c r="BO11" i="28"/>
  <c r="BO23" i="28" s="1"/>
  <c r="BN11" i="28"/>
  <c r="BN23" i="28" s="1"/>
  <c r="BM11" i="28"/>
  <c r="BM23" i="28" s="1"/>
  <c r="BH11" i="28"/>
  <c r="BA11" i="28"/>
  <c r="AT11" i="28"/>
  <c r="AN11" i="28"/>
  <c r="AM11" i="28"/>
  <c r="AG11" i="28"/>
  <c r="AF11" i="28"/>
  <c r="Z11" i="28"/>
  <c r="Z24" i="28" s="1"/>
  <c r="Y11" i="28"/>
  <c r="Y24" i="28" s="1"/>
  <c r="U11" i="28"/>
  <c r="R11" i="28"/>
  <c r="T11" i="28" s="1"/>
  <c r="T24" i="28" s="1"/>
  <c r="P11" i="28"/>
  <c r="O11" i="28"/>
  <c r="Q11" i="28" s="1"/>
  <c r="BP10" i="28"/>
  <c r="BP25" i="28" s="1"/>
  <c r="BO10" i="28"/>
  <c r="BO25" i="28" s="1"/>
  <c r="BN10" i="28"/>
  <c r="BN25" i="28" s="1"/>
  <c r="BM10" i="28"/>
  <c r="BM25" i="28" s="1"/>
  <c r="BH10" i="28"/>
  <c r="BA10" i="28"/>
  <c r="AT10" i="28"/>
  <c r="AN10" i="28"/>
  <c r="AM10" i="28"/>
  <c r="AG10" i="28"/>
  <c r="AF10" i="28"/>
  <c r="Z10" i="28"/>
  <c r="Z26" i="28" s="1"/>
  <c r="Y10" i="28"/>
  <c r="Y26" i="28" s="1"/>
  <c r="U10" i="28"/>
  <c r="R10" i="28"/>
  <c r="T10" i="28" s="1"/>
  <c r="T26" i="28" s="1"/>
  <c r="O10" i="28"/>
  <c r="Q10" i="28" s="1"/>
  <c r="Q26" i="28" s="1"/>
  <c r="BP9" i="28"/>
  <c r="BO9" i="28"/>
  <c r="BN9" i="28"/>
  <c r="BM9" i="28"/>
  <c r="BH9" i="28"/>
  <c r="BA9" i="28"/>
  <c r="AT9" i="28"/>
  <c r="AN9" i="28"/>
  <c r="AM9" i="28"/>
  <c r="AG9" i="28"/>
  <c r="BS9" i="28" s="1"/>
  <c r="AF9" i="28"/>
  <c r="Z9" i="28"/>
  <c r="Y9" i="28"/>
  <c r="U9" i="28"/>
  <c r="R9" i="28"/>
  <c r="T9" i="28" s="1"/>
  <c r="O9" i="28"/>
  <c r="Q9" i="28" s="1"/>
  <c r="BP8" i="28"/>
  <c r="BO8" i="28"/>
  <c r="BN8" i="28"/>
  <c r="BM8" i="28"/>
  <c r="BH8" i="28"/>
  <c r="BA8" i="28"/>
  <c r="AT8" i="28"/>
  <c r="AN8" i="28"/>
  <c r="AM8" i="28"/>
  <c r="AG8" i="28"/>
  <c r="AF8" i="28"/>
  <c r="Z8" i="28"/>
  <c r="Y8" i="28"/>
  <c r="U8" i="28"/>
  <c r="S8" i="28"/>
  <c r="R8" i="28"/>
  <c r="P8" i="28"/>
  <c r="O8" i="28"/>
  <c r="BP7" i="28"/>
  <c r="BO7" i="28"/>
  <c r="BN7" i="28"/>
  <c r="BN24" i="28" s="1"/>
  <c r="BM7" i="28"/>
  <c r="BM24" i="28" s="1"/>
  <c r="BH7" i="28"/>
  <c r="BA7" i="28"/>
  <c r="AT7" i="28"/>
  <c r="AN7" i="28"/>
  <c r="AM7" i="28"/>
  <c r="AG7" i="28"/>
  <c r="AF7" i="28"/>
  <c r="BR7" i="28" s="1"/>
  <c r="Z7" i="28"/>
  <c r="Z25" i="28" s="1"/>
  <c r="Y7" i="28"/>
  <c r="U7" i="28"/>
  <c r="S7" i="28"/>
  <c r="R7" i="28"/>
  <c r="P7" i="28"/>
  <c r="O7" i="28"/>
  <c r="Q7" i="28" s="1"/>
  <c r="BP6" i="28"/>
  <c r="BO6" i="28"/>
  <c r="BN6" i="28"/>
  <c r="BM6" i="28"/>
  <c r="BH6" i="28"/>
  <c r="BA6" i="28"/>
  <c r="AT6" i="28"/>
  <c r="AN6" i="28"/>
  <c r="AM6" i="28"/>
  <c r="AG6" i="28"/>
  <c r="AF6" i="28"/>
  <c r="Z6" i="28"/>
  <c r="Y6" i="28"/>
  <c r="U6" i="28"/>
  <c r="R6" i="28"/>
  <c r="T6" i="28" s="1"/>
  <c r="O6" i="28"/>
  <c r="Q6" i="28" s="1"/>
  <c r="BH5" i="28"/>
  <c r="BA5" i="28"/>
  <c r="AU5" i="28"/>
  <c r="AT5" i="28"/>
  <c r="AO5" i="28"/>
  <c r="BP5" i="28" s="1"/>
  <c r="AM5" i="28"/>
  <c r="AG5" i="28"/>
  <c r="AF5" i="28"/>
  <c r="Z5" i="28"/>
  <c r="Y5" i="28"/>
  <c r="U5" i="28"/>
  <c r="S5" i="28"/>
  <c r="T5" i="28" s="1"/>
  <c r="T23" i="28" s="1"/>
  <c r="R5" i="28"/>
  <c r="Q23" i="28"/>
  <c r="O5" i="28"/>
  <c r="Q5" i="28" s="1"/>
  <c r="I2" i="28"/>
  <c r="BP34" i="27"/>
  <c r="I34" i="27"/>
  <c r="I33" i="27"/>
  <c r="I32" i="27"/>
  <c r="I31" i="27"/>
  <c r="I35" i="27" s="1"/>
  <c r="H26" i="27"/>
  <c r="H25" i="27"/>
  <c r="H24" i="27"/>
  <c r="H23" i="27"/>
  <c r="H28" i="27" s="1"/>
  <c r="H18" i="27"/>
  <c r="H17" i="27"/>
  <c r="H16" i="27"/>
  <c r="BH14" i="27"/>
  <c r="BA14" i="27"/>
  <c r="AT14" i="27"/>
  <c r="AG14" i="27"/>
  <c r="AF14" i="27"/>
  <c r="BQ14" i="27" s="1"/>
  <c r="Z14" i="27"/>
  <c r="Y14" i="27"/>
  <c r="U14" i="27"/>
  <c r="R14" i="27"/>
  <c r="T14" i="27" s="1"/>
  <c r="P14" i="27"/>
  <c r="O14" i="27"/>
  <c r="Q14" i="27" s="1"/>
  <c r="BP13" i="27"/>
  <c r="BO13" i="27"/>
  <c r="BN13" i="27"/>
  <c r="BM13" i="27"/>
  <c r="BH13" i="27"/>
  <c r="BA13" i="27"/>
  <c r="BS13" i="27" s="1"/>
  <c r="AT13" i="27"/>
  <c r="AG13" i="27"/>
  <c r="AF13" i="27"/>
  <c r="Z13" i="27"/>
  <c r="Y13" i="27"/>
  <c r="U13" i="27"/>
  <c r="R13" i="27"/>
  <c r="T13" i="27" s="1"/>
  <c r="P13" i="27"/>
  <c r="O13" i="27"/>
  <c r="Q13" i="27" s="1"/>
  <c r="BP12" i="27"/>
  <c r="BO12" i="27"/>
  <c r="BN12" i="27"/>
  <c r="BM12" i="27"/>
  <c r="BH12" i="27"/>
  <c r="BA12" i="27"/>
  <c r="AT12" i="27"/>
  <c r="AN12" i="27"/>
  <c r="AM12" i="27"/>
  <c r="AG12" i="27"/>
  <c r="BQ12" i="27" s="1"/>
  <c r="AF12" i="27"/>
  <c r="Z12" i="27"/>
  <c r="Y12" i="27"/>
  <c r="U12" i="27"/>
  <c r="R12" i="27"/>
  <c r="T12" i="27" s="1"/>
  <c r="P12" i="27"/>
  <c r="O12" i="27"/>
  <c r="Q12" i="27" s="1"/>
  <c r="BP11" i="27"/>
  <c r="BO11" i="27"/>
  <c r="BN11" i="27"/>
  <c r="BN23" i="27" s="1"/>
  <c r="BM11" i="27"/>
  <c r="BM23" i="27" s="1"/>
  <c r="BH11" i="27"/>
  <c r="BA11" i="27"/>
  <c r="AT11" i="27"/>
  <c r="AN11" i="27"/>
  <c r="AM11" i="27"/>
  <c r="AG11" i="27"/>
  <c r="AF11" i="27"/>
  <c r="Z11" i="27"/>
  <c r="Y11" i="27"/>
  <c r="Y24" i="27" s="1"/>
  <c r="U11" i="27"/>
  <c r="R11" i="27"/>
  <c r="T11" i="27" s="1"/>
  <c r="P11" i="27"/>
  <c r="O11" i="27"/>
  <c r="BP10" i="27"/>
  <c r="BP25" i="27" s="1"/>
  <c r="BO10" i="27"/>
  <c r="BO25" i="27" s="1"/>
  <c r="BN10" i="27"/>
  <c r="BN25" i="27" s="1"/>
  <c r="BM10" i="27"/>
  <c r="BM25" i="27" s="1"/>
  <c r="BH10" i="27"/>
  <c r="BA10" i="27"/>
  <c r="AT10" i="27"/>
  <c r="AN10" i="27"/>
  <c r="AM10" i="27"/>
  <c r="AG10" i="27"/>
  <c r="AF10" i="27"/>
  <c r="Z10" i="27"/>
  <c r="Z26" i="27" s="1"/>
  <c r="Y10" i="27"/>
  <c r="Y26" i="27" s="1"/>
  <c r="U10" i="27"/>
  <c r="R10" i="27"/>
  <c r="T10" i="27" s="1"/>
  <c r="T26" i="27" s="1"/>
  <c r="Q26" i="27"/>
  <c r="O10" i="27"/>
  <c r="Q10" i="27" s="1"/>
  <c r="BP9" i="27"/>
  <c r="BO9" i="27"/>
  <c r="BN9" i="27"/>
  <c r="BM9" i="27"/>
  <c r="BH9" i="27"/>
  <c r="BA9" i="27"/>
  <c r="AT9" i="27"/>
  <c r="AN9" i="27"/>
  <c r="AM9" i="27"/>
  <c r="AG9" i="27"/>
  <c r="BQ9" i="27" s="1"/>
  <c r="AF9" i="27"/>
  <c r="Z9" i="27"/>
  <c r="Y9" i="27"/>
  <c r="U9" i="27"/>
  <c r="T9" i="27"/>
  <c r="R9" i="27"/>
  <c r="O9" i="27"/>
  <c r="Q9" i="27" s="1"/>
  <c r="BP8" i="27"/>
  <c r="BO8" i="27"/>
  <c r="BN8" i="27"/>
  <c r="BM8" i="27"/>
  <c r="BH8" i="27"/>
  <c r="BA8" i="27"/>
  <c r="AT8" i="27"/>
  <c r="AN8" i="27"/>
  <c r="AM8" i="27"/>
  <c r="AG8" i="27"/>
  <c r="AF8" i="27"/>
  <c r="Z8" i="27"/>
  <c r="Y8" i="27"/>
  <c r="U8" i="27"/>
  <c r="S8" i="27"/>
  <c r="R8" i="27"/>
  <c r="T8" i="27" s="1"/>
  <c r="P8" i="27"/>
  <c r="O8" i="27"/>
  <c r="BP7" i="27"/>
  <c r="BP24" i="27" s="1"/>
  <c r="BO7" i="27"/>
  <c r="BO24" i="27" s="1"/>
  <c r="BN7" i="27"/>
  <c r="BM7" i="27"/>
  <c r="BM24" i="27" s="1"/>
  <c r="BH7" i="27"/>
  <c r="BA7" i="27"/>
  <c r="AT7" i="27"/>
  <c r="AN7" i="27"/>
  <c r="AM7" i="27"/>
  <c r="AG7" i="27"/>
  <c r="AF7" i="27"/>
  <c r="Z7" i="27"/>
  <c r="Z25" i="27" s="1"/>
  <c r="Y7" i="27"/>
  <c r="Y25" i="27" s="1"/>
  <c r="U7" i="27"/>
  <c r="S7" i="27"/>
  <c r="R7" i="27"/>
  <c r="T7" i="27" s="1"/>
  <c r="P7" i="27"/>
  <c r="O7" i="27"/>
  <c r="BP6" i="27"/>
  <c r="BO6" i="27"/>
  <c r="BN6" i="27"/>
  <c r="BM6" i="27"/>
  <c r="BH6" i="27"/>
  <c r="BA6" i="27"/>
  <c r="AT6" i="27"/>
  <c r="AN6" i="27"/>
  <c r="AM6" i="27"/>
  <c r="AG6" i="27"/>
  <c r="AF6" i="27"/>
  <c r="Z6" i="27"/>
  <c r="Y6" i="27"/>
  <c r="U6" i="27"/>
  <c r="R6" i="27"/>
  <c r="T6" i="27" s="1"/>
  <c r="O6" i="27"/>
  <c r="Q6" i="27" s="1"/>
  <c r="BH5" i="27"/>
  <c r="BA5" i="27"/>
  <c r="AU5" i="27"/>
  <c r="AT5" i="27"/>
  <c r="AO5" i="27"/>
  <c r="BP5" i="27" s="1"/>
  <c r="AM5" i="27"/>
  <c r="AG5" i="27"/>
  <c r="AF5" i="27"/>
  <c r="Z5" i="27"/>
  <c r="Z23" i="27" s="1"/>
  <c r="Y5" i="27"/>
  <c r="Y23" i="27" s="1"/>
  <c r="U5" i="27"/>
  <c r="S5" i="27"/>
  <c r="R5" i="27"/>
  <c r="T5" i="27" s="1"/>
  <c r="T23" i="27" s="1"/>
  <c r="Q23" i="27"/>
  <c r="O5" i="27"/>
  <c r="Q5" i="27" s="1"/>
  <c r="I2" i="27"/>
  <c r="BP34" i="25"/>
  <c r="I34" i="25"/>
  <c r="I33" i="25"/>
  <c r="I32" i="25"/>
  <c r="I31" i="25"/>
  <c r="H26" i="25"/>
  <c r="H25" i="25"/>
  <c r="H24" i="25"/>
  <c r="H23" i="25"/>
  <c r="H18" i="25"/>
  <c r="H17" i="25"/>
  <c r="H16" i="25"/>
  <c r="BH14" i="25"/>
  <c r="BA14" i="25"/>
  <c r="AT14" i="25"/>
  <c r="AG14" i="25"/>
  <c r="BQ14" i="25" s="1"/>
  <c r="AF14" i="25"/>
  <c r="Z14" i="25"/>
  <c r="Y14" i="25"/>
  <c r="U14" i="25"/>
  <c r="T14" i="25"/>
  <c r="R14" i="25"/>
  <c r="P14" i="25"/>
  <c r="O14" i="25"/>
  <c r="BP13" i="25"/>
  <c r="BO13" i="25"/>
  <c r="BN13" i="25"/>
  <c r="BM13" i="25"/>
  <c r="BH13" i="25"/>
  <c r="BA13" i="25"/>
  <c r="AT13" i="25"/>
  <c r="AG13" i="25"/>
  <c r="AF13" i="25"/>
  <c r="BS13" i="25" s="1"/>
  <c r="Z13" i="25"/>
  <c r="Y13" i="25"/>
  <c r="U13" i="25"/>
  <c r="T13" i="25"/>
  <c r="R13" i="25"/>
  <c r="P13" i="25"/>
  <c r="O13" i="25"/>
  <c r="BP12" i="25"/>
  <c r="BO12" i="25"/>
  <c r="BN12" i="25"/>
  <c r="BM12" i="25"/>
  <c r="BH12" i="25"/>
  <c r="BA12" i="25"/>
  <c r="AT12" i="25"/>
  <c r="AN12" i="25"/>
  <c r="AM12" i="25"/>
  <c r="AG12" i="25"/>
  <c r="AF12" i="25"/>
  <c r="Z12" i="25"/>
  <c r="Y12" i="25"/>
  <c r="U12" i="25"/>
  <c r="T12" i="25"/>
  <c r="R12" i="25"/>
  <c r="P12" i="25"/>
  <c r="O12" i="25"/>
  <c r="BP11" i="25"/>
  <c r="BO11" i="25"/>
  <c r="BO23" i="25" s="1"/>
  <c r="BN11" i="25"/>
  <c r="BN23" i="25" s="1"/>
  <c r="BM11" i="25"/>
  <c r="BM23" i="25" s="1"/>
  <c r="BH11" i="25"/>
  <c r="BA11" i="25"/>
  <c r="AT11" i="25"/>
  <c r="AN11" i="25"/>
  <c r="AM11" i="25"/>
  <c r="AG11" i="25"/>
  <c r="AF11" i="25"/>
  <c r="BS11" i="25" s="1"/>
  <c r="Z11" i="25"/>
  <c r="Y11" i="25"/>
  <c r="Y24" i="25" s="1"/>
  <c r="U11" i="25"/>
  <c r="T11" i="25"/>
  <c r="T24" i="25" s="1"/>
  <c r="R11" i="25"/>
  <c r="P11" i="25"/>
  <c r="O11" i="25"/>
  <c r="BP10" i="25"/>
  <c r="BP25" i="25" s="1"/>
  <c r="BO10" i="25"/>
  <c r="BO25" i="25" s="1"/>
  <c r="BN10" i="25"/>
  <c r="BN25" i="25" s="1"/>
  <c r="BM10" i="25"/>
  <c r="BM25" i="25" s="1"/>
  <c r="BH10" i="25"/>
  <c r="BA10" i="25"/>
  <c r="AT10" i="25"/>
  <c r="AN10" i="25"/>
  <c r="AM10" i="25"/>
  <c r="AG10" i="25"/>
  <c r="AF10" i="25"/>
  <c r="Z10" i="25"/>
  <c r="Z26" i="25" s="1"/>
  <c r="Y10" i="25"/>
  <c r="Y26" i="25" s="1"/>
  <c r="U10" i="25"/>
  <c r="R10" i="25"/>
  <c r="T10" i="25" s="1"/>
  <c r="T26" i="25" s="1"/>
  <c r="O10" i="25"/>
  <c r="BP9" i="25"/>
  <c r="BO9" i="25"/>
  <c r="BN9" i="25"/>
  <c r="BM9" i="25"/>
  <c r="BH9" i="25"/>
  <c r="BA9" i="25"/>
  <c r="AT9" i="25"/>
  <c r="AN9" i="25"/>
  <c r="AM9" i="25"/>
  <c r="AG9" i="25"/>
  <c r="AF9" i="25"/>
  <c r="Z9" i="25"/>
  <c r="Y9" i="25"/>
  <c r="U9" i="25"/>
  <c r="T9" i="25"/>
  <c r="R9" i="25"/>
  <c r="O9" i="25"/>
  <c r="Q9" i="25" s="1"/>
  <c r="BP8" i="25"/>
  <c r="BO8" i="25"/>
  <c r="BN8" i="25"/>
  <c r="BM8" i="25"/>
  <c r="BH8" i="25"/>
  <c r="BA8" i="25"/>
  <c r="AT8" i="25"/>
  <c r="AN8" i="25"/>
  <c r="AM8" i="25"/>
  <c r="AG8" i="25"/>
  <c r="AF8" i="25"/>
  <c r="Z8" i="25"/>
  <c r="Y8" i="25"/>
  <c r="U8" i="25"/>
  <c r="S8" i="25"/>
  <c r="R8" i="25"/>
  <c r="T8" i="25" s="1"/>
  <c r="P8" i="25"/>
  <c r="O8" i="25"/>
  <c r="Q8" i="25" s="1"/>
  <c r="BP7" i="25"/>
  <c r="BO7" i="25"/>
  <c r="BO24" i="25" s="1"/>
  <c r="BN7" i="25"/>
  <c r="BM7" i="25"/>
  <c r="BH7" i="25"/>
  <c r="BA7" i="25"/>
  <c r="AT7" i="25"/>
  <c r="AN7" i="25"/>
  <c r="AM7" i="25"/>
  <c r="AG7" i="25"/>
  <c r="BS7" i="25" s="1"/>
  <c r="AF7" i="25"/>
  <c r="Z7" i="25"/>
  <c r="Y7" i="25"/>
  <c r="U7" i="25"/>
  <c r="S7" i="25"/>
  <c r="R7" i="25"/>
  <c r="T7" i="25" s="1"/>
  <c r="P7" i="25"/>
  <c r="O7" i="25"/>
  <c r="BP6" i="25"/>
  <c r="BO6" i="25"/>
  <c r="BN6" i="25"/>
  <c r="BM6" i="25"/>
  <c r="BH6" i="25"/>
  <c r="BA6" i="25"/>
  <c r="AT6" i="25"/>
  <c r="AN6" i="25"/>
  <c r="AM6" i="25"/>
  <c r="AG6" i="25"/>
  <c r="AF6" i="25"/>
  <c r="Z6" i="25"/>
  <c r="Y6" i="25"/>
  <c r="U6" i="25"/>
  <c r="R6" i="25"/>
  <c r="T6" i="25" s="1"/>
  <c r="O6" i="25"/>
  <c r="Q6" i="25" s="1"/>
  <c r="BH5" i="25"/>
  <c r="BA5" i="25"/>
  <c r="AU5" i="25"/>
  <c r="AT5" i="25"/>
  <c r="AO5" i="25"/>
  <c r="BP5" i="25" s="1"/>
  <c r="BP22" i="25" s="1"/>
  <c r="AM5" i="25"/>
  <c r="AG5" i="25"/>
  <c r="AF5" i="25"/>
  <c r="Z5" i="25"/>
  <c r="Y5" i="25"/>
  <c r="U5" i="25"/>
  <c r="S5" i="25"/>
  <c r="R5" i="25"/>
  <c r="T5" i="25" s="1"/>
  <c r="T23" i="25" s="1"/>
  <c r="O5" i="25"/>
  <c r="Q5" i="25" s="1"/>
  <c r="Q23" i="25" s="1"/>
  <c r="I2" i="25"/>
  <c r="BP34" i="24"/>
  <c r="I34" i="24"/>
  <c r="I33" i="24"/>
  <c r="I32" i="24"/>
  <c r="I31" i="24"/>
  <c r="H26" i="24"/>
  <c r="H25" i="24"/>
  <c r="H24" i="24"/>
  <c r="H23" i="24"/>
  <c r="H18" i="24"/>
  <c r="H17" i="24"/>
  <c r="H16" i="24"/>
  <c r="BH14" i="24"/>
  <c r="BA14" i="24"/>
  <c r="AT14" i="24"/>
  <c r="AG14" i="24"/>
  <c r="AF14" i="24"/>
  <c r="Z14" i="24"/>
  <c r="Y14" i="24"/>
  <c r="W14" i="24"/>
  <c r="U14" i="24"/>
  <c r="T14" i="24"/>
  <c r="R14" i="24"/>
  <c r="P14" i="24"/>
  <c r="O14" i="24"/>
  <c r="BP13" i="24"/>
  <c r="BO13" i="24"/>
  <c r="BN13" i="24"/>
  <c r="BM13" i="24"/>
  <c r="BH13" i="24"/>
  <c r="BA13" i="24"/>
  <c r="AT13" i="24"/>
  <c r="AG13" i="24"/>
  <c r="AF13" i="24"/>
  <c r="BT13" i="24" s="1"/>
  <c r="Z13" i="24"/>
  <c r="Y13" i="24"/>
  <c r="U13" i="24"/>
  <c r="T13" i="24"/>
  <c r="R13" i="24"/>
  <c r="P13" i="24"/>
  <c r="O13" i="24"/>
  <c r="BP12" i="24"/>
  <c r="BO12" i="24"/>
  <c r="BN12" i="24"/>
  <c r="BM12" i="24"/>
  <c r="BH12" i="24"/>
  <c r="BA12" i="24"/>
  <c r="AT12" i="24"/>
  <c r="AN12" i="24"/>
  <c r="AM12" i="24"/>
  <c r="BT12" i="24" s="1"/>
  <c r="AG12" i="24"/>
  <c r="AF12" i="24"/>
  <c r="Z12" i="24"/>
  <c r="Y12" i="24"/>
  <c r="U12" i="24"/>
  <c r="T12" i="24"/>
  <c r="R12" i="24"/>
  <c r="P12" i="24"/>
  <c r="O12" i="24"/>
  <c r="BP11" i="24"/>
  <c r="BP23" i="24" s="1"/>
  <c r="BO11" i="24"/>
  <c r="BO23" i="24" s="1"/>
  <c r="BN11" i="24"/>
  <c r="BM11" i="24"/>
  <c r="BM23" i="24" s="1"/>
  <c r="BH11" i="24"/>
  <c r="BA11" i="24"/>
  <c r="AT11" i="24"/>
  <c r="AN11" i="24"/>
  <c r="AM11" i="24"/>
  <c r="AG11" i="24"/>
  <c r="AF11" i="24"/>
  <c r="Z11" i="24"/>
  <c r="Z24" i="24" s="1"/>
  <c r="Y11" i="24"/>
  <c r="Y24" i="24" s="1"/>
  <c r="U11" i="24"/>
  <c r="R11" i="24"/>
  <c r="T11" i="24" s="1"/>
  <c r="T24" i="24" s="1"/>
  <c r="P11" i="24"/>
  <c r="O11" i="24"/>
  <c r="BP10" i="24"/>
  <c r="BP25" i="24" s="1"/>
  <c r="BO10" i="24"/>
  <c r="BO25" i="24" s="1"/>
  <c r="BN10" i="24"/>
  <c r="BN25" i="24" s="1"/>
  <c r="BM10" i="24"/>
  <c r="BM25" i="24" s="1"/>
  <c r="BH10" i="24"/>
  <c r="BA10" i="24"/>
  <c r="AT10" i="24"/>
  <c r="AN10" i="24"/>
  <c r="AM10" i="24"/>
  <c r="AG10" i="24"/>
  <c r="AF10" i="24"/>
  <c r="BR10" i="24" s="1"/>
  <c r="BR25" i="24" s="1"/>
  <c r="Z10" i="24"/>
  <c r="Z26" i="24" s="1"/>
  <c r="Y10" i="24"/>
  <c r="Y26" i="24" s="1"/>
  <c r="U10" i="24"/>
  <c r="T10" i="24"/>
  <c r="T26" i="24" s="1"/>
  <c r="R10" i="24"/>
  <c r="Q26" i="24"/>
  <c r="O10" i="24"/>
  <c r="Q10" i="24" s="1"/>
  <c r="BP9" i="24"/>
  <c r="BO9" i="24"/>
  <c r="BN9" i="24"/>
  <c r="BM9" i="24"/>
  <c r="BH9" i="24"/>
  <c r="BA9" i="24"/>
  <c r="AT9" i="24"/>
  <c r="AN9" i="24"/>
  <c r="AM9" i="24"/>
  <c r="BT9" i="24" s="1"/>
  <c r="AG9" i="24"/>
  <c r="AF9" i="24"/>
  <c r="Z9" i="24"/>
  <c r="Y9" i="24"/>
  <c r="U9" i="24"/>
  <c r="T9" i="24"/>
  <c r="R9" i="24"/>
  <c r="O9" i="24"/>
  <c r="Q9" i="24" s="1"/>
  <c r="BP8" i="24"/>
  <c r="BO8" i="24"/>
  <c r="BN8" i="24"/>
  <c r="BM8" i="24"/>
  <c r="BH8" i="24"/>
  <c r="BA8" i="24"/>
  <c r="AT8" i="24"/>
  <c r="AN8" i="24"/>
  <c r="AM8" i="24"/>
  <c r="AG8" i="24"/>
  <c r="AF8" i="24"/>
  <c r="Z8" i="24"/>
  <c r="Y8" i="24"/>
  <c r="U8" i="24"/>
  <c r="S8" i="24"/>
  <c r="R8" i="24"/>
  <c r="T8" i="24" s="1"/>
  <c r="P8" i="24"/>
  <c r="O8" i="24"/>
  <c r="Q8" i="24" s="1"/>
  <c r="BP7" i="24"/>
  <c r="BO7" i="24"/>
  <c r="BN7" i="24"/>
  <c r="BM7" i="24"/>
  <c r="BM24" i="24" s="1"/>
  <c r="BH7" i="24"/>
  <c r="BA7" i="24"/>
  <c r="AT7" i="24"/>
  <c r="AN7" i="24"/>
  <c r="AM7" i="24"/>
  <c r="AG7" i="24"/>
  <c r="AF7" i="24"/>
  <c r="Z7" i="24"/>
  <c r="Z25" i="24" s="1"/>
  <c r="Y7" i="24"/>
  <c r="U7" i="24"/>
  <c r="S7" i="24"/>
  <c r="R7" i="24"/>
  <c r="T7" i="24" s="1"/>
  <c r="T25" i="24" s="1"/>
  <c r="P7" i="24"/>
  <c r="O7" i="24"/>
  <c r="BP6" i="24"/>
  <c r="BO6" i="24"/>
  <c r="BN6" i="24"/>
  <c r="BM6" i="24"/>
  <c r="BH6" i="24"/>
  <c r="BA6" i="24"/>
  <c r="AT6" i="24"/>
  <c r="AN6" i="24"/>
  <c r="AM6" i="24"/>
  <c r="AG6" i="24"/>
  <c r="AF6" i="24"/>
  <c r="Z6" i="24"/>
  <c r="Y6" i="24"/>
  <c r="U6" i="24"/>
  <c r="T6" i="24"/>
  <c r="R6" i="24"/>
  <c r="O6" i="24"/>
  <c r="Q6" i="24" s="1"/>
  <c r="BH5" i="24"/>
  <c r="BA5" i="24"/>
  <c r="AU5" i="24"/>
  <c r="AT5" i="24"/>
  <c r="AO5" i="24"/>
  <c r="BP5" i="24" s="1"/>
  <c r="AM5" i="24"/>
  <c r="AG5" i="24"/>
  <c r="AF5" i="24"/>
  <c r="Z5" i="24"/>
  <c r="Z23" i="24" s="1"/>
  <c r="Z28" i="24" s="1"/>
  <c r="Y5" i="24"/>
  <c r="U5" i="24"/>
  <c r="T5" i="24"/>
  <c r="T23" i="24" s="1"/>
  <c r="T28" i="24" s="1"/>
  <c r="S5" i="24"/>
  <c r="R5" i="24"/>
  <c r="O5" i="24"/>
  <c r="Q5" i="24" s="1"/>
  <c r="Q23" i="24" s="1"/>
  <c r="I2" i="24"/>
  <c r="BP34" i="23"/>
  <c r="I34" i="23"/>
  <c r="I33" i="23"/>
  <c r="I32" i="23"/>
  <c r="I31" i="23"/>
  <c r="H26" i="23"/>
  <c r="H25" i="23"/>
  <c r="H24" i="23"/>
  <c r="H23" i="23"/>
  <c r="H28" i="23" s="1"/>
  <c r="H18" i="23"/>
  <c r="H17" i="23"/>
  <c r="H16" i="23"/>
  <c r="BH14" i="23"/>
  <c r="BA14" i="23"/>
  <c r="AT14" i="23"/>
  <c r="AG14" i="23"/>
  <c r="AF14" i="23"/>
  <c r="Z14" i="23"/>
  <c r="Y14" i="23"/>
  <c r="U14" i="23"/>
  <c r="T14" i="23"/>
  <c r="R14" i="23"/>
  <c r="P14" i="23"/>
  <c r="O14" i="23"/>
  <c r="BP13" i="23"/>
  <c r="BO13" i="23"/>
  <c r="BN13" i="23"/>
  <c r="BM13" i="23"/>
  <c r="BH13" i="23"/>
  <c r="BA13" i="23"/>
  <c r="AT13" i="23"/>
  <c r="AG13" i="23"/>
  <c r="AF13" i="23"/>
  <c r="BS13" i="23" s="1"/>
  <c r="Z13" i="23"/>
  <c r="Y13" i="23"/>
  <c r="U13" i="23"/>
  <c r="T13" i="23"/>
  <c r="R13" i="23"/>
  <c r="P13" i="23"/>
  <c r="O13" i="23"/>
  <c r="BP12" i="23"/>
  <c r="BO12" i="23"/>
  <c r="BN12" i="23"/>
  <c r="BM12" i="23"/>
  <c r="BH12" i="23"/>
  <c r="BA12" i="23"/>
  <c r="AT12" i="23"/>
  <c r="AN12" i="23"/>
  <c r="AM12" i="23"/>
  <c r="AG12" i="23"/>
  <c r="AF12" i="23"/>
  <c r="Z12" i="23"/>
  <c r="Y12" i="23"/>
  <c r="U12" i="23"/>
  <c r="R12" i="23"/>
  <c r="T12" i="23" s="1"/>
  <c r="P12" i="23"/>
  <c r="O12" i="23"/>
  <c r="Q12" i="23" s="1"/>
  <c r="BP11" i="23"/>
  <c r="BP23" i="23" s="1"/>
  <c r="BO11" i="23"/>
  <c r="BO23" i="23" s="1"/>
  <c r="BN11" i="23"/>
  <c r="BN23" i="23" s="1"/>
  <c r="BM11" i="23"/>
  <c r="BH11" i="23"/>
  <c r="BA11" i="23"/>
  <c r="AT11" i="23"/>
  <c r="AN11" i="23"/>
  <c r="AM11" i="23"/>
  <c r="AG11" i="23"/>
  <c r="AF11" i="23"/>
  <c r="Z11" i="23"/>
  <c r="Z24" i="23" s="1"/>
  <c r="Y11" i="23"/>
  <c r="Y24" i="23" s="1"/>
  <c r="U11" i="23"/>
  <c r="R11" i="23"/>
  <c r="T11" i="23" s="1"/>
  <c r="P11" i="23"/>
  <c r="O11" i="23"/>
  <c r="BP10" i="23"/>
  <c r="BP25" i="23" s="1"/>
  <c r="BO10" i="23"/>
  <c r="BO25" i="23" s="1"/>
  <c r="BN10" i="23"/>
  <c r="BN25" i="23" s="1"/>
  <c r="BM10" i="23"/>
  <c r="BM25" i="23" s="1"/>
  <c r="BH10" i="23"/>
  <c r="BA10" i="23"/>
  <c r="AT10" i="23"/>
  <c r="AN10" i="23"/>
  <c r="AM10" i="23"/>
  <c r="AG10" i="23"/>
  <c r="AF10" i="23"/>
  <c r="BR10" i="23" s="1"/>
  <c r="BR25" i="23" s="1"/>
  <c r="Z10" i="23"/>
  <c r="Z26" i="23" s="1"/>
  <c r="Y10" i="23"/>
  <c r="Y26" i="23" s="1"/>
  <c r="U10" i="23"/>
  <c r="R10" i="23"/>
  <c r="T10" i="23" s="1"/>
  <c r="T26" i="23" s="1"/>
  <c r="O10" i="23"/>
  <c r="BP9" i="23"/>
  <c r="BO9" i="23"/>
  <c r="BN9" i="23"/>
  <c r="BM9" i="23"/>
  <c r="BH9" i="23"/>
  <c r="BA9" i="23"/>
  <c r="AT9" i="23"/>
  <c r="AN9" i="23"/>
  <c r="AM9" i="23"/>
  <c r="AG9" i="23"/>
  <c r="AF9" i="23"/>
  <c r="BT9" i="23" s="1"/>
  <c r="Z9" i="23"/>
  <c r="Y9" i="23"/>
  <c r="U9" i="23"/>
  <c r="R9" i="23"/>
  <c r="T9" i="23" s="1"/>
  <c r="O9" i="23"/>
  <c r="Q9" i="23" s="1"/>
  <c r="BP8" i="23"/>
  <c r="BO8" i="23"/>
  <c r="BN8" i="23"/>
  <c r="BM8" i="23"/>
  <c r="BH8" i="23"/>
  <c r="BA8" i="23"/>
  <c r="AT8" i="23"/>
  <c r="AN8" i="23"/>
  <c r="AM8" i="23"/>
  <c r="AG8" i="23"/>
  <c r="AF8" i="23"/>
  <c r="BR8" i="23" s="1"/>
  <c r="Z8" i="23"/>
  <c r="Y8" i="23"/>
  <c r="U8" i="23"/>
  <c r="S8" i="23"/>
  <c r="T8" i="23" s="1"/>
  <c r="R8" i="23"/>
  <c r="P8" i="23"/>
  <c r="O8" i="23"/>
  <c r="Q8" i="23" s="1"/>
  <c r="BP7" i="23"/>
  <c r="BP24" i="23" s="1"/>
  <c r="BO7" i="23"/>
  <c r="BO24" i="23" s="1"/>
  <c r="BN7" i="23"/>
  <c r="BM7" i="23"/>
  <c r="BH7" i="23"/>
  <c r="BA7" i="23"/>
  <c r="AT7" i="23"/>
  <c r="AN7" i="23"/>
  <c r="AM7" i="23"/>
  <c r="AG7" i="23"/>
  <c r="AF7" i="23"/>
  <c r="Z7" i="23"/>
  <c r="Z25" i="23" s="1"/>
  <c r="Y7" i="23"/>
  <c r="Y25" i="23" s="1"/>
  <c r="U7" i="23"/>
  <c r="S7" i="23"/>
  <c r="R7" i="23"/>
  <c r="P7" i="23"/>
  <c r="O7" i="23"/>
  <c r="BP6" i="23"/>
  <c r="BO6" i="23"/>
  <c r="BN6" i="23"/>
  <c r="BM6" i="23"/>
  <c r="BH6" i="23"/>
  <c r="BA6" i="23"/>
  <c r="AT6" i="23"/>
  <c r="AN6" i="23"/>
  <c r="AM6" i="23"/>
  <c r="AG6" i="23"/>
  <c r="AF6" i="23"/>
  <c r="Z6" i="23"/>
  <c r="Y6" i="23"/>
  <c r="U6" i="23"/>
  <c r="T6" i="23"/>
  <c r="R6" i="23"/>
  <c r="O6" i="23"/>
  <c r="Q6" i="23" s="1"/>
  <c r="BO5" i="23"/>
  <c r="BN5" i="23"/>
  <c r="BH5" i="23"/>
  <c r="BA5" i="23"/>
  <c r="AU5" i="23"/>
  <c r="AT5" i="23"/>
  <c r="AO5" i="23"/>
  <c r="BP5" i="23" s="1"/>
  <c r="BP22" i="23" s="1"/>
  <c r="AM5" i="23"/>
  <c r="AG5" i="23"/>
  <c r="BS5" i="23" s="1"/>
  <c r="AF5" i="23"/>
  <c r="Z5" i="23"/>
  <c r="Z23" i="23" s="1"/>
  <c r="Z28" i="23" s="1"/>
  <c r="Y5" i="23"/>
  <c r="Y23" i="23" s="1"/>
  <c r="U5" i="23"/>
  <c r="S5" i="23"/>
  <c r="R5" i="23"/>
  <c r="T5" i="23" s="1"/>
  <c r="T23" i="23" s="1"/>
  <c r="O5" i="23"/>
  <c r="I2" i="23"/>
  <c r="BP34" i="22"/>
  <c r="I34" i="22"/>
  <c r="I33" i="22"/>
  <c r="I32" i="22"/>
  <c r="I31" i="22"/>
  <c r="H26" i="22"/>
  <c r="H25" i="22"/>
  <c r="H24" i="22"/>
  <c r="H23" i="22"/>
  <c r="H18" i="22"/>
  <c r="H17" i="22"/>
  <c r="H16" i="22"/>
  <c r="BH14" i="22"/>
  <c r="BA14" i="22"/>
  <c r="AT14" i="22"/>
  <c r="AG14" i="22"/>
  <c r="AF14" i="22"/>
  <c r="Z14" i="22"/>
  <c r="U14" i="22"/>
  <c r="R14" i="22"/>
  <c r="T14" i="22" s="1"/>
  <c r="P14" i="22"/>
  <c r="O14" i="22"/>
  <c r="BP13" i="22"/>
  <c r="BO13" i="22"/>
  <c r="BN13" i="22"/>
  <c r="BM13" i="22"/>
  <c r="BH13" i="22"/>
  <c r="BA13" i="22"/>
  <c r="AT13" i="22"/>
  <c r="AG13" i="22"/>
  <c r="AF13" i="22"/>
  <c r="Z13" i="22"/>
  <c r="U13" i="22"/>
  <c r="R13" i="22"/>
  <c r="T13" i="22" s="1"/>
  <c r="P13" i="22"/>
  <c r="O13" i="22"/>
  <c r="Q13" i="22" s="1"/>
  <c r="BP12" i="22"/>
  <c r="BO12" i="22"/>
  <c r="BN12" i="22"/>
  <c r="BM12" i="22"/>
  <c r="BH12" i="22"/>
  <c r="BA12" i="22"/>
  <c r="AT12" i="22"/>
  <c r="AN12" i="22"/>
  <c r="AM12" i="22"/>
  <c r="AG12" i="22"/>
  <c r="AF12" i="22"/>
  <c r="Z12" i="22"/>
  <c r="U12" i="22"/>
  <c r="R12" i="22"/>
  <c r="T12" i="22" s="1"/>
  <c r="P12" i="22"/>
  <c r="O12" i="22"/>
  <c r="Q12" i="22" s="1"/>
  <c r="BP11" i="22"/>
  <c r="BP23" i="22" s="1"/>
  <c r="BO11" i="22"/>
  <c r="BO23" i="22" s="1"/>
  <c r="BN11" i="22"/>
  <c r="BN23" i="22" s="1"/>
  <c r="BM11" i="22"/>
  <c r="BH11" i="22"/>
  <c r="BA11" i="22"/>
  <c r="AT11" i="22"/>
  <c r="AN11" i="22"/>
  <c r="AM11" i="22"/>
  <c r="AG11" i="22"/>
  <c r="AF11" i="22"/>
  <c r="Z11" i="22"/>
  <c r="Y24" i="22"/>
  <c r="U11" i="22"/>
  <c r="R11" i="22"/>
  <c r="T11" i="22" s="1"/>
  <c r="P11" i="22"/>
  <c r="O11" i="22"/>
  <c r="Q11" i="22" s="1"/>
  <c r="BP10" i="22"/>
  <c r="BP25" i="22" s="1"/>
  <c r="BO10" i="22"/>
  <c r="BO25" i="22" s="1"/>
  <c r="BN10" i="22"/>
  <c r="BN25" i="22" s="1"/>
  <c r="BM10" i="22"/>
  <c r="BM25" i="22" s="1"/>
  <c r="BH10" i="22"/>
  <c r="BA10" i="22"/>
  <c r="AT10" i="22"/>
  <c r="AN10" i="22"/>
  <c r="AM10" i="22"/>
  <c r="AG10" i="22"/>
  <c r="AF10" i="22"/>
  <c r="Z10" i="22"/>
  <c r="Z26" i="22" s="1"/>
  <c r="Y26" i="22"/>
  <c r="U10" i="22"/>
  <c r="R10" i="22"/>
  <c r="T10" i="22" s="1"/>
  <c r="T26" i="22" s="1"/>
  <c r="O10" i="22"/>
  <c r="BP9" i="22"/>
  <c r="BO9" i="22"/>
  <c r="BN9" i="22"/>
  <c r="BM9" i="22"/>
  <c r="BH9" i="22"/>
  <c r="BA9" i="22"/>
  <c r="AT9" i="22"/>
  <c r="AN9" i="22"/>
  <c r="AM9" i="22"/>
  <c r="AG9" i="22"/>
  <c r="AF9" i="22"/>
  <c r="Z9" i="22"/>
  <c r="U9" i="22"/>
  <c r="R9" i="22"/>
  <c r="T9" i="22" s="1"/>
  <c r="O9" i="22"/>
  <c r="Q9" i="22" s="1"/>
  <c r="BP8" i="22"/>
  <c r="BO8" i="22"/>
  <c r="BN8" i="22"/>
  <c r="BM8" i="22"/>
  <c r="BH8" i="22"/>
  <c r="BA8" i="22"/>
  <c r="AT8" i="22"/>
  <c r="AN8" i="22"/>
  <c r="AM8" i="22"/>
  <c r="AG8" i="22"/>
  <c r="AF8" i="22"/>
  <c r="Z8" i="22"/>
  <c r="U8" i="22"/>
  <c r="S8" i="22"/>
  <c r="T8" i="22" s="1"/>
  <c r="R8" i="22"/>
  <c r="P8" i="22"/>
  <c r="O8" i="22"/>
  <c r="Q8" i="22" s="1"/>
  <c r="BP7" i="22"/>
  <c r="BO7" i="22"/>
  <c r="BN7" i="22"/>
  <c r="BM7" i="22"/>
  <c r="BH7" i="22"/>
  <c r="BA7" i="22"/>
  <c r="AT7" i="22"/>
  <c r="AN7" i="22"/>
  <c r="AM7" i="22"/>
  <c r="AG7" i="22"/>
  <c r="AF7" i="22"/>
  <c r="Z7" i="22"/>
  <c r="Z25" i="22" s="1"/>
  <c r="U7" i="22"/>
  <c r="S7" i="22"/>
  <c r="R7" i="22"/>
  <c r="P7" i="22"/>
  <c r="O7" i="22"/>
  <c r="BP6" i="22"/>
  <c r="BO6" i="22"/>
  <c r="BN6" i="22"/>
  <c r="BM6" i="22"/>
  <c r="BH6" i="22"/>
  <c r="BA6" i="22"/>
  <c r="AT6" i="22"/>
  <c r="AN6" i="22"/>
  <c r="AM6" i="22"/>
  <c r="AG6" i="22"/>
  <c r="AF6" i="22"/>
  <c r="Z6" i="22"/>
  <c r="U6" i="22"/>
  <c r="R6" i="22"/>
  <c r="T6" i="22" s="1"/>
  <c r="O6" i="22"/>
  <c r="Q6" i="22" s="1"/>
  <c r="BH5" i="22"/>
  <c r="BA5" i="22"/>
  <c r="AU5" i="22"/>
  <c r="AT5" i="22"/>
  <c r="AO5" i="22"/>
  <c r="BP5" i="22" s="1"/>
  <c r="AM5" i="22"/>
  <c r="AG5" i="22"/>
  <c r="AF5" i="22"/>
  <c r="Z5" i="22"/>
  <c r="U5" i="22"/>
  <c r="S5" i="22"/>
  <c r="R5" i="22"/>
  <c r="O5" i="22"/>
  <c r="I2" i="22"/>
  <c r="AO16" i="17"/>
  <c r="AH16" i="17"/>
  <c r="AO15" i="17"/>
  <c r="AH15" i="17"/>
  <c r="AO14" i="17"/>
  <c r="AH14" i="17"/>
  <c r="AO13" i="17"/>
  <c r="AG16" i="17"/>
  <c r="BS16" i="17" s="1"/>
  <c r="AG15" i="17"/>
  <c r="AG14" i="17"/>
  <c r="AN16" i="17"/>
  <c r="AN15" i="17"/>
  <c r="AN14" i="17"/>
  <c r="AN13" i="17"/>
  <c r="AH13" i="17"/>
  <c r="AO12" i="17"/>
  <c r="AH12" i="17"/>
  <c r="AO9" i="17"/>
  <c r="AH9" i="17"/>
  <c r="AO8" i="17"/>
  <c r="AH8" i="17"/>
  <c r="AO7" i="17"/>
  <c r="AO6" i="17"/>
  <c r="AV5" i="17"/>
  <c r="AO5" i="17"/>
  <c r="Q15" i="17"/>
  <c r="S16" i="17"/>
  <c r="U16" i="17" s="1"/>
  <c r="S15" i="17"/>
  <c r="U15" i="17" s="1"/>
  <c r="P16" i="17"/>
  <c r="R16" i="17" s="1"/>
  <c r="P15" i="17"/>
  <c r="R15" i="17" s="1"/>
  <c r="Q11" i="17"/>
  <c r="T9" i="17"/>
  <c r="T8" i="17"/>
  <c r="Q8" i="17"/>
  <c r="T7" i="17"/>
  <c r="Q7" i="17"/>
  <c r="Q6" i="17"/>
  <c r="T5" i="17"/>
  <c r="Q5" i="17"/>
  <c r="AA5" i="17"/>
  <c r="Z6" i="17"/>
  <c r="Z7" i="17"/>
  <c r="Z25" i="17" s="1"/>
  <c r="Z8" i="17"/>
  <c r="Z9" i="17"/>
  <c r="Z10" i="17"/>
  <c r="Z26" i="17" s="1"/>
  <c r="Z11" i="17"/>
  <c r="Z24" i="17" s="1"/>
  <c r="Z12" i="17"/>
  <c r="Z13" i="17"/>
  <c r="Z14" i="17"/>
  <c r="Z5" i="17"/>
  <c r="Z23" i="17" s="1"/>
  <c r="H18" i="17"/>
  <c r="H17" i="17"/>
  <c r="BQ34" i="17"/>
  <c r="I34" i="17"/>
  <c r="I33" i="17"/>
  <c r="I32" i="17"/>
  <c r="I31" i="17"/>
  <c r="H26" i="17"/>
  <c r="H25" i="17"/>
  <c r="H24" i="17"/>
  <c r="H23" i="17"/>
  <c r="BI14" i="17"/>
  <c r="BB14" i="17"/>
  <c r="AU14" i="17"/>
  <c r="AA14" i="17"/>
  <c r="V14" i="17"/>
  <c r="S14" i="17"/>
  <c r="U14" i="17" s="1"/>
  <c r="P14" i="17"/>
  <c r="R14" i="17" s="1"/>
  <c r="BQ13" i="17"/>
  <c r="BP13" i="17"/>
  <c r="BO13" i="17"/>
  <c r="BN13" i="17"/>
  <c r="BI13" i="17"/>
  <c r="BB13" i="17"/>
  <c r="AU13" i="17"/>
  <c r="AG13" i="17"/>
  <c r="AA13" i="17"/>
  <c r="V13" i="17"/>
  <c r="S13" i="17"/>
  <c r="U13" i="17" s="1"/>
  <c r="P13" i="17"/>
  <c r="R13" i="17" s="1"/>
  <c r="BQ12" i="17"/>
  <c r="BP12" i="17"/>
  <c r="BO12" i="17"/>
  <c r="BN12" i="17"/>
  <c r="BI12" i="17"/>
  <c r="BB12" i="17"/>
  <c r="AU12" i="17"/>
  <c r="AN12" i="17"/>
  <c r="AG12" i="17"/>
  <c r="AA12" i="17"/>
  <c r="V12" i="17"/>
  <c r="S12" i="17"/>
  <c r="U12" i="17" s="1"/>
  <c r="P12" i="17"/>
  <c r="R12" i="17" s="1"/>
  <c r="BQ11" i="17"/>
  <c r="BP11" i="17"/>
  <c r="BO11" i="17"/>
  <c r="BN11" i="17"/>
  <c r="BI11" i="17"/>
  <c r="BB11" i="17"/>
  <c r="AU11" i="17"/>
  <c r="AN11" i="17"/>
  <c r="AG11" i="17"/>
  <c r="AA11" i="17"/>
  <c r="V11" i="17"/>
  <c r="S11" i="17"/>
  <c r="U11" i="17" s="1"/>
  <c r="P11" i="17"/>
  <c r="R11" i="17" s="1"/>
  <c r="BQ10" i="17"/>
  <c r="BQ25" i="17" s="1"/>
  <c r="BP10" i="17"/>
  <c r="BP25" i="17" s="1"/>
  <c r="BO10" i="17"/>
  <c r="BO25" i="17" s="1"/>
  <c r="BN10" i="17"/>
  <c r="BN25" i="17" s="1"/>
  <c r="BI10" i="17"/>
  <c r="BB10" i="17"/>
  <c r="AU10" i="17"/>
  <c r="AN10" i="17"/>
  <c r="AG10" i="17"/>
  <c r="AA10" i="17"/>
  <c r="AA26" i="17" s="1"/>
  <c r="V10" i="17"/>
  <c r="S10" i="17"/>
  <c r="U10" i="17" s="1"/>
  <c r="U26" i="17" s="1"/>
  <c r="P10" i="17"/>
  <c r="BQ9" i="17"/>
  <c r="BP9" i="17"/>
  <c r="BO9" i="17"/>
  <c r="BN9" i="17"/>
  <c r="BI9" i="17"/>
  <c r="BB9" i="17"/>
  <c r="AU9" i="17"/>
  <c r="AN9" i="17"/>
  <c r="AG9" i="17"/>
  <c r="AA9" i="17"/>
  <c r="V9" i="17"/>
  <c r="S9" i="17"/>
  <c r="P9" i="17"/>
  <c r="R9" i="17" s="1"/>
  <c r="BQ8" i="17"/>
  <c r="BP8" i="17"/>
  <c r="BO8" i="17"/>
  <c r="BN8" i="17"/>
  <c r="BI8" i="17"/>
  <c r="BB8" i="17"/>
  <c r="AU8" i="17"/>
  <c r="AN8" i="17"/>
  <c r="AG8" i="17"/>
  <c r="AA8" i="17"/>
  <c r="V8" i="17"/>
  <c r="S8" i="17"/>
  <c r="U8" i="17" s="1"/>
  <c r="P8" i="17"/>
  <c r="R8" i="17" s="1"/>
  <c r="BQ7" i="17"/>
  <c r="BP7" i="17"/>
  <c r="BO7" i="17"/>
  <c r="BN7" i="17"/>
  <c r="BI7" i="17"/>
  <c r="BB7" i="17"/>
  <c r="AU7" i="17"/>
  <c r="AN7" i="17"/>
  <c r="AG7" i="17"/>
  <c r="AA7" i="17"/>
  <c r="V7" i="17"/>
  <c r="S7" i="17"/>
  <c r="U7" i="17" s="1"/>
  <c r="P7" i="17"/>
  <c r="BQ6" i="17"/>
  <c r="BP6" i="17"/>
  <c r="BO6" i="17"/>
  <c r="BN6" i="17"/>
  <c r="BI6" i="17"/>
  <c r="BB6" i="17"/>
  <c r="AU6" i="17"/>
  <c r="AN6" i="17"/>
  <c r="AG6" i="17"/>
  <c r="AA6" i="17"/>
  <c r="V6" i="17"/>
  <c r="S6" i="17"/>
  <c r="U6" i="17" s="1"/>
  <c r="P6" i="17"/>
  <c r="R6" i="17" s="1"/>
  <c r="BP5" i="17"/>
  <c r="BI5" i="17"/>
  <c r="BB5" i="17"/>
  <c r="AU5" i="17"/>
  <c r="BO5" i="17"/>
  <c r="AN5" i="17"/>
  <c r="AG5" i="17"/>
  <c r="V5" i="17"/>
  <c r="S5" i="17"/>
  <c r="P5" i="17"/>
  <c r="R5" i="17" s="1"/>
  <c r="I2" i="17"/>
  <c r="BS22" i="35" l="1"/>
  <c r="I26" i="35"/>
  <c r="U28" i="35"/>
  <c r="X12" i="35"/>
  <c r="Y12" i="35" s="1"/>
  <c r="I25" i="35"/>
  <c r="BT23" i="35"/>
  <c r="BT27" i="35" s="1"/>
  <c r="BT24" i="35"/>
  <c r="BS23" i="35"/>
  <c r="X9" i="35"/>
  <c r="Y9" i="35" s="1"/>
  <c r="I25" i="34"/>
  <c r="I24" i="34"/>
  <c r="I26" i="34"/>
  <c r="X15" i="33"/>
  <c r="Y15" i="33" s="1"/>
  <c r="BS23" i="33"/>
  <c r="U28" i="33"/>
  <c r="BU22" i="33"/>
  <c r="BU27" i="33" s="1"/>
  <c r="BU23" i="33"/>
  <c r="X12" i="33"/>
  <c r="Y12" i="33" s="1"/>
  <c r="I25" i="33"/>
  <c r="R28" i="32"/>
  <c r="BT22" i="32"/>
  <c r="BT23" i="32"/>
  <c r="X15" i="32"/>
  <c r="Y15" i="32" s="1"/>
  <c r="I24" i="32"/>
  <c r="X14" i="30"/>
  <c r="Y14" i="30" s="1"/>
  <c r="BT23" i="30"/>
  <c r="BT27" i="30" s="1"/>
  <c r="BU22" i="30"/>
  <c r="BT14" i="17"/>
  <c r="BU14" i="17"/>
  <c r="BR14" i="17"/>
  <c r="X14" i="17" s="1"/>
  <c r="Y14" i="17" s="1"/>
  <c r="BS14" i="17"/>
  <c r="BT16" i="17"/>
  <c r="I35" i="17"/>
  <c r="U5" i="17"/>
  <c r="BT15" i="17"/>
  <c r="BU15" i="17"/>
  <c r="BR15" i="17"/>
  <c r="BS15" i="17"/>
  <c r="BU16" i="17"/>
  <c r="AA25" i="17"/>
  <c r="AA23" i="17"/>
  <c r="BR16" i="17"/>
  <c r="X16" i="17" s="1"/>
  <c r="Y16" i="17" s="1"/>
  <c r="R7" i="17"/>
  <c r="R25" i="17" s="1"/>
  <c r="R26" i="17"/>
  <c r="R10" i="17"/>
  <c r="AA24" i="17"/>
  <c r="T25" i="29"/>
  <c r="BO5" i="29"/>
  <c r="BO22" i="29" s="1"/>
  <c r="BQ8" i="29"/>
  <c r="BS10" i="29"/>
  <c r="BS25" i="29" s="1"/>
  <c r="BM23" i="29"/>
  <c r="Q12" i="29"/>
  <c r="BS13" i="29"/>
  <c r="BT14" i="29"/>
  <c r="BR14" i="29"/>
  <c r="BS14" i="29"/>
  <c r="H28" i="29"/>
  <c r="I35" i="29"/>
  <c r="Q26" i="29"/>
  <c r="Q10" i="29"/>
  <c r="T24" i="29"/>
  <c r="T28" i="29" s="1"/>
  <c r="BP22" i="29"/>
  <c r="BQ6" i="29"/>
  <c r="Z25" i="29"/>
  <c r="Z28" i="29" s="1"/>
  <c r="BQ7" i="29"/>
  <c r="BM24" i="29"/>
  <c r="BR8" i="29"/>
  <c r="BT9" i="29"/>
  <c r="BQ10" i="29"/>
  <c r="Q11" i="29"/>
  <c r="BT12" i="29"/>
  <c r="BR13" i="29"/>
  <c r="BS5" i="29"/>
  <c r="BN5" i="29"/>
  <c r="BN22" i="29" s="1"/>
  <c r="BR6" i="29"/>
  <c r="BR7" i="29"/>
  <c r="BR10" i="29"/>
  <c r="BR25" i="29" s="1"/>
  <c r="BQ14" i="29"/>
  <c r="W14" i="29" s="1"/>
  <c r="BS9" i="24"/>
  <c r="BR11" i="24"/>
  <c r="Q7" i="24"/>
  <c r="Q25" i="24" s="1"/>
  <c r="BR7" i="24"/>
  <c r="BN24" i="24"/>
  <c r="Q11" i="24"/>
  <c r="BS11" i="24"/>
  <c r="Q13" i="24"/>
  <c r="BQ13" i="24"/>
  <c r="Q14" i="24"/>
  <c r="H28" i="24"/>
  <c r="I35" i="24"/>
  <c r="Y23" i="24"/>
  <c r="BR6" i="24"/>
  <c r="BS12" i="24"/>
  <c r="BR13" i="24"/>
  <c r="BP22" i="24"/>
  <c r="Y25" i="24"/>
  <c r="BP24" i="24"/>
  <c r="BR8" i="24"/>
  <c r="Q12" i="24"/>
  <c r="BS13" i="24"/>
  <c r="Z23" i="25"/>
  <c r="Z25" i="25"/>
  <c r="BM24" i="25"/>
  <c r="BS8" i="25"/>
  <c r="BR9" i="25"/>
  <c r="BR10" i="25"/>
  <c r="BR25" i="25" s="1"/>
  <c r="BT11" i="25"/>
  <c r="BP23" i="25"/>
  <c r="BR12" i="25"/>
  <c r="BM5" i="25"/>
  <c r="BM22" i="25" s="1"/>
  <c r="BM27" i="25" s="1"/>
  <c r="BR7" i="25"/>
  <c r="BS10" i="25"/>
  <c r="BS25" i="25" s="1"/>
  <c r="Z24" i="25"/>
  <c r="Q12" i="25"/>
  <c r="BT12" i="25"/>
  <c r="Q7" i="25"/>
  <c r="Q25" i="25" s="1"/>
  <c r="Y23" i="25"/>
  <c r="BR6" i="25"/>
  <c r="Y25" i="25"/>
  <c r="BR8" i="25"/>
  <c r="BQ9" i="25"/>
  <c r="Q10" i="25"/>
  <c r="Q26" i="25" s="1"/>
  <c r="Q11" i="25"/>
  <c r="Q24" i="25" s="1"/>
  <c r="Q28" i="25" s="1"/>
  <c r="BQ12" i="25"/>
  <c r="Q13" i="25"/>
  <c r="Q14" i="25"/>
  <c r="BT14" i="25"/>
  <c r="BS14" i="25"/>
  <c r="H28" i="25"/>
  <c r="I25" i="25" s="1"/>
  <c r="I35" i="25"/>
  <c r="BR14" i="25"/>
  <c r="W14" i="25" s="1"/>
  <c r="BP27" i="23"/>
  <c r="BQ6" i="23"/>
  <c r="Q7" i="23"/>
  <c r="Q25" i="23" s="1"/>
  <c r="T7" i="23"/>
  <c r="T25" i="23" s="1"/>
  <c r="BR7" i="23"/>
  <c r="Q13" i="23"/>
  <c r="Q14" i="23"/>
  <c r="BQ14" i="23"/>
  <c r="BR14" i="23"/>
  <c r="BT14" i="23"/>
  <c r="I35" i="23"/>
  <c r="Q23" i="23"/>
  <c r="Q5" i="23"/>
  <c r="BR6" i="23"/>
  <c r="Q10" i="23"/>
  <c r="Q26" i="23" s="1"/>
  <c r="Q11" i="23"/>
  <c r="BT12" i="23"/>
  <c r="BS12" i="23"/>
  <c r="BQ7" i="23"/>
  <c r="BQ8" i="23"/>
  <c r="BS9" i="23"/>
  <c r="BS14" i="23"/>
  <c r="Z23" i="28"/>
  <c r="Y25" i="28"/>
  <c r="BP24" i="28"/>
  <c r="BR8" i="28"/>
  <c r="BR11" i="28"/>
  <c r="BT12" i="28"/>
  <c r="BQ13" i="28"/>
  <c r="T7" i="28"/>
  <c r="T25" i="28" s="1"/>
  <c r="T28" i="28" s="1"/>
  <c r="Q8" i="28"/>
  <c r="Q25" i="28" s="1"/>
  <c r="BR9" i="28"/>
  <c r="BS11" i="28"/>
  <c r="Q13" i="28"/>
  <c r="Q14" i="28"/>
  <c r="BT14" i="28"/>
  <c r="BQ14" i="28"/>
  <c r="W14" i="28" s="1"/>
  <c r="BR14" i="28"/>
  <c r="BS14" i="28"/>
  <c r="H28" i="28"/>
  <c r="BR24" i="28"/>
  <c r="Y23" i="28"/>
  <c r="Y28" i="28" s="1"/>
  <c r="BO24" i="28"/>
  <c r="T8" i="28"/>
  <c r="BT9" i="28"/>
  <c r="BR10" i="28"/>
  <c r="BR25" i="28" s="1"/>
  <c r="Q12" i="28"/>
  <c r="Q24" i="28" s="1"/>
  <c r="Q28" i="28" s="1"/>
  <c r="BS12" i="28"/>
  <c r="BS13" i="28"/>
  <c r="BR8" i="27"/>
  <c r="BS11" i="27"/>
  <c r="BO23" i="27"/>
  <c r="Q8" i="27"/>
  <c r="BS9" i="27"/>
  <c r="Q11" i="27"/>
  <c r="BS12" i="27"/>
  <c r="Q7" i="27"/>
  <c r="Q25" i="27" s="1"/>
  <c r="BR7" i="27"/>
  <c r="BR10" i="27"/>
  <c r="BR25" i="27" s="1"/>
  <c r="Z24" i="27"/>
  <c r="BR6" i="27"/>
  <c r="BT9" i="27"/>
  <c r="T24" i="27"/>
  <c r="BR11" i="27"/>
  <c r="BT12" i="27"/>
  <c r="BS14" i="27"/>
  <c r="BT14" i="27"/>
  <c r="BR14" i="27"/>
  <c r="Q14" i="22"/>
  <c r="T5" i="22"/>
  <c r="T23" i="22" s="1"/>
  <c r="Q7" i="22"/>
  <c r="Q10" i="22"/>
  <c r="Q26" i="22" s="1"/>
  <c r="BR14" i="22"/>
  <c r="BS14" i="22"/>
  <c r="BT14" i="22"/>
  <c r="H28" i="22"/>
  <c r="I25" i="22" s="1"/>
  <c r="BQ12" i="22"/>
  <c r="Q5" i="22"/>
  <c r="Q23" i="22" s="1"/>
  <c r="BQ14" i="22"/>
  <c r="X16" i="36"/>
  <c r="Y16" i="36" s="1"/>
  <c r="BU24" i="36"/>
  <c r="BU23" i="36"/>
  <c r="X12" i="36"/>
  <c r="Y12" i="36" s="1"/>
  <c r="BQ27" i="36"/>
  <c r="BP27" i="36"/>
  <c r="BT22" i="36"/>
  <c r="BU22" i="36"/>
  <c r="X6" i="36"/>
  <c r="Y6" i="36" s="1"/>
  <c r="X14" i="36"/>
  <c r="Y14" i="36" s="1"/>
  <c r="U28" i="36"/>
  <c r="R28" i="36"/>
  <c r="BW19" i="36"/>
  <c r="AA28" i="36"/>
  <c r="BW9" i="36"/>
  <c r="BV9" i="36"/>
  <c r="BV13" i="36"/>
  <c r="BV17" i="36"/>
  <c r="BV7" i="36"/>
  <c r="BV15" i="36"/>
  <c r="BV8" i="36"/>
  <c r="BV16" i="36"/>
  <c r="BV6" i="36"/>
  <c r="BV10" i="36"/>
  <c r="BV25" i="36" s="1"/>
  <c r="AJ45" i="36" s="1"/>
  <c r="BV14" i="36"/>
  <c r="BV18" i="36"/>
  <c r="BV11" i="36"/>
  <c r="BV19" i="36"/>
  <c r="BV12" i="36"/>
  <c r="BV5" i="36"/>
  <c r="I23" i="36"/>
  <c r="BS23" i="36"/>
  <c r="BN27" i="36"/>
  <c r="BO27" i="36"/>
  <c r="X9" i="36"/>
  <c r="Y9" i="36" s="1"/>
  <c r="X15" i="36"/>
  <c r="Y15" i="36" s="1"/>
  <c r="X8" i="36"/>
  <c r="Y8" i="36" s="1"/>
  <c r="I25" i="36"/>
  <c r="BW13" i="36"/>
  <c r="BW14" i="36"/>
  <c r="BW7" i="36"/>
  <c r="BW15" i="36"/>
  <c r="BW12" i="36"/>
  <c r="BW8" i="36"/>
  <c r="BW6" i="36"/>
  <c r="BW5" i="36"/>
  <c r="BW11" i="36"/>
  <c r="BW23" i="36" s="1"/>
  <c r="AK43" i="36" s="1"/>
  <c r="BW16" i="36"/>
  <c r="X11" i="36"/>
  <c r="Y11" i="36" s="1"/>
  <c r="BR23" i="36"/>
  <c r="BR24" i="36"/>
  <c r="X7" i="36"/>
  <c r="Y7" i="36" s="1"/>
  <c r="BS24" i="36"/>
  <c r="X5" i="36"/>
  <c r="Y5" i="36" s="1"/>
  <c r="X10" i="36"/>
  <c r="Y10" i="36" s="1"/>
  <c r="Y26" i="36" s="1"/>
  <c r="Y34" i="36" s="1"/>
  <c r="X13" i="36"/>
  <c r="Y13" i="36" s="1"/>
  <c r="BT23" i="36"/>
  <c r="BR22" i="36"/>
  <c r="X8" i="35"/>
  <c r="Y8" i="35" s="1"/>
  <c r="BR24" i="35"/>
  <c r="BU27" i="35"/>
  <c r="X11" i="35"/>
  <c r="Y11" i="35" s="1"/>
  <c r="BR23" i="35"/>
  <c r="BS27" i="35"/>
  <c r="X10" i="35"/>
  <c r="Y10" i="35" s="1"/>
  <c r="Y26" i="35" s="1"/>
  <c r="Y34" i="35" s="1"/>
  <c r="X16" i="35"/>
  <c r="Y16" i="35" s="1"/>
  <c r="X5" i="35"/>
  <c r="Y5" i="35" s="1"/>
  <c r="Y23" i="35" s="1"/>
  <c r="X13" i="35"/>
  <c r="Y13" i="35" s="1"/>
  <c r="X7" i="35"/>
  <c r="Y7" i="35" s="1"/>
  <c r="Y25" i="35" s="1"/>
  <c r="Y33" i="35" s="1"/>
  <c r="BR22" i="35"/>
  <c r="BR27" i="35" s="1"/>
  <c r="X9" i="34"/>
  <c r="Y9" i="34" s="1"/>
  <c r="X15" i="34"/>
  <c r="Y15" i="34" s="1"/>
  <c r="BT23" i="34"/>
  <c r="BU22" i="34"/>
  <c r="BU27" i="34" s="1"/>
  <c r="X11" i="34"/>
  <c r="Y11" i="34" s="1"/>
  <c r="BR23" i="34"/>
  <c r="BR27" i="34" s="1"/>
  <c r="X10" i="34"/>
  <c r="Y10" i="34" s="1"/>
  <c r="Y26" i="34" s="1"/>
  <c r="Y34" i="34" s="1"/>
  <c r="BS22" i="34"/>
  <c r="BS27" i="34" s="1"/>
  <c r="BT27" i="34"/>
  <c r="X13" i="34"/>
  <c r="Y13" i="34" s="1"/>
  <c r="X8" i="34"/>
  <c r="Y8" i="34" s="1"/>
  <c r="BR24" i="34"/>
  <c r="X7" i="34"/>
  <c r="Y7" i="34" s="1"/>
  <c r="X5" i="34"/>
  <c r="Y5" i="34" s="1"/>
  <c r="Y23" i="34" s="1"/>
  <c r="X8" i="33"/>
  <c r="Y8" i="33" s="1"/>
  <c r="BT23" i="33"/>
  <c r="BR24" i="33"/>
  <c r="X16" i="33"/>
  <c r="Y16" i="33" s="1"/>
  <c r="X11" i="33"/>
  <c r="Y11" i="33" s="1"/>
  <c r="BR23" i="33"/>
  <c r="BS27" i="33"/>
  <c r="X5" i="33"/>
  <c r="Y5" i="33" s="1"/>
  <c r="Y23" i="33" s="1"/>
  <c r="BT24" i="33"/>
  <c r="X13" i="33"/>
  <c r="Y13" i="33" s="1"/>
  <c r="X10" i="33"/>
  <c r="Y10" i="33" s="1"/>
  <c r="Y26" i="33" s="1"/>
  <c r="Y34" i="33" s="1"/>
  <c r="X7" i="33"/>
  <c r="Y7" i="33" s="1"/>
  <c r="Y25" i="33" s="1"/>
  <c r="Y33" i="33" s="1"/>
  <c r="BR22" i="33"/>
  <c r="X9" i="32"/>
  <c r="Y9" i="32" s="1"/>
  <c r="X14" i="32"/>
  <c r="Y14" i="32" s="1"/>
  <c r="X12" i="32"/>
  <c r="Y12" i="32" s="1"/>
  <c r="BN27" i="32"/>
  <c r="X5" i="32"/>
  <c r="Y5" i="32" s="1"/>
  <c r="Y23" i="32" s="1"/>
  <c r="BR22" i="32"/>
  <c r="X13" i="32"/>
  <c r="Y13" i="32" s="1"/>
  <c r="X8" i="32"/>
  <c r="Y8" i="32" s="1"/>
  <c r="BS22" i="32"/>
  <c r="BT27" i="32"/>
  <c r="X10" i="32"/>
  <c r="Y10" i="32" s="1"/>
  <c r="Y26" i="32" s="1"/>
  <c r="Y34" i="32" s="1"/>
  <c r="BS23" i="32"/>
  <c r="BR24" i="32"/>
  <c r="X7" i="32"/>
  <c r="Y7" i="32" s="1"/>
  <c r="X11" i="32"/>
  <c r="Y11" i="32" s="1"/>
  <c r="BR23" i="32"/>
  <c r="BU23" i="32"/>
  <c r="BU27" i="32" s="1"/>
  <c r="X8" i="30"/>
  <c r="Y8" i="30" s="1"/>
  <c r="X5" i="30"/>
  <c r="Y5" i="30" s="1"/>
  <c r="BS23" i="30"/>
  <c r="BS27" i="30" s="1"/>
  <c r="X11" i="30"/>
  <c r="Y11" i="30" s="1"/>
  <c r="BR23" i="30"/>
  <c r="BR24" i="30"/>
  <c r="X7" i="30"/>
  <c r="Y7" i="30" s="1"/>
  <c r="Y25" i="30" s="1"/>
  <c r="Y33" i="30" s="1"/>
  <c r="X10" i="30"/>
  <c r="Y10" i="30" s="1"/>
  <c r="Y26" i="30" s="1"/>
  <c r="Y34" i="30" s="1"/>
  <c r="BR25" i="30"/>
  <c r="BU23" i="30"/>
  <c r="BU27" i="30" s="1"/>
  <c r="X6" i="30"/>
  <c r="Y6" i="30" s="1"/>
  <c r="X13" i="30"/>
  <c r="Y13" i="30" s="1"/>
  <c r="BR6" i="28"/>
  <c r="BP22" i="28"/>
  <c r="BP27" i="28" s="1"/>
  <c r="Q25" i="22"/>
  <c r="BN5" i="22"/>
  <c r="BN22" i="22" s="1"/>
  <c r="Y25" i="22"/>
  <c r="BP24" i="22"/>
  <c r="Z24" i="22"/>
  <c r="BR8" i="22"/>
  <c r="T24" i="22"/>
  <c r="Q24" i="22"/>
  <c r="Y23" i="22"/>
  <c r="Z23" i="22"/>
  <c r="BP22" i="22"/>
  <c r="T7" i="22"/>
  <c r="T25" i="22" s="1"/>
  <c r="BR7" i="22"/>
  <c r="BQ9" i="22"/>
  <c r="BM23" i="22"/>
  <c r="BT12" i="22"/>
  <c r="I35" i="22"/>
  <c r="BT5" i="22"/>
  <c r="BM5" i="22"/>
  <c r="BM22" i="22" s="1"/>
  <c r="BR6" i="22"/>
  <c r="BT7" i="22"/>
  <c r="BT9" i="22"/>
  <c r="BS11" i="22"/>
  <c r="BT6" i="22"/>
  <c r="BR10" i="22"/>
  <c r="BR25" i="22" s="1"/>
  <c r="BS13" i="22"/>
  <c r="BP23" i="27"/>
  <c r="BR13" i="27"/>
  <c r="BP22" i="27"/>
  <c r="BN24" i="27"/>
  <c r="Q24" i="23"/>
  <c r="BN24" i="29"/>
  <c r="BN27" i="29" s="1"/>
  <c r="BP24" i="29"/>
  <c r="BP27" i="29" s="1"/>
  <c r="Q23" i="29"/>
  <c r="BT5" i="29"/>
  <c r="BT22" i="29" s="1"/>
  <c r="BO27" i="29"/>
  <c r="Q24" i="29"/>
  <c r="I25" i="29"/>
  <c r="W10" i="29"/>
  <c r="BQ25" i="29"/>
  <c r="I24" i="29"/>
  <c r="I26" i="29"/>
  <c r="I23" i="29"/>
  <c r="BM5" i="29"/>
  <c r="BM22" i="29" s="1"/>
  <c r="BM27" i="29" s="1"/>
  <c r="BS6" i="29"/>
  <c r="W6" i="29" s="1"/>
  <c r="BS7" i="29"/>
  <c r="W7" i="29" s="1"/>
  <c r="BS8" i="29"/>
  <c r="BQ9" i="29"/>
  <c r="BT11" i="29"/>
  <c r="BQ12" i="29"/>
  <c r="BT13" i="29"/>
  <c r="BR5" i="29"/>
  <c r="BR22" i="29" s="1"/>
  <c r="BT8" i="29"/>
  <c r="BT24" i="29" s="1"/>
  <c r="BR9" i="29"/>
  <c r="BR24" i="29" s="1"/>
  <c r="BQ11" i="29"/>
  <c r="BR12" i="29"/>
  <c r="BQ13" i="29"/>
  <c r="BS22" i="29"/>
  <c r="BS9" i="29"/>
  <c r="BR11" i="29"/>
  <c r="BR23" i="29" s="1"/>
  <c r="BS12" i="29"/>
  <c r="BS23" i="29" s="1"/>
  <c r="Z28" i="28"/>
  <c r="BT5" i="28"/>
  <c r="I25" i="28"/>
  <c r="I24" i="28"/>
  <c r="I26" i="28"/>
  <c r="I23" i="28"/>
  <c r="BM5" i="28"/>
  <c r="BM22" i="28" s="1"/>
  <c r="BM27" i="28" s="1"/>
  <c r="BS6" i="28"/>
  <c r="BS7" i="28"/>
  <c r="BS8" i="28"/>
  <c r="BQ9" i="28"/>
  <c r="W9" i="28" s="1"/>
  <c r="BS10" i="28"/>
  <c r="BS25" i="28" s="1"/>
  <c r="BT11" i="28"/>
  <c r="BT23" i="28" s="1"/>
  <c r="BQ12" i="28"/>
  <c r="W12" i="28" s="1"/>
  <c r="BT13" i="28"/>
  <c r="W13" i="28" s="1"/>
  <c r="BN5" i="28"/>
  <c r="BN22" i="28" s="1"/>
  <c r="BN27" i="28" s="1"/>
  <c r="BT6" i="28"/>
  <c r="BT7" i="28"/>
  <c r="BT24" i="28" s="1"/>
  <c r="BT8" i="28"/>
  <c r="BT10" i="28"/>
  <c r="BT25" i="28" s="1"/>
  <c r="BQ11" i="28"/>
  <c r="BO5" i="28"/>
  <c r="BO22" i="28" s="1"/>
  <c r="BO27" i="28" s="1"/>
  <c r="BQ6" i="28"/>
  <c r="BQ7" i="28"/>
  <c r="BQ8" i="28"/>
  <c r="W8" i="28" s="1"/>
  <c r="BQ10" i="28"/>
  <c r="Y28" i="27"/>
  <c r="T25" i="27"/>
  <c r="Q24" i="27"/>
  <c r="Q28" i="27" s="1"/>
  <c r="I25" i="27"/>
  <c r="Z28" i="27"/>
  <c r="BT5" i="27"/>
  <c r="I24" i="27"/>
  <c r="T28" i="27"/>
  <c r="I26" i="27"/>
  <c r="BM5" i="27"/>
  <c r="BM22" i="27" s="1"/>
  <c r="BM27" i="27" s="1"/>
  <c r="BQ5" i="27"/>
  <c r="BS6" i="27"/>
  <c r="BS7" i="27"/>
  <c r="BS8" i="27"/>
  <c r="BS10" i="27"/>
  <c r="BS25" i="27" s="1"/>
  <c r="BT11" i="27"/>
  <c r="BT13" i="27"/>
  <c r="BN5" i="27"/>
  <c r="BN22" i="27" s="1"/>
  <c r="BT6" i="27"/>
  <c r="BT7" i="27"/>
  <c r="BT8" i="27"/>
  <c r="BR9" i="27"/>
  <c r="BR24" i="27" s="1"/>
  <c r="BT10" i="27"/>
  <c r="BT25" i="27" s="1"/>
  <c r="BQ11" i="27"/>
  <c r="BR12" i="27"/>
  <c r="BQ13" i="27"/>
  <c r="I23" i="27"/>
  <c r="BO5" i="27"/>
  <c r="BO22" i="27" s="1"/>
  <c r="BO27" i="27" s="1"/>
  <c r="BQ6" i="27"/>
  <c r="BQ7" i="27"/>
  <c r="BQ8" i="27"/>
  <c r="BQ10" i="27"/>
  <c r="BT5" i="25"/>
  <c r="BP24" i="25"/>
  <c r="BP27" i="25" s="1"/>
  <c r="BT9" i="25"/>
  <c r="BR24" i="25"/>
  <c r="BN24" i="25"/>
  <c r="Y28" i="25"/>
  <c r="T25" i="25"/>
  <c r="T28" i="25" s="1"/>
  <c r="I24" i="25"/>
  <c r="I26" i="25"/>
  <c r="BQ5" i="25"/>
  <c r="BS6" i="25"/>
  <c r="BT13" i="25"/>
  <c r="BT23" i="25" s="1"/>
  <c r="BN5" i="25"/>
  <c r="BN22" i="25" s="1"/>
  <c r="BT6" i="25"/>
  <c r="BT22" i="25" s="1"/>
  <c r="BT7" i="25"/>
  <c r="BT8" i="25"/>
  <c r="BT10" i="25"/>
  <c r="BT25" i="25" s="1"/>
  <c r="BQ11" i="25"/>
  <c r="BQ13" i="25"/>
  <c r="I23" i="25"/>
  <c r="BO5" i="25"/>
  <c r="BO22" i="25" s="1"/>
  <c r="BO27" i="25" s="1"/>
  <c r="BQ6" i="25"/>
  <c r="W6" i="25" s="1"/>
  <c r="BQ7" i="25"/>
  <c r="BQ8" i="25"/>
  <c r="W8" i="25" s="1"/>
  <c r="BS9" i="25"/>
  <c r="BS24" i="25" s="1"/>
  <c r="BQ10" i="25"/>
  <c r="BR11" i="25"/>
  <c r="BS12" i="25"/>
  <c r="W12" i="25" s="1"/>
  <c r="BR13" i="25"/>
  <c r="BO24" i="24"/>
  <c r="BP27" i="24"/>
  <c r="BN23" i="24"/>
  <c r="BQ10" i="23"/>
  <c r="BN24" i="23"/>
  <c r="BN22" i="23"/>
  <c r="BM23" i="23"/>
  <c r="BS11" i="23"/>
  <c r="BM24" i="23"/>
  <c r="BO22" i="23"/>
  <c r="BO27" i="23" s="1"/>
  <c r="BT5" i="23"/>
  <c r="Y28" i="24"/>
  <c r="BS23" i="24"/>
  <c r="I25" i="24"/>
  <c r="BT5" i="24"/>
  <c r="I24" i="24"/>
  <c r="W13" i="24"/>
  <c r="I26" i="24"/>
  <c r="I23" i="24"/>
  <c r="BM5" i="24"/>
  <c r="BM22" i="24" s="1"/>
  <c r="BM27" i="24" s="1"/>
  <c r="BS6" i="24"/>
  <c r="BS7" i="24"/>
  <c r="BS24" i="24" s="1"/>
  <c r="BS8" i="24"/>
  <c r="BQ9" i="24"/>
  <c r="BS10" i="24"/>
  <c r="BS25" i="24" s="1"/>
  <c r="BT11" i="24"/>
  <c r="BT23" i="24" s="1"/>
  <c r="BQ12" i="24"/>
  <c r="BN5" i="24"/>
  <c r="BN22" i="24" s="1"/>
  <c r="BT6" i="24"/>
  <c r="BT7" i="24"/>
  <c r="BT24" i="24" s="1"/>
  <c r="BT8" i="24"/>
  <c r="BR9" i="24"/>
  <c r="BR24" i="24" s="1"/>
  <c r="BT10" i="24"/>
  <c r="BT25" i="24" s="1"/>
  <c r="BQ11" i="24"/>
  <c r="BR12" i="24"/>
  <c r="BR23" i="24" s="1"/>
  <c r="BO5" i="24"/>
  <c r="BO22" i="24" s="1"/>
  <c r="BQ6" i="24"/>
  <c r="W6" i="24" s="1"/>
  <c r="BQ7" i="24"/>
  <c r="BQ8" i="24"/>
  <c r="W8" i="24" s="1"/>
  <c r="BQ10" i="24"/>
  <c r="Y28" i="23"/>
  <c r="T24" i="23"/>
  <c r="T28" i="23" s="1"/>
  <c r="BS23" i="23"/>
  <c r="I25" i="23"/>
  <c r="I24" i="23"/>
  <c r="BQ25" i="23"/>
  <c r="I26" i="23"/>
  <c r="BM5" i="23"/>
  <c r="BM22" i="23" s="1"/>
  <c r="BS6" i="23"/>
  <c r="BS22" i="23" s="1"/>
  <c r="BS7" i="23"/>
  <c r="BS8" i="23"/>
  <c r="BQ9" i="23"/>
  <c r="BQ24" i="23" s="1"/>
  <c r="BS10" i="23"/>
  <c r="BS25" i="23" s="1"/>
  <c r="BT11" i="23"/>
  <c r="BT23" i="23" s="1"/>
  <c r="BQ12" i="23"/>
  <c r="W12" i="23" s="1"/>
  <c r="BT13" i="23"/>
  <c r="BR5" i="23"/>
  <c r="BR22" i="23" s="1"/>
  <c r="BT6" i="23"/>
  <c r="BT7" i="23"/>
  <c r="BT24" i="23" s="1"/>
  <c r="BT8" i="23"/>
  <c r="BR9" i="23"/>
  <c r="BR24" i="23" s="1"/>
  <c r="BT10" i="23"/>
  <c r="BT25" i="23" s="1"/>
  <c r="BQ11" i="23"/>
  <c r="BR12" i="23"/>
  <c r="BQ13" i="23"/>
  <c r="W13" i="23" s="1"/>
  <c r="I23" i="23"/>
  <c r="BR11" i="23"/>
  <c r="BR13" i="23"/>
  <c r="BQ11" i="22"/>
  <c r="BT10" i="22"/>
  <c r="BT25" i="22" s="1"/>
  <c r="BM24" i="22"/>
  <c r="BT8" i="22"/>
  <c r="BT24" i="22" s="1"/>
  <c r="BP27" i="22"/>
  <c r="BS10" i="22"/>
  <c r="BS25" i="22" s="1"/>
  <c r="BN24" i="22"/>
  <c r="BO24" i="22"/>
  <c r="T28" i="22"/>
  <c r="I24" i="22"/>
  <c r="I26" i="22"/>
  <c r="BS6" i="22"/>
  <c r="BS7" i="22"/>
  <c r="BS8" i="22"/>
  <c r="BT11" i="22"/>
  <c r="BT13" i="22"/>
  <c r="BR5" i="22"/>
  <c r="BR22" i="22" s="1"/>
  <c r="BR9" i="22"/>
  <c r="BR12" i="22"/>
  <c r="BQ13" i="22"/>
  <c r="I23" i="22"/>
  <c r="BO5" i="22"/>
  <c r="BO22" i="22" s="1"/>
  <c r="BQ6" i="22"/>
  <c r="BQ7" i="22"/>
  <c r="BQ8" i="22"/>
  <c r="BS9" i="22"/>
  <c r="BQ10" i="22"/>
  <c r="W10" i="22" s="1"/>
  <c r="BR11" i="22"/>
  <c r="BS12" i="22"/>
  <c r="BS23" i="22" s="1"/>
  <c r="BR13" i="22"/>
  <c r="BU11" i="17"/>
  <c r="BS9" i="17"/>
  <c r="BT9" i="17"/>
  <c r="R23" i="17"/>
  <c r="U9" i="17"/>
  <c r="U25" i="17"/>
  <c r="BU8" i="17"/>
  <c r="BS7" i="17"/>
  <c r="BP24" i="17"/>
  <c r="BP23" i="17"/>
  <c r="BO22" i="17"/>
  <c r="BO23" i="17"/>
  <c r="BP22" i="17"/>
  <c r="BN23" i="17"/>
  <c r="BT5" i="17"/>
  <c r="BT8" i="17"/>
  <c r="BQ23" i="17"/>
  <c r="BT13" i="17"/>
  <c r="BO24" i="17"/>
  <c r="BU7" i="17"/>
  <c r="BQ24" i="17"/>
  <c r="BT11" i="17"/>
  <c r="BR6" i="17"/>
  <c r="BR13" i="17"/>
  <c r="BN24" i="17"/>
  <c r="BR10" i="17"/>
  <c r="BR25" i="17" s="1"/>
  <c r="BR12" i="17"/>
  <c r="H28" i="17"/>
  <c r="I24" i="17" s="1"/>
  <c r="U23" i="17"/>
  <c r="BS5" i="17"/>
  <c r="U24" i="17"/>
  <c r="I23" i="17"/>
  <c r="R24" i="17"/>
  <c r="BT7" i="17"/>
  <c r="BT24" i="17" s="1"/>
  <c r="BS10" i="17"/>
  <c r="BS25" i="17" s="1"/>
  <c r="BS12" i="17"/>
  <c r="BS13" i="17"/>
  <c r="BS23" i="17" s="1"/>
  <c r="BQ5" i="17"/>
  <c r="BQ22" i="17" s="1"/>
  <c r="BT6" i="17"/>
  <c r="BR8" i="17"/>
  <c r="BU9" i="17"/>
  <c r="BT10" i="17"/>
  <c r="BT25" i="17" s="1"/>
  <c r="BR11" i="17"/>
  <c r="BT12" i="17"/>
  <c r="BN22" i="17"/>
  <c r="BU6" i="17"/>
  <c r="BR7" i="17"/>
  <c r="BS8" i="17"/>
  <c r="BR9" i="17"/>
  <c r="X9" i="17" s="1"/>
  <c r="Y9" i="17" s="1"/>
  <c r="BU10" i="17"/>
  <c r="BU25" i="17" s="1"/>
  <c r="BS11" i="17"/>
  <c r="BU12" i="17"/>
  <c r="BU13" i="17"/>
  <c r="BU23" i="17" s="1"/>
  <c r="BS6" i="17"/>
  <c r="AG14" i="10"/>
  <c r="AG13" i="10"/>
  <c r="AN12" i="10"/>
  <c r="AG12" i="10"/>
  <c r="AN11" i="10"/>
  <c r="AG11" i="10"/>
  <c r="AN10" i="10"/>
  <c r="AG10" i="10"/>
  <c r="AN9" i="10"/>
  <c r="AG9" i="10"/>
  <c r="AN8" i="10"/>
  <c r="AG8" i="10"/>
  <c r="AN7" i="10"/>
  <c r="AG7" i="10"/>
  <c r="AN6" i="10"/>
  <c r="AG6" i="10"/>
  <c r="AU5" i="10"/>
  <c r="AO5" i="10"/>
  <c r="BP5" i="10" s="1"/>
  <c r="BT5" i="10" s="1"/>
  <c r="BM10" i="10"/>
  <c r="BM11" i="10"/>
  <c r="AG5" i="10"/>
  <c r="P14" i="10"/>
  <c r="P13" i="10"/>
  <c r="P12" i="10"/>
  <c r="P11" i="10"/>
  <c r="S8" i="10"/>
  <c r="P8" i="10"/>
  <c r="S7" i="10"/>
  <c r="P7" i="10"/>
  <c r="S5" i="10"/>
  <c r="BH14" i="10"/>
  <c r="BA14" i="10"/>
  <c r="AT14" i="10"/>
  <c r="AF14" i="10"/>
  <c r="Z14" i="10"/>
  <c r="Y14" i="10"/>
  <c r="U14" i="10"/>
  <c r="T14" i="10"/>
  <c r="R14" i="10"/>
  <c r="O14" i="10"/>
  <c r="BP13" i="10"/>
  <c r="BO13" i="10"/>
  <c r="BO23" i="10" s="1"/>
  <c r="BN13" i="10"/>
  <c r="BM13" i="10"/>
  <c r="BH13" i="10"/>
  <c r="BA13" i="10"/>
  <c r="AT13" i="10"/>
  <c r="AF13" i="10"/>
  <c r="Z13" i="10"/>
  <c r="Y13" i="10"/>
  <c r="U13" i="10"/>
  <c r="R13" i="10"/>
  <c r="T13" i="10" s="1"/>
  <c r="O13" i="10"/>
  <c r="Q13" i="10" s="1"/>
  <c r="BP12" i="10"/>
  <c r="BO12" i="10"/>
  <c r="BN12" i="10"/>
  <c r="BM12" i="10"/>
  <c r="BQ12" i="10" s="1"/>
  <c r="BH12" i="10"/>
  <c r="BA12" i="10"/>
  <c r="AT12" i="10"/>
  <c r="AM12" i="10"/>
  <c r="AF12" i="10"/>
  <c r="Z12" i="10"/>
  <c r="Y12" i="10"/>
  <c r="U12" i="10"/>
  <c r="R12" i="10"/>
  <c r="T12" i="10" s="1"/>
  <c r="O12" i="10"/>
  <c r="Q12" i="10" s="1"/>
  <c r="BP11" i="10"/>
  <c r="BO11" i="10"/>
  <c r="BN11" i="10"/>
  <c r="BH11" i="10"/>
  <c r="BA11" i="10"/>
  <c r="AT11" i="10"/>
  <c r="AM11" i="10"/>
  <c r="AF11" i="10"/>
  <c r="Z11" i="10"/>
  <c r="Z24" i="10" s="1"/>
  <c r="Y11" i="10"/>
  <c r="U11" i="10"/>
  <c r="R11" i="10"/>
  <c r="O11" i="10"/>
  <c r="Q11" i="10" s="1"/>
  <c r="BP10" i="10"/>
  <c r="BO10" i="10"/>
  <c r="BN10" i="10"/>
  <c r="BH10" i="10"/>
  <c r="BA10" i="10"/>
  <c r="AT10" i="10"/>
  <c r="AM10" i="10"/>
  <c r="AF10" i="10"/>
  <c r="BT10" i="10" s="1"/>
  <c r="BT25" i="10" s="1"/>
  <c r="Z10" i="10"/>
  <c r="Y10" i="10"/>
  <c r="U10" i="10"/>
  <c r="T10" i="10"/>
  <c r="T26" i="10" s="1"/>
  <c r="R10" i="10"/>
  <c r="O10" i="10"/>
  <c r="I2" i="10"/>
  <c r="BP34" i="10"/>
  <c r="I34" i="10"/>
  <c r="I33" i="10"/>
  <c r="I32" i="10"/>
  <c r="I31" i="10"/>
  <c r="I35" i="10" s="1"/>
  <c r="H26" i="10"/>
  <c r="H25" i="10"/>
  <c r="H24" i="10"/>
  <c r="H23" i="10"/>
  <c r="H18" i="10"/>
  <c r="H17" i="10"/>
  <c r="H16" i="10"/>
  <c r="Y24" i="10"/>
  <c r="BP25" i="10"/>
  <c r="BO25" i="10"/>
  <c r="Z26" i="10"/>
  <c r="Y26" i="10"/>
  <c r="BP9" i="10"/>
  <c r="BO9" i="10"/>
  <c r="BN9" i="10"/>
  <c r="BM9" i="10"/>
  <c r="BH9" i="10"/>
  <c r="BA9" i="10"/>
  <c r="AT9" i="10"/>
  <c r="AM9" i="10"/>
  <c r="AF9" i="10"/>
  <c r="BS9" i="10" s="1"/>
  <c r="Z9" i="10"/>
  <c r="Y9" i="10"/>
  <c r="U9" i="10"/>
  <c r="R9" i="10"/>
  <c r="T9" i="10" s="1"/>
  <c r="O9" i="10"/>
  <c r="Q9" i="10" s="1"/>
  <c r="BP8" i="10"/>
  <c r="BO8" i="10"/>
  <c r="BN8" i="10"/>
  <c r="BM8" i="10"/>
  <c r="BH8" i="10"/>
  <c r="BA8" i="10"/>
  <c r="AT8" i="10"/>
  <c r="AM8" i="10"/>
  <c r="AF8" i="10"/>
  <c r="Z8" i="10"/>
  <c r="Y8" i="10"/>
  <c r="U8" i="10"/>
  <c r="R8" i="10"/>
  <c r="O8" i="10"/>
  <c r="Q8" i="10" s="1"/>
  <c r="BP7" i="10"/>
  <c r="BT7" i="10" s="1"/>
  <c r="BO7" i="10"/>
  <c r="BN7" i="10"/>
  <c r="BM7" i="10"/>
  <c r="BH7" i="10"/>
  <c r="BA7" i="10"/>
  <c r="AT7" i="10"/>
  <c r="AM7" i="10"/>
  <c r="AF7" i="10"/>
  <c r="Z7" i="10"/>
  <c r="Y7" i="10"/>
  <c r="U7" i="10"/>
  <c r="T7" i="10"/>
  <c r="R7" i="10"/>
  <c r="O7" i="10"/>
  <c r="BP6" i="10"/>
  <c r="BO6" i="10"/>
  <c r="BS6" i="10" s="1"/>
  <c r="BN6" i="10"/>
  <c r="BM6" i="10"/>
  <c r="BH6" i="10"/>
  <c r="BA6" i="10"/>
  <c r="AT6" i="10"/>
  <c r="AM6" i="10"/>
  <c r="AF6" i="10"/>
  <c r="Z6" i="10"/>
  <c r="Y6" i="10"/>
  <c r="U6" i="10"/>
  <c r="R6" i="10"/>
  <c r="T6" i="10" s="1"/>
  <c r="O6" i="10"/>
  <c r="Q6" i="10" s="1"/>
  <c r="BH5" i="10"/>
  <c r="BA5" i="10"/>
  <c r="AT5" i="10"/>
  <c r="AM5" i="10"/>
  <c r="BN5" i="10"/>
  <c r="BR5" i="10" s="1"/>
  <c r="AF5" i="10"/>
  <c r="Z5" i="10"/>
  <c r="Y5" i="10"/>
  <c r="U5" i="10"/>
  <c r="R5" i="10"/>
  <c r="T5" i="10" s="1"/>
  <c r="O5" i="10"/>
  <c r="Q5" i="10" s="1"/>
  <c r="I35" i="9"/>
  <c r="BO34" i="9"/>
  <c r="I34" i="9"/>
  <c r="I33" i="9"/>
  <c r="I32" i="9"/>
  <c r="I31" i="9"/>
  <c r="H26" i="9"/>
  <c r="I26" i="9" s="1"/>
  <c r="H25" i="9"/>
  <c r="H24" i="9"/>
  <c r="H23" i="9"/>
  <c r="H28" i="9" s="1"/>
  <c r="BO18" i="9"/>
  <c r="BN18" i="9"/>
  <c r="BM18" i="9"/>
  <c r="BL18" i="9"/>
  <c r="BG18" i="9"/>
  <c r="AZ18" i="9"/>
  <c r="AS18" i="9"/>
  <c r="BQ18" i="9" s="1"/>
  <c r="AE18" i="9"/>
  <c r="BP18" i="9" s="1"/>
  <c r="H18" i="9"/>
  <c r="BO17" i="9"/>
  <c r="BN17" i="9"/>
  <c r="BM17" i="9"/>
  <c r="BL17" i="9"/>
  <c r="BG17" i="9"/>
  <c r="BS17" i="9" s="1"/>
  <c r="AZ17" i="9"/>
  <c r="AS17" i="9"/>
  <c r="AE17" i="9"/>
  <c r="BR17" i="9" s="1"/>
  <c r="H17" i="9"/>
  <c r="BO16" i="9"/>
  <c r="BN16" i="9"/>
  <c r="BM16" i="9"/>
  <c r="BL16" i="9"/>
  <c r="BG16" i="9"/>
  <c r="AZ16" i="9"/>
  <c r="AS16" i="9"/>
  <c r="BS16" i="9" s="1"/>
  <c r="AE16" i="9"/>
  <c r="BP16" i="9" s="1"/>
  <c r="H16" i="9"/>
  <c r="BO15" i="9"/>
  <c r="BN15" i="9"/>
  <c r="BM15" i="9"/>
  <c r="BL15" i="9"/>
  <c r="BG15" i="9"/>
  <c r="AZ15" i="9"/>
  <c r="AS15" i="9"/>
  <c r="AF15" i="9"/>
  <c r="AE15" i="9"/>
  <c r="BR15" i="9" s="1"/>
  <c r="Y15" i="9"/>
  <c r="X15" i="9"/>
  <c r="U15" i="9"/>
  <c r="W15" i="9" s="1"/>
  <c r="R15" i="9"/>
  <c r="T15" i="9" s="1"/>
  <c r="O15" i="9"/>
  <c r="BO14" i="9"/>
  <c r="BN14" i="9"/>
  <c r="BM14" i="9"/>
  <c r="BL14" i="9"/>
  <c r="BG14" i="9"/>
  <c r="AZ14" i="9"/>
  <c r="AS14" i="9"/>
  <c r="AM14" i="9"/>
  <c r="AL14" i="9"/>
  <c r="AF14" i="9"/>
  <c r="AE14" i="9"/>
  <c r="BP14" i="9" s="1"/>
  <c r="Y14" i="9"/>
  <c r="X14" i="9"/>
  <c r="U14" i="9"/>
  <c r="W14" i="9" s="1"/>
  <c r="R14" i="9"/>
  <c r="T14" i="9" s="1"/>
  <c r="O14" i="9"/>
  <c r="BO13" i="9"/>
  <c r="BN13" i="9"/>
  <c r="BM13" i="9"/>
  <c r="BL13" i="9"/>
  <c r="BG13" i="9"/>
  <c r="AZ13" i="9"/>
  <c r="AS13" i="9"/>
  <c r="AL13" i="9"/>
  <c r="AF13" i="9"/>
  <c r="BS13" i="9" s="1"/>
  <c r="AE13" i="9"/>
  <c r="BP13" i="9" s="1"/>
  <c r="Y13" i="9"/>
  <c r="X13" i="9"/>
  <c r="W13" i="9"/>
  <c r="U13" i="9"/>
  <c r="T13" i="9"/>
  <c r="R13" i="9"/>
  <c r="P13" i="9"/>
  <c r="O13" i="9"/>
  <c r="BO12" i="9"/>
  <c r="BO23" i="9" s="1"/>
  <c r="BN12" i="9"/>
  <c r="BN23" i="9" s="1"/>
  <c r="BM12" i="9"/>
  <c r="BM23" i="9" s="1"/>
  <c r="BL12" i="9"/>
  <c r="BL23" i="9" s="1"/>
  <c r="BG12" i="9"/>
  <c r="AZ12" i="9"/>
  <c r="AS12" i="9"/>
  <c r="BQ12" i="9" s="1"/>
  <c r="AL12" i="9"/>
  <c r="AE12" i="9"/>
  <c r="BP12" i="9" s="1"/>
  <c r="Y12" i="9"/>
  <c r="Y24" i="9" s="1"/>
  <c r="X12" i="9"/>
  <c r="X24" i="9" s="1"/>
  <c r="U12" i="9"/>
  <c r="W12" i="9" s="1"/>
  <c r="W24" i="9" s="1"/>
  <c r="R12" i="9"/>
  <c r="T12" i="9" s="1"/>
  <c r="T24" i="9" s="1"/>
  <c r="P12" i="9"/>
  <c r="Q24" i="9" s="1"/>
  <c r="O12" i="9"/>
  <c r="BO11" i="9"/>
  <c r="BO25" i="9" s="1"/>
  <c r="BN11" i="9"/>
  <c r="BN25" i="9" s="1"/>
  <c r="BM11" i="9"/>
  <c r="BM25" i="9" s="1"/>
  <c r="BL11" i="9"/>
  <c r="BL25" i="9" s="1"/>
  <c r="BG11" i="9"/>
  <c r="AZ11" i="9"/>
  <c r="AS11" i="9"/>
  <c r="AM11" i="9"/>
  <c r="BP11" i="9" s="1"/>
  <c r="BP25" i="9" s="1"/>
  <c r="AL11" i="9"/>
  <c r="AF11" i="9"/>
  <c r="BR11" i="9" s="1"/>
  <c r="BR25" i="9" s="1"/>
  <c r="AE11" i="9"/>
  <c r="BS11" i="9" s="1"/>
  <c r="BS25" i="9" s="1"/>
  <c r="Y11" i="9"/>
  <c r="Y26" i="9" s="1"/>
  <c r="X11" i="9"/>
  <c r="X26" i="9" s="1"/>
  <c r="W11" i="9"/>
  <c r="W26" i="9" s="1"/>
  <c r="U11" i="9"/>
  <c r="T11" i="9"/>
  <c r="T26" i="9" s="1"/>
  <c r="R11" i="9"/>
  <c r="Q26" i="9"/>
  <c r="O11" i="9"/>
  <c r="BO10" i="9"/>
  <c r="BN10" i="9"/>
  <c r="BM10" i="9"/>
  <c r="BL10" i="9"/>
  <c r="BG10" i="9"/>
  <c r="AZ10" i="9"/>
  <c r="AS10" i="9"/>
  <c r="AM10" i="9"/>
  <c r="BP10" i="9" s="1"/>
  <c r="AL10" i="9"/>
  <c r="AF10" i="9"/>
  <c r="BS10" i="9" s="1"/>
  <c r="AE10" i="9"/>
  <c r="BQ10" i="9" s="1"/>
  <c r="Y10" i="9"/>
  <c r="X10" i="9"/>
  <c r="W10" i="9"/>
  <c r="U10" i="9"/>
  <c r="T10" i="9"/>
  <c r="R10" i="9"/>
  <c r="P10" i="9"/>
  <c r="O10" i="9"/>
  <c r="BO9" i="9"/>
  <c r="BN9" i="9"/>
  <c r="BM9" i="9"/>
  <c r="BL9" i="9"/>
  <c r="BG9" i="9"/>
  <c r="AZ9" i="9"/>
  <c r="AT9" i="9"/>
  <c r="AS9" i="9"/>
  <c r="AM9" i="9"/>
  <c r="AL9" i="9"/>
  <c r="AF9" i="9"/>
  <c r="BQ9" i="9" s="1"/>
  <c r="AE9" i="9"/>
  <c r="BP9" i="9" s="1"/>
  <c r="Y9" i="9"/>
  <c r="X9" i="9"/>
  <c r="W9" i="9"/>
  <c r="U9" i="9"/>
  <c r="S9" i="9"/>
  <c r="R9" i="9"/>
  <c r="T9" i="9" s="1"/>
  <c r="P9" i="9"/>
  <c r="O9" i="9"/>
  <c r="BO8" i="9"/>
  <c r="BN8" i="9"/>
  <c r="BM8" i="9"/>
  <c r="BL8" i="9"/>
  <c r="BG8" i="9"/>
  <c r="AZ8" i="9"/>
  <c r="AS8" i="9"/>
  <c r="AM8" i="9"/>
  <c r="BP8" i="9" s="1"/>
  <c r="AL8" i="9"/>
  <c r="AF8" i="9"/>
  <c r="BS8" i="9" s="1"/>
  <c r="AE8" i="9"/>
  <c r="BQ8" i="9" s="1"/>
  <c r="Y8" i="9"/>
  <c r="X8" i="9"/>
  <c r="W8" i="9"/>
  <c r="U8" i="9"/>
  <c r="T8" i="9"/>
  <c r="R8" i="9"/>
  <c r="P8" i="9"/>
  <c r="O8" i="9"/>
  <c r="BO7" i="9"/>
  <c r="BO24" i="9" s="1"/>
  <c r="BN7" i="9"/>
  <c r="BN24" i="9" s="1"/>
  <c r="BM7" i="9"/>
  <c r="BM24" i="9" s="1"/>
  <c r="BL7" i="9"/>
  <c r="BL24" i="9" s="1"/>
  <c r="BG7" i="9"/>
  <c r="AZ7" i="9"/>
  <c r="AS7" i="9"/>
  <c r="AM7" i="9"/>
  <c r="AL7" i="9"/>
  <c r="AF7" i="9"/>
  <c r="AE7" i="9"/>
  <c r="BP7" i="9" s="1"/>
  <c r="BP24" i="9" s="1"/>
  <c r="Y7" i="9"/>
  <c r="Y25" i="9" s="1"/>
  <c r="X7" i="9"/>
  <c r="X25" i="9" s="1"/>
  <c r="U7" i="9"/>
  <c r="W7" i="9" s="1"/>
  <c r="W25" i="9" s="1"/>
  <c r="S7" i="9"/>
  <c r="T7" i="9" s="1"/>
  <c r="T25" i="9" s="1"/>
  <c r="R7" i="9"/>
  <c r="P7" i="9"/>
  <c r="O7" i="9"/>
  <c r="BO6" i="9"/>
  <c r="BN6" i="9"/>
  <c r="BM6" i="9"/>
  <c r="BL6" i="9"/>
  <c r="BG6" i="9"/>
  <c r="AZ6" i="9"/>
  <c r="AS6" i="9"/>
  <c r="AM6" i="9"/>
  <c r="AL6" i="9"/>
  <c r="BS6" i="9" s="1"/>
  <c r="AE6" i="9"/>
  <c r="BR6" i="9" s="1"/>
  <c r="Y6" i="9"/>
  <c r="X6" i="9"/>
  <c r="W6" i="9"/>
  <c r="U6" i="9"/>
  <c r="S6" i="9"/>
  <c r="R6" i="9"/>
  <c r="T6" i="9" s="1"/>
  <c r="O6" i="9"/>
  <c r="BO5" i="9"/>
  <c r="BO22" i="9" s="1"/>
  <c r="BO27" i="9" s="1"/>
  <c r="BG5" i="9"/>
  <c r="AZ5" i="9"/>
  <c r="AT5" i="9"/>
  <c r="AS5" i="9"/>
  <c r="AM5" i="9"/>
  <c r="BS5" i="9" s="1"/>
  <c r="BS22" i="9" s="1"/>
  <c r="AL5" i="9"/>
  <c r="BR5" i="9" s="1"/>
  <c r="AG5" i="9"/>
  <c r="BN5" i="9" s="1"/>
  <c r="BN22" i="9" s="1"/>
  <c r="AE5" i="9"/>
  <c r="Y5" i="9"/>
  <c r="Y23" i="9" s="1"/>
  <c r="Y28" i="9" s="1"/>
  <c r="X5" i="9"/>
  <c r="X23" i="9" s="1"/>
  <c r="X28" i="9" s="1"/>
  <c r="W5" i="9"/>
  <c r="W23" i="9" s="1"/>
  <c r="U5" i="9"/>
  <c r="T5" i="9"/>
  <c r="T23" i="9" s="1"/>
  <c r="T28" i="9" s="1"/>
  <c r="S5" i="9"/>
  <c r="R5" i="9"/>
  <c r="P5" i="9"/>
  <c r="O5" i="9"/>
  <c r="Q23" i="9" s="1"/>
  <c r="I2" i="9"/>
  <c r="Y6" i="8"/>
  <c r="Y23" i="8" s="1"/>
  <c r="Y7" i="8"/>
  <c r="Y8" i="8"/>
  <c r="Y9" i="8"/>
  <c r="Y10" i="8"/>
  <c r="Y11" i="8"/>
  <c r="Y12" i="8"/>
  <c r="Y13" i="8"/>
  <c r="Y14" i="8"/>
  <c r="Y15" i="8"/>
  <c r="Y5" i="8"/>
  <c r="X6" i="8"/>
  <c r="X7" i="8"/>
  <c r="X8" i="8"/>
  <c r="X9" i="8"/>
  <c r="X10" i="8"/>
  <c r="X11" i="8"/>
  <c r="X26" i="8" s="1"/>
  <c r="X12" i="8"/>
  <c r="X24" i="8" s="1"/>
  <c r="X13" i="8"/>
  <c r="X14" i="8"/>
  <c r="X15" i="8"/>
  <c r="X5" i="8"/>
  <c r="AF13" i="8"/>
  <c r="AF15" i="8"/>
  <c r="U15" i="8"/>
  <c r="W15" i="8" s="1"/>
  <c r="U14" i="8"/>
  <c r="R15" i="8"/>
  <c r="T15" i="8" s="1"/>
  <c r="P13" i="8"/>
  <c r="O15" i="8"/>
  <c r="Q15" i="8" s="1"/>
  <c r="Y26" i="8"/>
  <c r="BQ35" i="35" l="1"/>
  <c r="BR27" i="33"/>
  <c r="BT27" i="33"/>
  <c r="Y24" i="33"/>
  <c r="Y32" i="33" s="1"/>
  <c r="BR27" i="30"/>
  <c r="X8" i="17"/>
  <c r="Y8" i="17" s="1"/>
  <c r="BU24" i="17"/>
  <c r="BS24" i="17"/>
  <c r="X15" i="17"/>
  <c r="Y15" i="17" s="1"/>
  <c r="BR24" i="17"/>
  <c r="X12" i="17"/>
  <c r="Y12" i="17" s="1"/>
  <c r="X6" i="17"/>
  <c r="Y6" i="17" s="1"/>
  <c r="BT22" i="17"/>
  <c r="BS22" i="17"/>
  <c r="BT23" i="17"/>
  <c r="W9" i="29"/>
  <c r="Q24" i="24"/>
  <c r="Q28" i="24" s="1"/>
  <c r="BR23" i="25"/>
  <c r="W13" i="25"/>
  <c r="Z28" i="25"/>
  <c r="Q28" i="23"/>
  <c r="W14" i="23"/>
  <c r="BR23" i="28"/>
  <c r="BS23" i="28"/>
  <c r="BQ5" i="28"/>
  <c r="BS24" i="27"/>
  <c r="BS23" i="27"/>
  <c r="W7" i="22"/>
  <c r="W13" i="22"/>
  <c r="W14" i="27"/>
  <c r="W14" i="22"/>
  <c r="W6" i="22"/>
  <c r="W11" i="22"/>
  <c r="W8" i="22"/>
  <c r="W9" i="22"/>
  <c r="Z28" i="22"/>
  <c r="W12" i="22"/>
  <c r="BT9" i="10"/>
  <c r="BQ7" i="10"/>
  <c r="BQ24" i="10" s="1"/>
  <c r="BS8" i="10"/>
  <c r="BQ9" i="10"/>
  <c r="BT11" i="10"/>
  <c r="Z23" i="10"/>
  <c r="BO5" i="10"/>
  <c r="BS5" i="10" s="1"/>
  <c r="BQ6" i="10"/>
  <c r="Q7" i="10"/>
  <c r="BR7" i="10"/>
  <c r="T8" i="10"/>
  <c r="BR8" i="10"/>
  <c r="BT8" i="10"/>
  <c r="BR9" i="10"/>
  <c r="W9" i="10" s="1"/>
  <c r="Q26" i="10"/>
  <c r="Q10" i="10"/>
  <c r="BS10" i="10"/>
  <c r="BS25" i="10" s="1"/>
  <c r="BR11" i="10"/>
  <c r="W11" i="10" s="1"/>
  <c r="BS12" i="10"/>
  <c r="BS13" i="10"/>
  <c r="BT13" i="10"/>
  <c r="BQ13" i="10"/>
  <c r="Q14" i="10"/>
  <c r="BQ11" i="10"/>
  <c r="BT14" i="10"/>
  <c r="BR14" i="10"/>
  <c r="BR23" i="10" s="1"/>
  <c r="BQ14" i="10"/>
  <c r="BS14" i="10"/>
  <c r="BM5" i="10"/>
  <c r="BT6" i="10"/>
  <c r="BR12" i="10"/>
  <c r="BR6" i="10"/>
  <c r="BR22" i="10" s="1"/>
  <c r="BS7" i="10"/>
  <c r="BS24" i="10" s="1"/>
  <c r="BQ8" i="10"/>
  <c r="BS11" i="10"/>
  <c r="BS23" i="10" s="1"/>
  <c r="BT12" i="10"/>
  <c r="BR13" i="10"/>
  <c r="Y24" i="8"/>
  <c r="X25" i="8"/>
  <c r="BU27" i="36"/>
  <c r="Y23" i="36"/>
  <c r="Y31" i="36" s="1"/>
  <c r="BT27" i="36"/>
  <c r="BS27" i="36"/>
  <c r="BV23" i="36"/>
  <c r="AJ43" i="36" s="1"/>
  <c r="BW24" i="36"/>
  <c r="AK44" i="36" s="1"/>
  <c r="BV22" i="36"/>
  <c r="AJ42" i="36" s="1"/>
  <c r="BV24" i="36"/>
  <c r="AJ44" i="36" s="1"/>
  <c r="BW22" i="36"/>
  <c r="AK42" i="36" s="1"/>
  <c r="Y25" i="36"/>
  <c r="Y33" i="36" s="1"/>
  <c r="BR27" i="36"/>
  <c r="Y24" i="36"/>
  <c r="Y32" i="36" s="1"/>
  <c r="Y24" i="35"/>
  <c r="Y32" i="35" s="1"/>
  <c r="Y31" i="35"/>
  <c r="BQ35" i="34"/>
  <c r="Y24" i="34"/>
  <c r="Y32" i="34" s="1"/>
  <c r="Y31" i="34"/>
  <c r="Y25" i="34"/>
  <c r="Y33" i="34" s="1"/>
  <c r="BQ35" i="33"/>
  <c r="Y31" i="33"/>
  <c r="Y25" i="32"/>
  <c r="Y33" i="32" s="1"/>
  <c r="Y24" i="32"/>
  <c r="Y32" i="32" s="1"/>
  <c r="BR27" i="32"/>
  <c r="BS27" i="32"/>
  <c r="Y31" i="32"/>
  <c r="BQ35" i="30"/>
  <c r="Y23" i="30"/>
  <c r="Y24" i="30"/>
  <c r="Y32" i="30" s="1"/>
  <c r="X13" i="17"/>
  <c r="Y13" i="17" s="1"/>
  <c r="BR23" i="17"/>
  <c r="X7" i="17"/>
  <c r="X11" i="17"/>
  <c r="X10" i="17"/>
  <c r="Q28" i="22"/>
  <c r="Y28" i="22"/>
  <c r="W7" i="27"/>
  <c r="W12" i="27"/>
  <c r="BQ5" i="22"/>
  <c r="BO27" i="22"/>
  <c r="BN27" i="22"/>
  <c r="W10" i="27"/>
  <c r="W6" i="27"/>
  <c r="W8" i="27"/>
  <c r="BS24" i="22"/>
  <c r="BM27" i="22"/>
  <c r="BT22" i="22"/>
  <c r="BR23" i="22"/>
  <c r="W13" i="27"/>
  <c r="W9" i="27"/>
  <c r="W11" i="27"/>
  <c r="BP27" i="27"/>
  <c r="BR23" i="27"/>
  <c r="BN27" i="27"/>
  <c r="W8" i="29"/>
  <c r="W13" i="29"/>
  <c r="BT23" i="29"/>
  <c r="BT27" i="29" s="1"/>
  <c r="BR27" i="29"/>
  <c r="BQ23" i="29"/>
  <c r="W11" i="29"/>
  <c r="BQ5" i="29"/>
  <c r="W12" i="29"/>
  <c r="BS24" i="29"/>
  <c r="BS27" i="29" s="1"/>
  <c r="BQ24" i="29"/>
  <c r="Q28" i="29"/>
  <c r="W6" i="28"/>
  <c r="BS5" i="28"/>
  <c r="BS22" i="28" s="1"/>
  <c r="BR5" i="28"/>
  <c r="BR22" i="28" s="1"/>
  <c r="BR27" i="28" s="1"/>
  <c r="W10" i="28"/>
  <c r="BQ25" i="28"/>
  <c r="BQ22" i="28"/>
  <c r="BT22" i="28"/>
  <c r="BT27" i="28" s="1"/>
  <c r="BQ23" i="28"/>
  <c r="W11" i="28"/>
  <c r="BS24" i="28"/>
  <c r="W7" i="28"/>
  <c r="BQ24" i="28"/>
  <c r="BQ24" i="27"/>
  <c r="BT22" i="27"/>
  <c r="BS5" i="27"/>
  <c r="BS22" i="27" s="1"/>
  <c r="BS27" i="27" s="1"/>
  <c r="BQ22" i="27"/>
  <c r="BQ25" i="27"/>
  <c r="BQ23" i="27"/>
  <c r="BT24" i="27"/>
  <c r="BT23" i="27"/>
  <c r="BR5" i="27"/>
  <c r="BR22" i="27" s="1"/>
  <c r="BT24" i="25"/>
  <c r="BT27" i="25" s="1"/>
  <c r="BN27" i="25"/>
  <c r="BR5" i="25"/>
  <c r="BR22" i="25" s="1"/>
  <c r="BR27" i="25" s="1"/>
  <c r="BQ22" i="25"/>
  <c r="W7" i="25"/>
  <c r="BQ24" i="25"/>
  <c r="BS23" i="25"/>
  <c r="W9" i="25"/>
  <c r="W10" i="25"/>
  <c r="BQ25" i="25"/>
  <c r="BS5" i="25"/>
  <c r="BS22" i="25" s="1"/>
  <c r="BS27" i="25" s="1"/>
  <c r="BQ23" i="25"/>
  <c r="W11" i="25"/>
  <c r="BO27" i="24"/>
  <c r="BN27" i="24"/>
  <c r="BN27" i="23"/>
  <c r="BM27" i="23"/>
  <c r="W8" i="23"/>
  <c r="BT22" i="23"/>
  <c r="BT27" i="23" s="1"/>
  <c r="BR23" i="23"/>
  <c r="BR27" i="23" s="1"/>
  <c r="W7" i="24"/>
  <c r="BQ24" i="24"/>
  <c r="BS5" i="24"/>
  <c r="BS22" i="24" s="1"/>
  <c r="BS27" i="24" s="1"/>
  <c r="W10" i="24"/>
  <c r="BQ25" i="24"/>
  <c r="W9" i="24"/>
  <c r="BT22" i="24"/>
  <c r="BT27" i="24" s="1"/>
  <c r="W12" i="24"/>
  <c r="BQ5" i="24"/>
  <c r="BQ23" i="24"/>
  <c r="W11" i="24"/>
  <c r="BR5" i="24"/>
  <c r="BR22" i="24" s="1"/>
  <c r="BR27" i="24" s="1"/>
  <c r="W9" i="23"/>
  <c r="BQ5" i="23"/>
  <c r="W10" i="23"/>
  <c r="W6" i="23"/>
  <c r="BQ23" i="23"/>
  <c r="W11" i="23"/>
  <c r="BS24" i="23"/>
  <c r="BS27" i="23" s="1"/>
  <c r="W7" i="23"/>
  <c r="W12" i="10"/>
  <c r="X12" i="25" s="1"/>
  <c r="W13" i="10"/>
  <c r="X13" i="22" s="1"/>
  <c r="BN25" i="10"/>
  <c r="BR10" i="10"/>
  <c r="BT24" i="10"/>
  <c r="W8" i="10"/>
  <c r="X8" i="24" s="1"/>
  <c r="W7" i="10"/>
  <c r="X7" i="27" s="1"/>
  <c r="BT22" i="10"/>
  <c r="BS22" i="10"/>
  <c r="BS5" i="22"/>
  <c r="BS22" i="22" s="1"/>
  <c r="BT23" i="22"/>
  <c r="BQ22" i="22"/>
  <c r="BQ23" i="22"/>
  <c r="BR24" i="22"/>
  <c r="BQ24" i="22"/>
  <c r="BQ25" i="22"/>
  <c r="BQ5" i="10"/>
  <c r="BQ22" i="10" s="1"/>
  <c r="BM25" i="10"/>
  <c r="BQ10" i="10"/>
  <c r="BQ25" i="10" s="1"/>
  <c r="Z25" i="10"/>
  <c r="BQ23" i="10"/>
  <c r="BU5" i="17"/>
  <c r="BU22" i="17" s="1"/>
  <c r="R28" i="17"/>
  <c r="BN27" i="17"/>
  <c r="I25" i="17"/>
  <c r="AA28" i="17"/>
  <c r="Z28" i="17"/>
  <c r="U28" i="17"/>
  <c r="I26" i="17"/>
  <c r="BR5" i="17"/>
  <c r="BR22" i="17" s="1"/>
  <c r="Y23" i="10"/>
  <c r="BP23" i="10"/>
  <c r="BN23" i="10"/>
  <c r="BM23" i="10"/>
  <c r="Q24" i="10"/>
  <c r="T11" i="10"/>
  <c r="BO22" i="10"/>
  <c r="BN22" i="10"/>
  <c r="BP22" i="10"/>
  <c r="BM24" i="10"/>
  <c r="BN24" i="10"/>
  <c r="BO24" i="10"/>
  <c r="BP24" i="10"/>
  <c r="Q25" i="10"/>
  <c r="Y25" i="10"/>
  <c r="H28" i="10"/>
  <c r="T23" i="10"/>
  <c r="T25" i="10"/>
  <c r="T24" i="10"/>
  <c r="Q23" i="10"/>
  <c r="Z28" i="10"/>
  <c r="W31" i="9"/>
  <c r="W28" i="9"/>
  <c r="BN27" i="9"/>
  <c r="W32" i="9"/>
  <c r="I25" i="9"/>
  <c r="I24" i="9"/>
  <c r="W34" i="9"/>
  <c r="Q25" i="9"/>
  <c r="W33" i="9" s="1"/>
  <c r="BQ7" i="9"/>
  <c r="BQ24" i="9" s="1"/>
  <c r="BQ13" i="9"/>
  <c r="BQ14" i="9"/>
  <c r="BQ23" i="9" s="1"/>
  <c r="BS15" i="9"/>
  <c r="BQ16" i="9"/>
  <c r="BL5" i="9"/>
  <c r="BL22" i="9" s="1"/>
  <c r="BL27" i="9" s="1"/>
  <c r="BP6" i="9"/>
  <c r="BR7" i="9"/>
  <c r="BR9" i="9"/>
  <c r="BQ11" i="9"/>
  <c r="BQ25" i="9" s="1"/>
  <c r="BR12" i="9"/>
  <c r="BR23" i="9" s="1"/>
  <c r="BR13" i="9"/>
  <c r="BR14" i="9"/>
  <c r="BP15" i="9"/>
  <c r="BP23" i="9" s="1"/>
  <c r="BR16" i="9"/>
  <c r="BP17" i="9"/>
  <c r="BR18" i="9"/>
  <c r="BM5" i="9"/>
  <c r="BM22" i="9" s="1"/>
  <c r="BM27" i="9" s="1"/>
  <c r="BQ5" i="9"/>
  <c r="BQ22" i="9" s="1"/>
  <c r="BQ6" i="9"/>
  <c r="BS7" i="9"/>
  <c r="BR8" i="9"/>
  <c r="BS9" i="9"/>
  <c r="BR10" i="9"/>
  <c r="BR22" i="9" s="1"/>
  <c r="BS12" i="9"/>
  <c r="BS23" i="9" s="1"/>
  <c r="BS14" i="9"/>
  <c r="BQ15" i="9"/>
  <c r="BQ17" i="9"/>
  <c r="BS18" i="9"/>
  <c r="I23" i="9"/>
  <c r="X23" i="8"/>
  <c r="X28" i="8" s="1"/>
  <c r="Y25" i="8"/>
  <c r="Y28" i="8" s="1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H26" i="8"/>
  <c r="H25" i="8"/>
  <c r="H24" i="8"/>
  <c r="AT9" i="8"/>
  <c r="AM9" i="8"/>
  <c r="AF9" i="8"/>
  <c r="AM8" i="8"/>
  <c r="AF8" i="8"/>
  <c r="AM7" i="8"/>
  <c r="AF7" i="8"/>
  <c r="AM11" i="8"/>
  <c r="AF11" i="8"/>
  <c r="AM14" i="8"/>
  <c r="AF14" i="8"/>
  <c r="S9" i="8"/>
  <c r="P9" i="8"/>
  <c r="P8" i="8"/>
  <c r="S7" i="8"/>
  <c r="P7" i="8"/>
  <c r="P12" i="8"/>
  <c r="P10" i="8"/>
  <c r="P5" i="8"/>
  <c r="I31" i="8"/>
  <c r="I32" i="8"/>
  <c r="I33" i="8"/>
  <c r="I34" i="8"/>
  <c r="AM10" i="8"/>
  <c r="AF10" i="8"/>
  <c r="AM6" i="8"/>
  <c r="S6" i="8"/>
  <c r="AT5" i="8"/>
  <c r="AM5" i="8"/>
  <c r="AG5" i="8"/>
  <c r="S5" i="8"/>
  <c r="Y28" i="35" l="1"/>
  <c r="Y28" i="33"/>
  <c r="W5" i="22"/>
  <c r="X11" i="24"/>
  <c r="X11" i="25"/>
  <c r="X11" i="28"/>
  <c r="X11" i="22"/>
  <c r="X11" i="23"/>
  <c r="X11" i="29"/>
  <c r="X11" i="27"/>
  <c r="X11" i="10"/>
  <c r="X9" i="25"/>
  <c r="X9" i="10"/>
  <c r="X9" i="22"/>
  <c r="X9" i="24"/>
  <c r="X9" i="23"/>
  <c r="X9" i="28"/>
  <c r="X9" i="29"/>
  <c r="X9" i="27"/>
  <c r="X13" i="24"/>
  <c r="X13" i="25"/>
  <c r="X8" i="27"/>
  <c r="X25" i="27" s="1"/>
  <c r="X33" i="27" s="1"/>
  <c r="X8" i="29"/>
  <c r="X7" i="29"/>
  <c r="X7" i="23"/>
  <c r="W14" i="10"/>
  <c r="X12" i="22"/>
  <c r="X12" i="28"/>
  <c r="X13" i="10"/>
  <c r="X13" i="29"/>
  <c r="X8" i="25"/>
  <c r="X8" i="22"/>
  <c r="X7" i="28"/>
  <c r="X7" i="24"/>
  <c r="X25" i="24" s="1"/>
  <c r="X33" i="24" s="1"/>
  <c r="BR24" i="10"/>
  <c r="X12" i="23"/>
  <c r="X12" i="24"/>
  <c r="W6" i="10"/>
  <c r="X13" i="23"/>
  <c r="X13" i="27"/>
  <c r="X8" i="28"/>
  <c r="X8" i="23"/>
  <c r="X7" i="22"/>
  <c r="X7" i="25"/>
  <c r="X25" i="25" s="1"/>
  <c r="X33" i="25" s="1"/>
  <c r="BT23" i="10"/>
  <c r="X12" i="10"/>
  <c r="X12" i="27"/>
  <c r="Y28" i="10"/>
  <c r="X13" i="28"/>
  <c r="X8" i="10"/>
  <c r="X7" i="10"/>
  <c r="X25" i="10" s="1"/>
  <c r="X33" i="10" s="1"/>
  <c r="X12" i="29"/>
  <c r="BQ35" i="36"/>
  <c r="Y28" i="36"/>
  <c r="Y28" i="34"/>
  <c r="Y28" i="32"/>
  <c r="BQ35" i="32"/>
  <c r="Y31" i="30"/>
  <c r="Y28" i="30"/>
  <c r="BS27" i="28"/>
  <c r="Y11" i="17"/>
  <c r="Y24" i="17" s="1"/>
  <c r="Y32" i="17" s="1"/>
  <c r="Y10" i="17"/>
  <c r="Y26" i="17" s="1"/>
  <c r="Y34" i="17" s="1"/>
  <c r="Y7" i="17"/>
  <c r="Y25" i="17" s="1"/>
  <c r="Y33" i="17" s="1"/>
  <c r="X5" i="17"/>
  <c r="W5" i="27"/>
  <c r="BT27" i="22"/>
  <c r="BR27" i="22"/>
  <c r="BS27" i="22"/>
  <c r="BR27" i="27"/>
  <c r="Q28" i="10"/>
  <c r="BQ22" i="29"/>
  <c r="BQ27" i="29" s="1"/>
  <c r="BP35" i="29" s="1"/>
  <c r="W5" i="29"/>
  <c r="W5" i="28"/>
  <c r="BQ27" i="28"/>
  <c r="BP35" i="28" s="1"/>
  <c r="BT27" i="27"/>
  <c r="BQ27" i="27"/>
  <c r="W5" i="25"/>
  <c r="BQ27" i="25"/>
  <c r="BP35" i="25" s="1"/>
  <c r="BQ22" i="24"/>
  <c r="BQ27" i="24" s="1"/>
  <c r="BP35" i="24" s="1"/>
  <c r="W5" i="24"/>
  <c r="BQ22" i="23"/>
  <c r="BQ27" i="23" s="1"/>
  <c r="BP35" i="23" s="1"/>
  <c r="W5" i="23"/>
  <c r="W5" i="10"/>
  <c r="W10" i="10"/>
  <c r="BR25" i="10"/>
  <c r="BQ27" i="22"/>
  <c r="BO27" i="10"/>
  <c r="BM27" i="10"/>
  <c r="BN27" i="10"/>
  <c r="BP27" i="10"/>
  <c r="I26" i="10"/>
  <c r="I23" i="10"/>
  <c r="I25" i="10"/>
  <c r="I24" i="10"/>
  <c r="T28" i="10"/>
  <c r="BR27" i="9"/>
  <c r="Q28" i="9"/>
  <c r="BQ27" i="9"/>
  <c r="BS24" i="9"/>
  <c r="BS27" i="9" s="1"/>
  <c r="BO35" i="9" s="1"/>
  <c r="BR24" i="9"/>
  <c r="BP5" i="9"/>
  <c r="BP22" i="9" s="1"/>
  <c r="BP27" i="9" s="1"/>
  <c r="H23" i="8"/>
  <c r="I35" i="8"/>
  <c r="H18" i="8"/>
  <c r="H17" i="8"/>
  <c r="H16" i="8"/>
  <c r="X25" i="22" l="1"/>
  <c r="X10" i="24"/>
  <c r="X26" i="24" s="1"/>
  <c r="X34" i="24" s="1"/>
  <c r="X10" i="22"/>
  <c r="X26" i="22" s="1"/>
  <c r="X34" i="22" s="1"/>
  <c r="X10" i="29"/>
  <c r="X26" i="29" s="1"/>
  <c r="X34" i="29" s="1"/>
  <c r="X10" i="25"/>
  <c r="X26" i="25" s="1"/>
  <c r="X34" i="25" s="1"/>
  <c r="X10" i="10"/>
  <c r="X26" i="10" s="1"/>
  <c r="X34" i="10" s="1"/>
  <c r="X10" i="27"/>
  <c r="X26" i="27" s="1"/>
  <c r="X34" i="27" s="1"/>
  <c r="X10" i="28"/>
  <c r="X26" i="28" s="1"/>
  <c r="X34" i="28" s="1"/>
  <c r="X10" i="23"/>
  <c r="X26" i="23" s="1"/>
  <c r="X34" i="23" s="1"/>
  <c r="X25" i="28"/>
  <c r="X33" i="28" s="1"/>
  <c r="X25" i="29"/>
  <c r="X33" i="29" s="1"/>
  <c r="X5" i="27"/>
  <c r="X5" i="10"/>
  <c r="X5" i="25"/>
  <c r="X5" i="29"/>
  <c r="X5" i="22"/>
  <c r="X5" i="24"/>
  <c r="X5" i="23"/>
  <c r="X5" i="28"/>
  <c r="X14" i="27"/>
  <c r="X24" i="27" s="1"/>
  <c r="X32" i="27" s="1"/>
  <c r="X14" i="22"/>
  <c r="X24" i="22" s="1"/>
  <c r="X32" i="22" s="1"/>
  <c r="X14" i="29"/>
  <c r="X24" i="29" s="1"/>
  <c r="X32" i="29" s="1"/>
  <c r="X14" i="25"/>
  <c r="X24" i="25" s="1"/>
  <c r="X32" i="25" s="1"/>
  <c r="X14" i="28"/>
  <c r="X24" i="28" s="1"/>
  <c r="X32" i="28" s="1"/>
  <c r="X14" i="10"/>
  <c r="X24" i="10" s="1"/>
  <c r="X32" i="10" s="1"/>
  <c r="X14" i="23"/>
  <c r="X24" i="23" s="1"/>
  <c r="X32" i="23" s="1"/>
  <c r="X14" i="24"/>
  <c r="X24" i="24" s="1"/>
  <c r="X32" i="24" s="1"/>
  <c r="X6" i="29"/>
  <c r="X6" i="23"/>
  <c r="X6" i="10"/>
  <c r="X23" i="10" s="1"/>
  <c r="X6" i="25"/>
  <c r="X6" i="28"/>
  <c r="X6" i="27"/>
  <c r="X6" i="24"/>
  <c r="X6" i="22"/>
  <c r="X25" i="23"/>
  <c r="X33" i="23" s="1"/>
  <c r="BP35" i="27"/>
  <c r="Y5" i="17"/>
  <c r="Y23" i="17" s="1"/>
  <c r="X33" i="22"/>
  <c r="BP35" i="22"/>
  <c r="BQ35" i="17"/>
  <c r="BT27" i="10"/>
  <c r="BS27" i="10"/>
  <c r="BR27" i="10"/>
  <c r="AZ18" i="8"/>
  <c r="AS18" i="8"/>
  <c r="AE18" i="8"/>
  <c r="AZ17" i="8"/>
  <c r="AS17" i="8"/>
  <c r="AE17" i="8"/>
  <c r="AZ16" i="8"/>
  <c r="AS16" i="8"/>
  <c r="AE16" i="8"/>
  <c r="AZ15" i="8"/>
  <c r="AS15" i="8"/>
  <c r="AE15" i="8"/>
  <c r="AZ14" i="8"/>
  <c r="AS14" i="8"/>
  <c r="AL14" i="8"/>
  <c r="AE14" i="8"/>
  <c r="W14" i="8"/>
  <c r="R14" i="8"/>
  <c r="T14" i="8" s="1"/>
  <c r="O14" i="8"/>
  <c r="Q14" i="8" s="1"/>
  <c r="AZ13" i="8"/>
  <c r="AS13" i="8"/>
  <c r="AL13" i="8"/>
  <c r="AE13" i="8"/>
  <c r="U13" i="8"/>
  <c r="W13" i="8" s="1"/>
  <c r="R13" i="8"/>
  <c r="T13" i="8" s="1"/>
  <c r="O13" i="8"/>
  <c r="Q13" i="8" s="1"/>
  <c r="AZ12" i="8"/>
  <c r="AS12" i="8"/>
  <c r="AL12" i="8"/>
  <c r="AE12" i="8"/>
  <c r="U12" i="8"/>
  <c r="W12" i="8" s="1"/>
  <c r="R12" i="8"/>
  <c r="T12" i="8" s="1"/>
  <c r="O12" i="8"/>
  <c r="Q12" i="8" s="1"/>
  <c r="AZ11" i="8"/>
  <c r="AS11" i="8"/>
  <c r="AL11" i="8"/>
  <c r="AE11" i="8"/>
  <c r="U11" i="8"/>
  <c r="R11" i="8"/>
  <c r="T11" i="8" s="1"/>
  <c r="T26" i="8" s="1"/>
  <c r="O11" i="8"/>
  <c r="AZ10" i="8"/>
  <c r="AS10" i="8"/>
  <c r="AL10" i="8"/>
  <c r="AE10" i="8"/>
  <c r="U10" i="8"/>
  <c r="W10" i="8" s="1"/>
  <c r="R10" i="8"/>
  <c r="T10" i="8" s="1"/>
  <c r="O10" i="8"/>
  <c r="Q10" i="8" s="1"/>
  <c r="AZ9" i="8"/>
  <c r="AS9" i="8"/>
  <c r="AL9" i="8"/>
  <c r="AE9" i="8"/>
  <c r="U9" i="8"/>
  <c r="W9" i="8" s="1"/>
  <c r="R9" i="8"/>
  <c r="T9" i="8" s="1"/>
  <c r="O9" i="8"/>
  <c r="Q9" i="8" s="1"/>
  <c r="AZ8" i="8"/>
  <c r="AS8" i="8"/>
  <c r="AL8" i="8"/>
  <c r="AE8" i="8"/>
  <c r="U8" i="8"/>
  <c r="W8" i="8" s="1"/>
  <c r="R8" i="8"/>
  <c r="T8" i="8" s="1"/>
  <c r="O8" i="8"/>
  <c r="Q8" i="8" s="1"/>
  <c r="AZ7" i="8"/>
  <c r="AS7" i="8"/>
  <c r="AL7" i="8"/>
  <c r="AE7" i="8"/>
  <c r="U7" i="8"/>
  <c r="W7" i="8" s="1"/>
  <c r="R7" i="8"/>
  <c r="T7" i="8" s="1"/>
  <c r="O7" i="8"/>
  <c r="Q7" i="8" s="1"/>
  <c r="AZ6" i="8"/>
  <c r="AS6" i="8"/>
  <c r="AL6" i="8"/>
  <c r="AE6" i="8"/>
  <c r="U6" i="8"/>
  <c r="W6" i="8" s="1"/>
  <c r="R6" i="8"/>
  <c r="T6" i="8" s="1"/>
  <c r="O6" i="8"/>
  <c r="Q6" i="8" s="1"/>
  <c r="AZ5" i="8"/>
  <c r="AS5" i="8"/>
  <c r="AL5" i="8"/>
  <c r="AE5" i="8"/>
  <c r="U5" i="8"/>
  <c r="W5" i="8" s="1"/>
  <c r="R5" i="8"/>
  <c r="T5" i="8" s="1"/>
  <c r="O5" i="8"/>
  <c r="Q5" i="8" s="1"/>
  <c r="X23" i="23" l="1"/>
  <c r="X31" i="10"/>
  <c r="X28" i="10"/>
  <c r="X23" i="25"/>
  <c r="X23" i="24"/>
  <c r="X23" i="22"/>
  <c r="X28" i="22" s="1"/>
  <c r="X23" i="27"/>
  <c r="X31" i="27" s="1"/>
  <c r="X23" i="28"/>
  <c r="X23" i="29"/>
  <c r="Q26" i="8"/>
  <c r="Q11" i="8"/>
  <c r="Y31" i="17"/>
  <c r="Y28" i="17"/>
  <c r="W11" i="8"/>
  <c r="W26" i="8" s="1"/>
  <c r="Q23" i="8"/>
  <c r="T23" i="8"/>
  <c r="Q25" i="8"/>
  <c r="Q24" i="8"/>
  <c r="T25" i="8"/>
  <c r="W25" i="8"/>
  <c r="W24" i="8"/>
  <c r="W23" i="8"/>
  <c r="T24" i="8"/>
  <c r="BO8" i="8"/>
  <c r="BS8" i="8" s="1"/>
  <c r="BO11" i="8"/>
  <c r="BO25" i="8" s="1"/>
  <c r="BL11" i="8"/>
  <c r="BL25" i="8" s="1"/>
  <c r="BL15" i="8"/>
  <c r="BP15" i="8" s="1"/>
  <c r="BN11" i="8"/>
  <c r="BN25" i="8" s="1"/>
  <c r="I2" i="8"/>
  <c r="BO14" i="8"/>
  <c r="BS14" i="8" s="1"/>
  <c r="BO13" i="8"/>
  <c r="BS13" i="8" s="1"/>
  <c r="BO7" i="8"/>
  <c r="BN8" i="8"/>
  <c r="BR8" i="8" s="1"/>
  <c r="BL12" i="8"/>
  <c r="BL5" i="8"/>
  <c r="BO5" i="8"/>
  <c r="BM7" i="8"/>
  <c r="BO10" i="8"/>
  <c r="BS10" i="8" s="1"/>
  <c r="BO16" i="8"/>
  <c r="BS16" i="8" s="1"/>
  <c r="BM12" i="8"/>
  <c r="BL17" i="8"/>
  <c r="BP17" i="8" s="1"/>
  <c r="BN6" i="8"/>
  <c r="BR6" i="8" s="1"/>
  <c r="BO6" i="8"/>
  <c r="BS6" i="8" s="1"/>
  <c r="BM6" i="8"/>
  <c r="BQ6" i="8" s="1"/>
  <c r="BL6" i="8"/>
  <c r="BP6" i="8" s="1"/>
  <c r="BN10" i="8"/>
  <c r="BR10" i="8" s="1"/>
  <c r="BM11" i="8"/>
  <c r="BM25" i="8" s="1"/>
  <c r="BM13" i="8"/>
  <c r="BQ13" i="8" s="1"/>
  <c r="BO18" i="8"/>
  <c r="BS18" i="8" s="1"/>
  <c r="BM10" i="8"/>
  <c r="BQ10" i="8" s="1"/>
  <c r="BL10" i="8"/>
  <c r="BP10" i="8" s="1"/>
  <c r="BN14" i="8"/>
  <c r="BR14" i="8" s="1"/>
  <c r="BM17" i="8"/>
  <c r="BM5" i="8"/>
  <c r="BM22" i="8" s="1"/>
  <c r="BL7" i="8"/>
  <c r="BN15" i="8"/>
  <c r="BR15" i="8" s="1"/>
  <c r="BM15" i="8"/>
  <c r="BQ15" i="8" s="1"/>
  <c r="BL16" i="8"/>
  <c r="BP16" i="8" s="1"/>
  <c r="BM16" i="8"/>
  <c r="BQ16" i="8" s="1"/>
  <c r="BO17" i="8"/>
  <c r="BS17" i="8" s="1"/>
  <c r="BO12" i="8"/>
  <c r="BM14" i="8"/>
  <c r="BQ14" i="8" s="1"/>
  <c r="BL14" i="8"/>
  <c r="BP14" i="8" s="1"/>
  <c r="BL8" i="8"/>
  <c r="BP8" i="8" s="1"/>
  <c r="BO9" i="8"/>
  <c r="BS9" i="8" s="1"/>
  <c r="BN16" i="8"/>
  <c r="BR16" i="8" s="1"/>
  <c r="BO15" i="8"/>
  <c r="BS15" i="8" s="1"/>
  <c r="BN7" i="8"/>
  <c r="BM8" i="8"/>
  <c r="BQ8" i="8" s="1"/>
  <c r="BL9" i="8"/>
  <c r="BP9" i="8" s="1"/>
  <c r="BN17" i="8"/>
  <c r="BR17" i="8" s="1"/>
  <c r="BN5" i="8"/>
  <c r="BN22" i="8" s="1"/>
  <c r="BM9" i="8"/>
  <c r="BQ9" i="8" s="1"/>
  <c r="BN12" i="8"/>
  <c r="BN23" i="8" s="1"/>
  <c r="BN13" i="8"/>
  <c r="BR13" i="8" s="1"/>
  <c r="BL18" i="8"/>
  <c r="BP18" i="8" s="1"/>
  <c r="H28" i="8"/>
  <c r="BM18" i="8"/>
  <c r="BQ18" i="8" s="1"/>
  <c r="BN9" i="8"/>
  <c r="BR9" i="8" s="1"/>
  <c r="BL13" i="8"/>
  <c r="BP13" i="8" s="1"/>
  <c r="BQ17" i="8"/>
  <c r="BN18" i="8"/>
  <c r="BR18" i="8" s="1"/>
  <c r="X28" i="27" l="1"/>
  <c r="X31" i="22"/>
  <c r="X31" i="23"/>
  <c r="X28" i="23"/>
  <c r="X31" i="29"/>
  <c r="X28" i="29"/>
  <c r="X31" i="24"/>
  <c r="X28" i="24"/>
  <c r="X31" i="28"/>
  <c r="X28" i="28"/>
  <c r="X31" i="25"/>
  <c r="X28" i="25"/>
  <c r="BL23" i="8"/>
  <c r="BO23" i="8"/>
  <c r="BM24" i="8"/>
  <c r="BN24" i="8"/>
  <c r="BM23" i="8"/>
  <c r="BO22" i="8"/>
  <c r="BO24" i="8"/>
  <c r="BL24" i="8"/>
  <c r="BL22" i="8"/>
  <c r="BR12" i="8"/>
  <c r="BR23" i="8" s="1"/>
  <c r="BS12" i="8"/>
  <c r="BS23" i="8" s="1"/>
  <c r="BQ7" i="8"/>
  <c r="BQ24" i="8" s="1"/>
  <c r="BS11" i="8"/>
  <c r="BS25" i="8" s="1"/>
  <c r="BR5" i="8"/>
  <c r="BR22" i="8" s="1"/>
  <c r="BQ12" i="8"/>
  <c r="BQ23" i="8" s="1"/>
  <c r="BS5" i="8"/>
  <c r="BS22" i="8" s="1"/>
  <c r="BS7" i="8"/>
  <c r="BS24" i="8" s="1"/>
  <c r="BR11" i="8"/>
  <c r="BR25" i="8" s="1"/>
  <c r="BR7" i="8"/>
  <c r="BR24" i="8" s="1"/>
  <c r="BQ11" i="8"/>
  <c r="BQ25" i="8" s="1"/>
  <c r="BQ5" i="8"/>
  <c r="BQ22" i="8" s="1"/>
  <c r="BP7" i="8"/>
  <c r="BP24" i="8" s="1"/>
  <c r="BP12" i="8"/>
  <c r="BP23" i="8" s="1"/>
  <c r="BP11" i="8"/>
  <c r="BP25" i="8" s="1"/>
  <c r="BP5" i="8"/>
  <c r="BP22" i="8" s="1"/>
  <c r="W31" i="8"/>
  <c r="W34" i="8"/>
  <c r="W32" i="8"/>
  <c r="W33" i="8"/>
  <c r="T28" i="8"/>
  <c r="W28" i="8"/>
  <c r="I24" i="8"/>
  <c r="I25" i="8"/>
  <c r="I26" i="8"/>
  <c r="Q28" i="8"/>
  <c r="I23" i="8"/>
  <c r="BP27" i="8" l="1"/>
  <c r="BL27" i="8"/>
  <c r="BO27" i="8"/>
  <c r="BN27" i="8"/>
  <c r="BS27" i="8"/>
  <c r="BR27" i="8"/>
  <c r="BQ27" i="8"/>
  <c r="BM27" i="8"/>
  <c r="BQ27" i="10" l="1"/>
  <c r="BP35" i="10" s="1"/>
</calcChain>
</file>

<file path=xl/sharedStrings.xml><?xml version="1.0" encoding="utf-8"?>
<sst xmlns="http://schemas.openxmlformats.org/spreadsheetml/2006/main" count="2985" uniqueCount="142">
  <si>
    <t>Baujahr</t>
  </si>
  <si>
    <t>Grundfläche</t>
  </si>
  <si>
    <t>floor</t>
  </si>
  <si>
    <t>Neighbourhood</t>
  </si>
  <si>
    <t>Building</t>
  </si>
  <si>
    <t>Area number</t>
  </si>
  <si>
    <t>Area name</t>
  </si>
  <si>
    <t>Zone</t>
  </si>
  <si>
    <t>Size</t>
  </si>
  <si>
    <t>Air-conditioned</t>
  </si>
  <si>
    <t>Nebenflächen (ohne Aufenthaltsräume)</t>
  </si>
  <si>
    <t>kitchen</t>
  </si>
  <si>
    <t>Total</t>
  </si>
  <si>
    <t>Geschosszahl</t>
  </si>
  <si>
    <t>Geschosshöhe</t>
  </si>
  <si>
    <t>Vergleich Dokument (S.33)</t>
  </si>
  <si>
    <t>Room 1</t>
  </si>
  <si>
    <t>Room 2</t>
  </si>
  <si>
    <t>Room 3</t>
  </si>
  <si>
    <t>Room 4</t>
  </si>
  <si>
    <t>Room 5</t>
  </si>
  <si>
    <t>North</t>
  </si>
  <si>
    <t>East</t>
  </si>
  <si>
    <t>South</t>
  </si>
  <si>
    <t>West</t>
  </si>
  <si>
    <t>Total Area size [m^2]</t>
  </si>
  <si>
    <t>Length</t>
  </si>
  <si>
    <t>Height</t>
  </si>
  <si>
    <t>Total Window Area</t>
  </si>
  <si>
    <t>Total Wall Area</t>
  </si>
  <si>
    <t>Window area</t>
  </si>
  <si>
    <t>Area Ground</t>
  </si>
  <si>
    <t>North2</t>
  </si>
  <si>
    <t>East3</t>
  </si>
  <si>
    <t>South4</t>
  </si>
  <si>
    <t>West5</t>
  </si>
  <si>
    <t>Height6</t>
  </si>
  <si>
    <t>Length7</t>
  </si>
  <si>
    <t>Window area11</t>
  </si>
  <si>
    <t>East13</t>
  </si>
  <si>
    <t>West15</t>
  </si>
  <si>
    <t>Height16</t>
  </si>
  <si>
    <t>Length17</t>
  </si>
  <si>
    <t>Window area21</t>
  </si>
  <si>
    <t>East23</t>
  </si>
  <si>
    <t>West25</t>
  </si>
  <si>
    <t>Height26</t>
  </si>
  <si>
    <t>Length27</t>
  </si>
  <si>
    <t>Window area31</t>
  </si>
  <si>
    <t>Window area41</t>
  </si>
  <si>
    <t>1. Schritt: Vermessen der Gebäudeflächen und Gebäudehüllen</t>
  </si>
  <si>
    <t>2. Schritt: Optimieren der thermischen Zonen</t>
  </si>
  <si>
    <t>Spalte1</t>
  </si>
  <si>
    <t>Spalte3</t>
  </si>
  <si>
    <t>Spalte4</t>
  </si>
  <si>
    <t>Spalte5</t>
  </si>
  <si>
    <t>Thermische Zone</t>
  </si>
  <si>
    <t>Überprüfung</t>
  </si>
  <si>
    <t>East2</t>
  </si>
  <si>
    <t>South2</t>
  </si>
  <si>
    <t>West2</t>
  </si>
  <si>
    <t>North3</t>
  </si>
  <si>
    <t>Height2</t>
  </si>
  <si>
    <t>Length2</t>
  </si>
  <si>
    <t>North4</t>
  </si>
  <si>
    <t>Surface Exterior I</t>
  </si>
  <si>
    <t>Surface Exterior II</t>
  </si>
  <si>
    <t>Surface Exterior III</t>
  </si>
  <si>
    <t>Surface Exterior IV</t>
  </si>
  <si>
    <t>Surface Exterior V</t>
  </si>
  <si>
    <t>Length3</t>
  </si>
  <si>
    <t>ceiling</t>
  </si>
  <si>
    <t>Yes/No</t>
  </si>
  <si>
    <t>Yes/No2</t>
  </si>
  <si>
    <t>Surface Interior (thermal/thermal)</t>
  </si>
  <si>
    <t>Surface Interior (thermal/non-thermal)</t>
  </si>
  <si>
    <t>Height22</t>
  </si>
  <si>
    <t>Length33</t>
  </si>
  <si>
    <t>Surface Interior (Inner Walls)</t>
  </si>
  <si>
    <t>Total [m^2]</t>
  </si>
  <si>
    <t>Total [m^2]2</t>
  </si>
  <si>
    <t>Total [m^2]3</t>
  </si>
  <si>
    <t>Sum Surface Interior</t>
  </si>
  <si>
    <t>Nettofläche [m^2]</t>
  </si>
  <si>
    <t>Zone Number</t>
  </si>
  <si>
    <t>to</t>
  </si>
  <si>
    <t>Sortiere Thermische Zonen, die kleiner als 3% sind anderen thermischen Zonen zu (Links die Formel anpassen)</t>
  </si>
  <si>
    <t>South3</t>
  </si>
  <si>
    <t>South5</t>
  </si>
  <si>
    <t>North5</t>
  </si>
  <si>
    <t>South6</t>
  </si>
  <si>
    <t>Annex 60</t>
  </si>
  <si>
    <t>D1 North</t>
  </si>
  <si>
    <t>Living room</t>
  </si>
  <si>
    <t>bedroom1</t>
  </si>
  <si>
    <t>bedrrom2</t>
  </si>
  <si>
    <t>bedroom3</t>
  </si>
  <si>
    <t>study</t>
  </si>
  <si>
    <t>bathroom</t>
  </si>
  <si>
    <t>toilet</t>
  </si>
  <si>
    <t>storage</t>
  </si>
  <si>
    <t>Wohnen</t>
  </si>
  <si>
    <t>Bettenzimmer</t>
  </si>
  <si>
    <t xml:space="preserve">WC und Sanitaerraeume in Nichtwohngebaeuden </t>
  </si>
  <si>
    <t>y</t>
  </si>
  <si>
    <t>n</t>
  </si>
  <si>
    <t>G</t>
  </si>
  <si>
    <t>R</t>
  </si>
  <si>
    <t>hall 1</t>
  </si>
  <si>
    <t>hall 2</t>
  </si>
  <si>
    <t>(f)loor/(c )eiling</t>
  </si>
  <si>
    <t>(g)round/(r )oof</t>
  </si>
  <si>
    <t>c</t>
  </si>
  <si>
    <t>f</t>
  </si>
  <si>
    <t>D2 North</t>
  </si>
  <si>
    <t>Bodenplatte</t>
  </si>
  <si>
    <t>SW</t>
  </si>
  <si>
    <t>S1 West</t>
  </si>
  <si>
    <t>S1 East</t>
  </si>
  <si>
    <t>S2 East</t>
  </si>
  <si>
    <t>T1 North</t>
  </si>
  <si>
    <t>(g)round/(r )oof2</t>
  </si>
  <si>
    <t>hall 3</t>
  </si>
  <si>
    <t>T2 North</t>
  </si>
  <si>
    <t>T1 West</t>
  </si>
  <si>
    <t>T2 West</t>
  </si>
  <si>
    <t>T1 East</t>
  </si>
  <si>
    <t>S1 North Left</t>
  </si>
  <si>
    <t>Wand = Doppelwand</t>
  </si>
  <si>
    <t>Length34</t>
  </si>
  <si>
    <t>.</t>
  </si>
  <si>
    <t>S1 North Right</t>
  </si>
  <si>
    <t>S2 North Right</t>
  </si>
  <si>
    <t>S2 North Left</t>
  </si>
  <si>
    <t xml:space="preserve">S2 West </t>
  </si>
  <si>
    <t>Length332</t>
  </si>
  <si>
    <t>T2 East</t>
  </si>
  <si>
    <t>A1 / O1</t>
  </si>
  <si>
    <t xml:space="preserve">hall </t>
  </si>
  <si>
    <t>Area Roof</t>
  </si>
  <si>
    <t>Area Roof adjusted</t>
  </si>
  <si>
    <t>real roof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</si>
</sst>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 tint="-0.249977111117893"/>
      </left>
      <right/>
      <top/>
      <bottom style="medium">
        <color theme="3"/>
      </bottom>
      <diagonal/>
    </border>
    <border>
      <left/>
      <right style="medium">
        <color theme="3" tint="-0.249977111117893"/>
      </right>
      <top/>
      <bottom style="medium">
        <color theme="3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2">
    <xf numFmtId="0" fontId="0" fillId="0" borderId="0" xfId="0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2" fillId="5" borderId="0" xfId="0" applyFont="1" applyFill="1"/>
    <xf numFmtId="0" fontId="3" fillId="5" borderId="0" xfId="0" applyFont="1" applyFill="1"/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1" fillId="5" borderId="0" xfId="0" applyFont="1" applyFill="1" applyBorder="1"/>
    <xf numFmtId="0" fontId="0" fillId="0" borderId="5" xfId="0" applyFill="1" applyBorder="1"/>
    <xf numFmtId="0" fontId="0" fillId="4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0" borderId="4" xfId="0" applyFill="1" applyBorder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0" fillId="0" borderId="0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0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3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19" xfId="0" applyFill="1" applyBorder="1"/>
    <xf numFmtId="0" fontId="0" fillId="0" borderId="21" xfId="0" applyFont="1" applyFill="1" applyBorder="1"/>
    <xf numFmtId="0" fontId="0" fillId="0" borderId="26" xfId="0" applyBorder="1"/>
    <xf numFmtId="0" fontId="0" fillId="0" borderId="7" xfId="0" applyFill="1" applyBorder="1"/>
    <xf numFmtId="0" fontId="0" fillId="0" borderId="27" xfId="0" applyBorder="1"/>
    <xf numFmtId="0" fontId="0" fillId="6" borderId="23" xfId="0" applyFont="1" applyFill="1" applyBorder="1"/>
    <xf numFmtId="0" fontId="0" fillId="6" borderId="24" xfId="0" applyFont="1" applyFill="1" applyBorder="1"/>
    <xf numFmtId="0" fontId="0" fillId="6" borderId="24" xfId="0" applyFill="1" applyBorder="1"/>
    <xf numFmtId="0" fontId="0" fillId="4" borderId="25" xfId="0" applyFill="1" applyBorder="1"/>
    <xf numFmtId="0" fontId="2" fillId="5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21" xfId="0" applyFill="1" applyBorder="1"/>
    <xf numFmtId="0" fontId="0" fillId="6" borderId="21" xfId="0" applyFont="1" applyFill="1" applyBorder="1"/>
    <xf numFmtId="0" fontId="0" fillId="2" borderId="28" xfId="0" applyFont="1" applyFill="1" applyBorder="1"/>
    <xf numFmtId="0" fontId="0" fillId="4" borderId="0" xfId="0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9" fontId="0" fillId="0" borderId="0" xfId="1" applyFont="1"/>
    <xf numFmtId="0" fontId="0" fillId="4" borderId="0" xfId="0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NumberFormat="1" applyFill="1" applyBorder="1"/>
    <xf numFmtId="0" fontId="0" fillId="0" borderId="4" xfId="0" applyNumberFormat="1" applyFill="1" applyBorder="1"/>
    <xf numFmtId="0" fontId="2" fillId="5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4" borderId="0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29" xfId="0" applyBorder="1"/>
  </cellXfs>
  <cellStyles count="2">
    <cellStyle name="Prozent" xfId="1" builtinId="5"/>
    <cellStyle name="Standard" xfId="0" builtinId="0"/>
  </cellStyles>
  <dxfs count="7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4"/>
        </patternFill>
      </fill>
      <border outline="0">
        <right style="medium">
          <color theme="3"/>
        </right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/>
        </patternFill>
      </fill>
      <border diagonalUp="0" diagonalDown="0" outline="0">
        <left style="medium">
          <color theme="3"/>
        </left>
        <right/>
        <top/>
        <bottom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1F497D"/>
        </top>
      </border>
    </dxf>
    <dxf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theme="3"/>
        </right>
        <top/>
        <bottom/>
      </border>
    </dxf>
    <dxf>
      <numFmt numFmtId="0" formatCode="General"/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4"/>
        </patternFill>
      </fill>
      <border diagonalUp="0" diagonalDown="0">
        <left/>
        <right style="medium">
          <color theme="3"/>
        </right>
        <top/>
        <bottom/>
      </border>
    </dxf>
    <dxf>
      <fill>
        <patternFill patternType="solid">
          <fgColor indexed="64"/>
          <bgColor theme="4"/>
        </patternFill>
      </fill>
      <border diagonalUp="0" diagonalDown="0">
        <left style="medium">
          <color theme="3"/>
        </left>
        <right/>
        <top/>
        <bottom/>
        <vertical/>
        <horizontal/>
      </border>
    </dxf>
    <dxf>
      <border outline="0">
        <left style="medium">
          <color rgb="FF1F497D"/>
        </left>
        <right style="medium">
          <color rgb="FF1F497D"/>
        </right>
        <bottom style="medium">
          <color rgb="FF1F497D"/>
        </bottom>
      </border>
    </dxf>
    <dxf>
      <numFmt numFmtId="0" formatCode="General"/>
    </dxf>
    <dxf>
      <numFmt numFmtId="0" formatCode="General"/>
      <border diagonalUp="0" diagonalDown="0">
        <left style="medium">
          <color theme="3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medium">
          <color rgb="FF16365C"/>
        </left>
        <right style="medium">
          <color rgb="FF16365C"/>
        </right>
        <top style="medium">
          <color rgb="FF16365C"/>
        </top>
        <bottom style="medium">
          <color rgb="FF16365C"/>
        </bottom>
      </border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 style="medium">
          <color rgb="FF1F497D"/>
        </left>
        <right style="medium">
          <color rgb="FF1F497D"/>
        </right>
        <top style="medium">
          <color rgb="FF1F497D"/>
        </top>
        <bottom style="medium">
          <color rgb="FF1F497D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9" name="Tabelle181420" displayName="Tabelle181420" ref="A4:H18" totalsRowShown="0" tableBorderDxfId="795">
  <autoFilter ref="A4:H18"/>
  <tableColumns count="8">
    <tableColumn id="1" name="Area number" dataDxfId="794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793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elle51218247" displayName="Tabelle51218247" ref="O4:Y18" totalsRowShown="0" headerRowDxfId="727" dataDxfId="726" tableBorderDxfId="725">
  <autoFilter ref="O4:Y18"/>
  <tableColumns count="11">
    <tableColumn id="1" name="Height" dataDxfId="724">
      <calculatedColumnFormula>$H$2</calculatedColumnFormula>
    </tableColumn>
    <tableColumn id="20" name="Length" dataDxfId="723"/>
    <tableColumn id="2" name="Total [m^2]" dataDxfId="722">
      <calculatedColumnFormula>Tabelle51218247[[#This Row],[Height]]*Tabelle51218247[[#This Row],[Length]]</calculatedColumnFormula>
    </tableColumn>
    <tableColumn id="16" name="Height2" dataDxfId="721">
      <calculatedColumnFormula>$H$2</calculatedColumnFormula>
    </tableColumn>
    <tableColumn id="21" name="Length3" dataDxfId="720">
      <calculatedColumnFormula>(425+105)/100</calculatedColumnFormula>
    </tableColumn>
    <tableColumn id="17" name="Total [m^2]2" dataDxfId="719">
      <calculatedColumnFormula>Tabelle51218247[[#This Row],[Height2]]*Tabelle51218247[[#This Row],[Length3]]</calculatedColumnFormula>
    </tableColumn>
    <tableColumn id="18" name="Height22" dataDxfId="718">
      <calculatedColumnFormula>$H$2</calculatedColumnFormula>
    </tableColumn>
    <tableColumn id="22" name="Length33" dataDxfId="717"/>
    <tableColumn id="19" name="Total [m^2]3" dataDxfId="716">
      <calculatedColumnFormula>Tabelle51218247[[#This Row],[Height22]]*Tabelle51218247[[#This Row],[Length33]]</calculatedColumnFormula>
    </tableColumn>
    <tableColumn id="10" name="Yes/No" dataDxfId="715">
      <calculatedColumnFormula>Tabelle51218247[[#This Row],[Total '[m^2']2]]</calculatedColumnFormula>
    </tableColumn>
    <tableColumn id="13" name="Yes/No2" dataDxfId="714">
      <calculatedColumnFormula>Tabelle51218247[[#This Row],[Total '[m^2']2]]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Tabelle18142038" displayName="Tabelle18142038" ref="A4:H18" totalsRowShown="0" tableBorderDxfId="713">
  <autoFilter ref="A4:H18"/>
  <tableColumns count="8">
    <tableColumn id="1" name="Area number" dataDxfId="712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711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Tabelle29152149" displayName="Tabelle29152149" ref="BM4:BW18" totalsRowShown="0" tableBorderDxfId="710">
  <autoFilter ref="BM4:BW18"/>
  <tableColumns count="11">
    <tableColumn id="51" name="North" dataDxfId="709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708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707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706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1">
      <calculatedColumnFormula>IF(Tabelle18142038[[#This Row],[(g)round/(r )oof]]="R",Tabelle18142038[[#This Row],[Total Area size '[m^2']]],IF(Tabelle18142038[[#This Row],[(g)round/(r )oof]]="B",Tabelle18142038[[#This Row],[Total Area size '[m^2']]],0))</calculatedColumnFormula>
    </tableColumn>
    <tableColumn id="1" name="Area Roof adjusted"/>
    <tableColumn id="61" name="Area Ground" dataDxfId="0">
      <calculatedColumnFormula>IF(Tabelle18142038[[#This Row],[(g)round/(r )oof]]="G",Tabelle18142038[[#This Row],[Total Area size '[m^2']]],IF(Tabelle18142038[[#This Row],[(g)round/(r )oof]]="B",Tabelle18142038[[#This Row],[Total Area size '[m^2']]],0))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elle3101622510" displayName="Tabelle3101622510" ref="AB4:BJ18" totalsRowShown="0" tableBorderDxfId="705">
  <autoFilter ref="AB4:BJ18"/>
  <tableColumns count="35">
    <tableColumn id="51" name="South"/>
    <tableColumn id="2" name="East"/>
    <tableColumn id="3" name="North"/>
    <tableColumn id="4" name="West"/>
    <tableColumn id="5" name="Height" dataDxfId="704">
      <calculatedColumnFormula>$H$2</calculatedColumnFormula>
    </tableColumn>
    <tableColumn id="6" name="Length" dataDxfId="703">
      <calculatedColumnFormula>(0.33+1.62+3.1+1.2+1.2)</calculatedColumnFormula>
    </tableColumn>
    <tableColumn id="10" name="Window area" dataDxfId="702">
      <calculatedColumnFormula>7.04</calculatedColumnFormula>
    </tableColumn>
    <tableColumn id="11" name="South3" dataDxfId="701"/>
    <tableColumn id="12" name="East3"/>
    <tableColumn id="13" name="North2"/>
    <tableColumn id="14" name="West5"/>
    <tableColumn id="15" name="Height6" dataDxfId="700">
      <calculatedColumnFormula>$H$2</calculatedColumnFormula>
    </tableColumn>
    <tableColumn id="16" name="Length7" dataDxfId="699">
      <calculatedColumnFormula>(805-637)/100</calculatedColumnFormula>
    </tableColumn>
    <tableColumn id="20" name="Window area11" dataDxfId="698">
      <calculatedColumnFormula>5.83+2.88</calculatedColumnFormula>
    </tableColumn>
    <tableColumn id="21" name="South4" dataDxfId="697"/>
    <tableColumn id="22" name="East13"/>
    <tableColumn id="23" name="North4"/>
    <tableColumn id="24" name="West15"/>
    <tableColumn id="25" name="Height16" dataDxfId="696">
      <calculatedColumnFormula>$H$2</calculatedColumnFormula>
    </tableColumn>
    <tableColumn id="26" name="Length17" dataDxfId="695">
      <calculatedColumnFormula>0.33+4.6+0.08</calculatedColumnFormula>
    </tableColumn>
    <tableColumn id="30" name="Window area21" dataDxfId="694">
      <calculatedColumnFormula>IF(#REF!="None",0,IF(#REF!="Full",AU5*AT5,IF(#REF!="Percent",AT5*AU5*#REF!,IF(#REF!="Length",#REF!*#REF!,IF(#REF!="Number",#REF!*#REF!,"0")))))</calculatedColumnFormula>
    </tableColumn>
    <tableColumn id="31" name="South5" dataDxfId="693"/>
    <tableColumn id="32" name="East23"/>
    <tableColumn id="33" name="North5"/>
    <tableColumn id="34" name="West25"/>
    <tableColumn id="35" name="Height26" dataDxfId="692">
      <calculatedColumnFormula>$H$2</calculatedColumnFormula>
    </tableColumn>
    <tableColumn id="36" name="Length27"/>
    <tableColumn id="40" name="Window area31" dataDxfId="691">
      <calculatedColumnFormula>IF(#REF!="None",0,IF(#REF!="Full",BB5*BA5,IF(#REF!="Percent",BA5*BB5*#REF!,IF(#REF!="Length",#REF!*#REF!,IF(#REF!="Number",#REF!*#REF!,"0")))))</calculatedColumnFormula>
    </tableColumn>
    <tableColumn id="41" name="South6" dataDxfId="690"/>
    <tableColumn id="42" name="East2"/>
    <tableColumn id="43" name="North3"/>
    <tableColumn id="44" name="West2"/>
    <tableColumn id="45" name="Height2" dataDxfId="689">
      <calculatedColumnFormula>$H$2</calculatedColumnFormula>
    </tableColumn>
    <tableColumn id="46" name="Length2"/>
    <tableColumn id="50" name="Window area41" dataDxfId="68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elle4111723611" displayName="Tabelle4111723611" ref="B22:H28" totalsRowShown="0" tableBorderDxfId="687">
  <autoFilter ref="B22:H28"/>
  <tableColumns count="7">
    <tableColumn id="8" name="Zone Number" dataDxfId="686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Tabelle5121824712" displayName="Tabelle5121824712" ref="O4:Z18" totalsRowShown="0" headerRowDxfId="685" dataDxfId="684" tableBorderDxfId="683">
  <autoFilter ref="O4:Z18"/>
  <tableColumns count="12">
    <tableColumn id="1" name="Height" dataDxfId="682">
      <calculatedColumnFormula>$H$2</calculatedColumnFormula>
    </tableColumn>
    <tableColumn id="20" name="Length" dataDxfId="681"/>
    <tableColumn id="2" name="Total [m^2]" dataDxfId="680">
      <calculatedColumnFormula>Tabelle5121824712[[#This Row],[Height]]*Tabelle5121824712[[#This Row],[Length]]</calculatedColumnFormula>
    </tableColumn>
    <tableColumn id="16" name="Height2" dataDxfId="679">
      <calculatedColumnFormula>$H$2</calculatedColumnFormula>
    </tableColumn>
    <tableColumn id="21" name="Length3" dataDxfId="678">
      <calculatedColumnFormula>(3.75+0.9+0.71+0.9)</calculatedColumnFormula>
    </tableColumn>
    <tableColumn id="17" name="Total [m^2]2" dataDxfId="677">
      <calculatedColumnFormula>Tabelle5121824712[[#This Row],[Height2]]*Tabelle5121824712[[#This Row],[Length3]]</calculatedColumnFormula>
    </tableColumn>
    <tableColumn id="18" name="Height22" dataDxfId="676">
      <calculatedColumnFormula>$H$2</calculatedColumnFormula>
    </tableColumn>
    <tableColumn id="22" name="Length33" dataDxfId="675"/>
    <tableColumn id="3" name="Length34" dataDxfId="674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673">
      <calculatedColumnFormula>Tabelle5121824712[[#This Row],[Height22]]*Tabelle5121824712[[#This Row],[Length33]]+Tabelle5121824712[[#This Row],[Length34]]/2</calculatedColumnFormula>
    </tableColumn>
    <tableColumn id="10" name="Yes/No" dataDxfId="672">
      <calculatedColumnFormula>Tabelle5121824712[[#This Row],[Total '[m^2']2]]</calculatedColumnFormula>
    </tableColumn>
    <tableColumn id="13" name="Yes/No2" dataDxfId="671">
      <calculatedColumnFormula>Tabelle5121824712[[#This Row],[Total '[m^2']2]]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1" name="Tabelle1814203872" displayName="Tabelle1814203872" ref="A4:H18" totalsRowShown="0" tableBorderDxfId="670">
  <autoFilter ref="A4:H18"/>
  <tableColumns count="8">
    <tableColumn id="1" name="Area number" dataDxfId="669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668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72" name="Tabelle2915214973" displayName="Tabelle2915214973" ref="BM4:BW19" totalsRowShown="0" tableBorderDxfId="667">
  <autoFilter ref="BM4:BW19"/>
  <tableColumns count="11">
    <tableColumn id="51" name="North" dataDxfId="666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665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664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663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64"/>
    <tableColumn id="1" name="Area Roof adjusted"/>
    <tableColumn id="61" name="Area Ground" dataDxfId="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3" name="Tabelle310162251074" displayName="Tabelle310162251074" ref="AB4:BJ18" totalsRowShown="0" tableBorderDxfId="662">
  <autoFilter ref="AB4:BJ18"/>
  <tableColumns count="35">
    <tableColumn id="51" name="South"/>
    <tableColumn id="2" name="East"/>
    <tableColumn id="3" name="North"/>
    <tableColumn id="4" name="West"/>
    <tableColumn id="5" name="Height" dataDxfId="661">
      <calculatedColumnFormula>$H$2</calculatedColumnFormula>
    </tableColumn>
    <tableColumn id="6" name="Length" dataDxfId="660">
      <calculatedColumnFormula>(0.33+1.62+3.1+1.2+1.2)</calculatedColumnFormula>
    </tableColumn>
    <tableColumn id="10" name="Window area" dataDxfId="659">
      <calculatedColumnFormula>7.04</calculatedColumnFormula>
    </tableColumn>
    <tableColumn id="11" name="South3" dataDxfId="658"/>
    <tableColumn id="12" name="East3"/>
    <tableColumn id="13" name="North2"/>
    <tableColumn id="14" name="West5"/>
    <tableColumn id="15" name="Height6" dataDxfId="657">
      <calculatedColumnFormula>$H$2</calculatedColumnFormula>
    </tableColumn>
    <tableColumn id="16" name="Length7" dataDxfId="656">
      <calculatedColumnFormula>(805-637)/100</calculatedColumnFormula>
    </tableColumn>
    <tableColumn id="20" name="Window area11" dataDxfId="655">
      <calculatedColumnFormula>5.83+2.88</calculatedColumnFormula>
    </tableColumn>
    <tableColumn id="21" name="South4" dataDxfId="654"/>
    <tableColumn id="22" name="East13"/>
    <tableColumn id="23" name="North4"/>
    <tableColumn id="24" name="West15"/>
    <tableColumn id="25" name="Height16" dataDxfId="653">
      <calculatedColumnFormula>$H$2</calculatedColumnFormula>
    </tableColumn>
    <tableColumn id="26" name="Length17" dataDxfId="652">
      <calculatedColumnFormula>0.33+4.6+0.08</calculatedColumnFormula>
    </tableColumn>
    <tableColumn id="30" name="Window area21" dataDxfId="651">
      <calculatedColumnFormula>IF(#REF!="None",0,IF(#REF!="Full",AU5*AT5,IF(#REF!="Percent",AT5*AU5*#REF!,IF(#REF!="Length",#REF!*#REF!,IF(#REF!="Number",#REF!*#REF!,"0")))))</calculatedColumnFormula>
    </tableColumn>
    <tableColumn id="31" name="South5" dataDxfId="650"/>
    <tableColumn id="32" name="East23"/>
    <tableColumn id="33" name="North5"/>
    <tableColumn id="34" name="West25"/>
    <tableColumn id="35" name="Height26" dataDxfId="649">
      <calculatedColumnFormula>$H$2</calculatedColumnFormula>
    </tableColumn>
    <tableColumn id="36" name="Length27"/>
    <tableColumn id="40" name="Window area31" dataDxfId="648">
      <calculatedColumnFormula>IF(#REF!="None",0,IF(#REF!="Full",BB5*BA5,IF(#REF!="Percent",BA5*BB5*#REF!,IF(#REF!="Length",#REF!*#REF!,IF(#REF!="Number",#REF!*#REF!,"0")))))</calculatedColumnFormula>
    </tableColumn>
    <tableColumn id="41" name="South6" dataDxfId="647"/>
    <tableColumn id="42" name="East2"/>
    <tableColumn id="43" name="North3"/>
    <tableColumn id="44" name="West2"/>
    <tableColumn id="45" name="Height2" dataDxfId="646">
      <calculatedColumnFormula>$H$2</calculatedColumnFormula>
    </tableColumn>
    <tableColumn id="46" name="Length2"/>
    <tableColumn id="50" name="Window area41" dataDxfId="64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74" name="Tabelle411172361175" displayName="Tabelle411172361175" ref="B22:H28" totalsRowShown="0" tableBorderDxfId="644">
  <autoFilter ref="B22:H28"/>
  <tableColumns count="7">
    <tableColumn id="8" name="Zone Number" dataDxfId="643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Tabelle291521" displayName="Tabelle291521" ref="BL4:BV18" totalsRowShown="0" tableBorderDxfId="792">
  <autoFilter ref="BL4:BV18"/>
  <tableColumns count="11">
    <tableColumn id="51" name="North" dataDxfId="791">
      <calculatedColumnFormula>Tabelle3101622[[#This Row],[North]]*$AG5+AJ5*$AN5+AQ5*$AU5+AX5*$BB5+BE5*$BI5</calculatedColumnFormula>
    </tableColumn>
    <tableColumn id="52" name="East">
      <calculatedColumnFormula>AB5*$AG5+AI5*$AN5+AP5*$AU5+AW5*$BB5+BD5*$BI5</calculatedColumnFormula>
    </tableColumn>
    <tableColumn id="53" name="South" dataDxfId="790">
      <calculatedColumnFormula>AA5*$AG5+AH5*$AN5+AO5*$AU5+AV5*$BB5+BC5*$BI5</calculatedColumnFormula>
    </tableColumn>
    <tableColumn id="54" name="West">
      <calculatedColumnFormula>AD5*$AG5+AK5*$AN5+AR5*$AU5+AY5*$BB5+BF5*$BI5</calculatedColumnFormula>
    </tableColumn>
    <tableColumn id="55" name="North2" dataDxfId="789">
      <calculatedColumnFormula>Tabelle3101622[[#This Row],[North]]*$AE5*$AF5+AJ5*$AL5*$AM5+AQ5*$AS5*$AT5+AX5*$AZ5*$BA5+BE5*$BG5*$BH5-BL5</calculatedColumnFormula>
    </tableColumn>
    <tableColumn id="56" name="East2">
      <calculatedColumnFormula>AB5*$AE5*$AF5+AI5*$AL5*$AM5+AP5*$AS5*$AT5+AW5*$AZ5*$BA5+BD5*$BG5*$BH5-BM5</calculatedColumnFormula>
    </tableColumn>
    <tableColumn id="57" name="South2" dataDxfId="788">
      <calculatedColumnFormula>AA5*$AE5*$AF5+AH5*$AL5*$AM5+AO5*$AS5*$AT5+AV5*$AZ5*$BA5+BC5*$BG5*$BH5-BN5</calculatedColumnFormula>
    </tableColumn>
    <tableColumn id="58" name="West2">
      <calculatedColumnFormula>AD5*$AE5*$AF5+AK5*$AL5*$AM5+AR5*$AS5*$AT5+AY5*$AZ5*$BA5+BF5*$BG5*$BH5-BO5</calculatedColumnFormula>
    </tableColumn>
    <tableColumn id="60" name="Area Roof" dataDxfId="65">
      <calculatedColumnFormula>IF(Tabelle181420[[#This Row],[(g)round/(r )oof]]="R",Tabelle181420[[#This Row],[Total Area size '[m^2']]],IF(Tabelle181420[[#This Row],[(g)round/(r )oof]]="B",Tabelle181420[[#This Row],[Total Area size '[m^2']]],0))</calculatedColumnFormula>
    </tableColumn>
    <tableColumn id="1" name="Area Roof adjusted"/>
    <tableColumn id="61" name="Area Ground" dataDxfId="4">
      <calculatedColumnFormula>IF(Tabelle181420[[#This Row],[(g)round/(r )oof]]="G",Tabelle181420[[#This Row],[Total Area size '[m^2']]],IF(Tabelle181420[[#This Row],[(g)round/(r )oof]]="B",Tabelle181420[[#This Row],[Total Area size '[m^2']]],0))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75" name="Tabelle512182471276" displayName="Tabelle512182471276" ref="O4:Z18" totalsRowShown="0" headerRowDxfId="642" dataDxfId="641" tableBorderDxfId="640">
  <autoFilter ref="O4:Z18"/>
  <tableColumns count="12">
    <tableColumn id="1" name="Height" dataDxfId="639">
      <calculatedColumnFormula>$H$2</calculatedColumnFormula>
    </tableColumn>
    <tableColumn id="20" name="Length" dataDxfId="638"/>
    <tableColumn id="2" name="Total [m^2]" dataDxfId="637">
      <calculatedColumnFormula>Tabelle512182471276[[#This Row],[Height]]*Tabelle512182471276[[#This Row],[Length]]</calculatedColumnFormula>
    </tableColumn>
    <tableColumn id="16" name="Height2" dataDxfId="636">
      <calculatedColumnFormula>$H$2</calculatedColumnFormula>
    </tableColumn>
    <tableColumn id="21" name="Length3" dataDxfId="635">
      <calculatedColumnFormula>(3.75+0.9+0.71+0.9)</calculatedColumnFormula>
    </tableColumn>
    <tableColumn id="17" name="Total [m^2]2" dataDxfId="634">
      <calculatedColumnFormula>Tabelle512182471276[[#This Row],[Height2]]*Tabelle512182471276[[#This Row],[Length3]]</calculatedColumnFormula>
    </tableColumn>
    <tableColumn id="18" name="Height22" dataDxfId="633">
      <calculatedColumnFormula>$H$2</calculatedColumnFormula>
    </tableColumn>
    <tableColumn id="22" name="Length33" dataDxfId="632"/>
    <tableColumn id="3" name="Length34" dataDxfId="631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630">
      <calculatedColumnFormula>Tabelle5121824712[[#This Row],[Height22]]*Tabelle5121824712[[#This Row],[Length33]]+Tabelle5121824712[[#This Row],[Length34]]/2</calculatedColumnFormula>
    </tableColumn>
    <tableColumn id="10" name="Yes/No" dataDxfId="629">
      <calculatedColumnFormula>Tabelle512182471276[[#This Row],[Total '[m^2']2]]</calculatedColumnFormula>
    </tableColumn>
    <tableColumn id="13" name="Yes/No2" dataDxfId="628">
      <calculatedColumnFormula>Tabelle512182471276[[#This Row],[Total '[m^2']2]]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96" name="Tabelle1814203897" displayName="Tabelle1814203897" ref="A4:H18" totalsRowShown="0" tableBorderDxfId="627">
  <autoFilter ref="A4:H18"/>
  <tableColumns count="8">
    <tableColumn id="1" name="Area number" dataDxfId="626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625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97" name="Tabelle2915214998" displayName="Tabelle2915214998" ref="BM4:BW19" totalsRowShown="0" tableBorderDxfId="624">
  <autoFilter ref="BM4:BW19"/>
  <tableColumns count="11">
    <tableColumn id="51" name="North" dataDxfId="623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622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621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620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62"/>
    <tableColumn id="1" name="Area Roof adjusted"/>
    <tableColumn id="61" name="Area Ground" dataDxfId="6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98" name="Tabelle310162251099" displayName="Tabelle310162251099" ref="AB4:BJ18" totalsRowShown="0" tableBorderDxfId="619">
  <autoFilter ref="AB4:BJ18"/>
  <tableColumns count="35">
    <tableColumn id="51" name="South"/>
    <tableColumn id="2" name="East"/>
    <tableColumn id="3" name="North"/>
    <tableColumn id="4" name="West"/>
    <tableColumn id="5" name="Height" dataDxfId="618">
      <calculatedColumnFormula>$H$2</calculatedColumnFormula>
    </tableColumn>
    <tableColumn id="6" name="Length" dataDxfId="617">
      <calculatedColumnFormula>(0.33+1.62+3.1+1.2+1.2)</calculatedColumnFormula>
    </tableColumn>
    <tableColumn id="10" name="Window area" dataDxfId="616">
      <calculatedColumnFormula>7.04</calculatedColumnFormula>
    </tableColumn>
    <tableColumn id="11" name="South3" dataDxfId="615"/>
    <tableColumn id="12" name="East3"/>
    <tableColumn id="13" name="North2"/>
    <tableColumn id="14" name="West5"/>
    <tableColumn id="15" name="Height6" dataDxfId="614">
      <calculatedColumnFormula>$H$2</calculatedColumnFormula>
    </tableColumn>
    <tableColumn id="16" name="Length7" dataDxfId="613">
      <calculatedColumnFormula>(805-637)/100</calculatedColumnFormula>
    </tableColumn>
    <tableColumn id="20" name="Window area11" dataDxfId="612">
      <calculatedColumnFormula>5.83+2.88</calculatedColumnFormula>
    </tableColumn>
    <tableColumn id="21" name="South4" dataDxfId="611"/>
    <tableColumn id="22" name="East13"/>
    <tableColumn id="23" name="North4"/>
    <tableColumn id="24" name="West15"/>
    <tableColumn id="25" name="Height16" dataDxfId="610">
      <calculatedColumnFormula>$H$2</calculatedColumnFormula>
    </tableColumn>
    <tableColumn id="26" name="Length17" dataDxfId="609">
      <calculatedColumnFormula>0.33+4.6+0.08</calculatedColumnFormula>
    </tableColumn>
    <tableColumn id="30" name="Window area21" dataDxfId="608">
      <calculatedColumnFormula>IF(#REF!="None",0,IF(#REF!="Full",AU5*AT5,IF(#REF!="Percent",AT5*AU5*#REF!,IF(#REF!="Length",#REF!*#REF!,IF(#REF!="Number",#REF!*#REF!,"0")))))</calculatedColumnFormula>
    </tableColumn>
    <tableColumn id="31" name="South5" dataDxfId="607"/>
    <tableColumn id="32" name="East23"/>
    <tableColumn id="33" name="North5"/>
    <tableColumn id="34" name="West25"/>
    <tableColumn id="35" name="Height26" dataDxfId="606">
      <calculatedColumnFormula>$H$2</calculatedColumnFormula>
    </tableColumn>
    <tableColumn id="36" name="Length27"/>
    <tableColumn id="40" name="Window area31" dataDxfId="605">
      <calculatedColumnFormula>IF(#REF!="None",0,IF(#REF!="Full",BB5*BA5,IF(#REF!="Percent",BA5*BB5*#REF!,IF(#REF!="Length",#REF!*#REF!,IF(#REF!="Number",#REF!*#REF!,"0")))))</calculatedColumnFormula>
    </tableColumn>
    <tableColumn id="41" name="South6" dataDxfId="604"/>
    <tableColumn id="42" name="East2"/>
    <tableColumn id="43" name="North3"/>
    <tableColumn id="44" name="West2"/>
    <tableColumn id="45" name="Height2" dataDxfId="603">
      <calculatedColumnFormula>$H$2</calculatedColumnFormula>
    </tableColumn>
    <tableColumn id="46" name="Length2"/>
    <tableColumn id="50" name="Window area41" dataDxfId="60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99" name="Tabelle4111723611100" displayName="Tabelle4111723611100" ref="B22:H28" totalsRowShown="0" tableBorderDxfId="601">
  <autoFilter ref="B22:H28"/>
  <tableColumns count="7">
    <tableColumn id="8" name="Zone Number" dataDxfId="600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00" name="Tabelle5121824712101" displayName="Tabelle5121824712101" ref="O4:Z18" totalsRowShown="0" headerRowDxfId="599" dataDxfId="598" tableBorderDxfId="597">
  <autoFilter ref="O4:Z18"/>
  <tableColumns count="12">
    <tableColumn id="1" name="Height" dataDxfId="596">
      <calculatedColumnFormula>$H$2</calculatedColumnFormula>
    </tableColumn>
    <tableColumn id="20" name="Length" dataDxfId="595"/>
    <tableColumn id="2" name="Total [m^2]" dataDxfId="594">
      <calculatedColumnFormula>Tabelle5121824712101[[#This Row],[Height]]*Tabelle5121824712101[[#This Row],[Length]]</calculatedColumnFormula>
    </tableColumn>
    <tableColumn id="16" name="Height2" dataDxfId="593">
      <calculatedColumnFormula>$H$2</calculatedColumnFormula>
    </tableColumn>
    <tableColumn id="21" name="Length3" dataDxfId="592">
      <calculatedColumnFormula>(3.75+0.9+0.71+0.9)</calculatedColumnFormula>
    </tableColumn>
    <tableColumn id="17" name="Total [m^2]2" dataDxfId="591">
      <calculatedColumnFormula>Tabelle5121824712101[[#This Row],[Height2]]*Tabelle5121824712101[[#This Row],[Length3]]</calculatedColumnFormula>
    </tableColumn>
    <tableColumn id="18" name="Height22" dataDxfId="590">
      <calculatedColumnFormula>$H$2</calculatedColumnFormula>
    </tableColumn>
    <tableColumn id="22" name="Length33" dataDxfId="589"/>
    <tableColumn id="3" name="Length34" dataDxfId="588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587">
      <calculatedColumnFormula>Tabelle5121824712101[[#This Row],[Height22]]*Tabelle5121824712101[[#This Row],[Length33]]</calculatedColumnFormula>
    </tableColumn>
    <tableColumn id="10" name="Yes/No" dataDxfId="586">
      <calculatedColumnFormula>Tabelle5121824712101[[#This Row],[Total '[m^2']2]]</calculatedColumnFormula>
    </tableColumn>
    <tableColumn id="13" name="Yes/No2" dataDxfId="585">
      <calculatedColumnFormula>Tabelle5121824712101[[#This Row],[Total '[m^2']2]]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01" name="Tabelle1814203872102" displayName="Tabelle1814203872102" ref="A4:H18" totalsRowShown="0" tableBorderDxfId="584">
  <autoFilter ref="A4:H18"/>
  <tableColumns count="8">
    <tableColumn id="1" name="Area number" dataDxfId="583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582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02" name="Tabelle2915214973103" displayName="Tabelle2915214973103" ref="BM4:BW19" totalsRowShown="0" tableBorderDxfId="581">
  <autoFilter ref="BM4:BW19"/>
  <tableColumns count="11">
    <tableColumn id="51" name="North" dataDxfId="580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579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578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577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60"/>
    <tableColumn id="1" name="Area Roof adjusted"/>
    <tableColumn id="61" name="Area Ground" dataDxfId="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103" name="Tabelle310162251074104" displayName="Tabelle310162251074104" ref="AB4:BJ18" totalsRowShown="0" tableBorderDxfId="576">
  <autoFilter ref="AB4:BJ18"/>
  <tableColumns count="35">
    <tableColumn id="51" name="South"/>
    <tableColumn id="2" name="East"/>
    <tableColumn id="3" name="North"/>
    <tableColumn id="4" name="West"/>
    <tableColumn id="5" name="Height" dataDxfId="575">
      <calculatedColumnFormula>$H$2</calculatedColumnFormula>
    </tableColumn>
    <tableColumn id="6" name="Length" dataDxfId="574">
      <calculatedColumnFormula>(0.33+1.62+3.1+1.2+1.2)</calculatedColumnFormula>
    </tableColumn>
    <tableColumn id="10" name="Window area" dataDxfId="573">
      <calculatedColumnFormula>7.04</calculatedColumnFormula>
    </tableColumn>
    <tableColumn id="11" name="South3" dataDxfId="572"/>
    <tableColumn id="12" name="East3"/>
    <tableColumn id="13" name="North2"/>
    <tableColumn id="14" name="West5"/>
    <tableColumn id="15" name="Height6" dataDxfId="571">
      <calculatedColumnFormula>$H$2</calculatedColumnFormula>
    </tableColumn>
    <tableColumn id="16" name="Length7" dataDxfId="570">
      <calculatedColumnFormula>(805-637)/100</calculatedColumnFormula>
    </tableColumn>
    <tableColumn id="20" name="Window area11" dataDxfId="569">
      <calculatedColumnFormula>5.83+2.88</calculatedColumnFormula>
    </tableColumn>
    <tableColumn id="21" name="South4" dataDxfId="568"/>
    <tableColumn id="22" name="East13"/>
    <tableColumn id="23" name="North4"/>
    <tableColumn id="24" name="West15"/>
    <tableColumn id="25" name="Height16" dataDxfId="567">
      <calculatedColumnFormula>$H$2</calculatedColumnFormula>
    </tableColumn>
    <tableColumn id="26" name="Length17" dataDxfId="566">
      <calculatedColumnFormula>0.33+4.6+0.08</calculatedColumnFormula>
    </tableColumn>
    <tableColumn id="30" name="Window area21" dataDxfId="565">
      <calculatedColumnFormula>IF(#REF!="None",0,IF(#REF!="Full",AU5*AT5,IF(#REF!="Percent",AT5*AU5*#REF!,IF(#REF!="Length",#REF!*#REF!,IF(#REF!="Number",#REF!*#REF!,"0")))))</calculatedColumnFormula>
    </tableColumn>
    <tableColumn id="31" name="South5" dataDxfId="564"/>
    <tableColumn id="32" name="East23"/>
    <tableColumn id="33" name="North5"/>
    <tableColumn id="34" name="West25"/>
    <tableColumn id="35" name="Height26" dataDxfId="563">
      <calculatedColumnFormula>$H$2</calculatedColumnFormula>
    </tableColumn>
    <tableColumn id="36" name="Length27"/>
    <tableColumn id="40" name="Window area31" dataDxfId="562">
      <calculatedColumnFormula>IF(#REF!="None",0,IF(#REF!="Full",BB5*BA5,IF(#REF!="Percent",BA5*BB5*#REF!,IF(#REF!="Length",#REF!*#REF!,IF(#REF!="Number",#REF!*#REF!,"0")))))</calculatedColumnFormula>
    </tableColumn>
    <tableColumn id="41" name="South6" dataDxfId="561"/>
    <tableColumn id="42" name="East2"/>
    <tableColumn id="43" name="North3"/>
    <tableColumn id="44" name="West2"/>
    <tableColumn id="45" name="Height2" dataDxfId="560">
      <calculatedColumnFormula>$H$2</calculatedColumnFormula>
    </tableColumn>
    <tableColumn id="46" name="Length2"/>
    <tableColumn id="50" name="Window area41" dataDxfId="55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04" name="Tabelle411172361175105" displayName="Tabelle411172361175105" ref="B22:H28" totalsRowShown="0" tableBorderDxfId="558">
  <autoFilter ref="B22:H28"/>
  <tableColumns count="7">
    <tableColumn id="8" name="Zone Number" dataDxfId="557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1" name="Tabelle3101622" displayName="Tabelle3101622" ref="AA4:BI18" totalsRowShown="0" tableBorderDxfId="787">
  <autoFilter ref="AA4:BI18"/>
  <tableColumns count="35">
    <tableColumn id="51" name="South"/>
    <tableColumn id="2" name="East"/>
    <tableColumn id="3" name="North"/>
    <tableColumn id="4" name="West"/>
    <tableColumn id="5" name="Height" dataDxfId="786">
      <calculatedColumnFormula>$H$2</calculatedColumnFormula>
    </tableColumn>
    <tableColumn id="6" name="Length"/>
    <tableColumn id="10" name="Window area" dataDxfId="785">
      <calculatedColumnFormula>7.04</calculatedColumnFormula>
    </tableColumn>
    <tableColumn id="11" name="South3" dataDxfId="784"/>
    <tableColumn id="12" name="East3"/>
    <tableColumn id="13" name="North2"/>
    <tableColumn id="14" name="West5"/>
    <tableColumn id="15" name="Height6" dataDxfId="783">
      <calculatedColumnFormula>$H$2</calculatedColumnFormula>
    </tableColumn>
    <tableColumn id="16" name="Length7" dataDxfId="782">
      <calculatedColumnFormula>(805-637)/100</calculatedColumnFormula>
    </tableColumn>
    <tableColumn id="20" name="Window area11" dataDxfId="781">
      <calculatedColumnFormula>IF(#REF!="None",0,IF(#REF!="Full",AM5*AL5,IF(#REF!="Percent",AL5*AM5*#REF!,IF(#REF!="Length",#REF!*#REF!,IF(#REF!="Number",#REF!*#REF!,"0")))))</calculatedColumnFormula>
    </tableColumn>
    <tableColumn id="21" name="South4" dataDxfId="780"/>
    <tableColumn id="22" name="East13"/>
    <tableColumn id="23" name="North4"/>
    <tableColumn id="24" name="West15"/>
    <tableColumn id="25" name="Height16" dataDxfId="779">
      <calculatedColumnFormula>$H$2</calculatedColumnFormula>
    </tableColumn>
    <tableColumn id="26" name="Length17" dataDxfId="778">
      <calculatedColumnFormula>(33+90+260+85+8)/100</calculatedColumnFormula>
    </tableColumn>
    <tableColumn id="30" name="Window area21" dataDxfId="777">
      <calculatedColumnFormula>IF(#REF!="None",0,IF(#REF!="Full",AT5*AS5,IF(#REF!="Percent",AS5*AT5*#REF!,IF(#REF!="Length",#REF!*#REF!,IF(#REF!="Number",#REF!*#REF!,"0")))))</calculatedColumnFormula>
    </tableColumn>
    <tableColumn id="31" name="South5" dataDxfId="776"/>
    <tableColumn id="32" name="East23"/>
    <tableColumn id="33" name="North5"/>
    <tableColumn id="34" name="West25"/>
    <tableColumn id="35" name="Height26" dataDxfId="775">
      <calculatedColumnFormula>$H$2</calculatedColumnFormula>
    </tableColumn>
    <tableColumn id="36" name="Length27"/>
    <tableColumn id="40" name="Window area31" dataDxfId="774">
      <calculatedColumnFormula>IF(#REF!="None",0,IF(#REF!="Full",BA5*AZ5,IF(#REF!="Percent",AZ5*BA5*#REF!,IF(#REF!="Length",#REF!*#REF!,IF(#REF!="Number",#REF!*#REF!,"0")))))</calculatedColumnFormula>
    </tableColumn>
    <tableColumn id="41" name="South6" dataDxfId="773"/>
    <tableColumn id="42" name="East2"/>
    <tableColumn id="43" name="North3"/>
    <tableColumn id="44" name="West2"/>
    <tableColumn id="45" name="Height2" dataDxfId="772">
      <calculatedColumnFormula>$H$2</calculatedColumnFormula>
    </tableColumn>
    <tableColumn id="46" name="Length2"/>
    <tableColumn id="50" name="Window area41" dataDxfId="77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05" name="Tabelle512182471276106" displayName="Tabelle512182471276106" ref="O4:Z18" totalsRowShown="0" headerRowDxfId="556" dataDxfId="555" tableBorderDxfId="554">
  <autoFilter ref="O4:Z18"/>
  <tableColumns count="12">
    <tableColumn id="1" name="Height" dataDxfId="553">
      <calculatedColumnFormula>$H$2</calculatedColumnFormula>
    </tableColumn>
    <tableColumn id="20" name="Length" dataDxfId="552"/>
    <tableColumn id="2" name="Total [m^2]" dataDxfId="551">
      <calculatedColumnFormula>Tabelle512182471276106[[#This Row],[Height]]*Tabelle512182471276106[[#This Row],[Length]]</calculatedColumnFormula>
    </tableColumn>
    <tableColumn id="16" name="Height2" dataDxfId="550">
      <calculatedColumnFormula>$H$2</calculatedColumnFormula>
    </tableColumn>
    <tableColumn id="21" name="Length3" dataDxfId="549">
      <calculatedColumnFormula>(3.75+0.9+0.71+0.9)</calculatedColumnFormula>
    </tableColumn>
    <tableColumn id="17" name="Total [m^2]2" dataDxfId="548">
      <calculatedColumnFormula>Tabelle512182471276106[[#This Row],[Height2]]*Tabelle512182471276106[[#This Row],[Length3]]</calculatedColumnFormula>
    </tableColumn>
    <tableColumn id="18" name="Height22" dataDxfId="547">
      <calculatedColumnFormula>$H$2</calculatedColumnFormula>
    </tableColumn>
    <tableColumn id="22" name="Length33" dataDxfId="546"/>
    <tableColumn id="3" name="Length34" dataDxfId="545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544">
      <calculatedColumnFormula>Tabelle512182471276106[[#This Row],[Height22]]*Tabelle512182471276106[[#This Row],[Length33]]</calculatedColumnFormula>
    </tableColumn>
    <tableColumn id="10" name="Yes/No" dataDxfId="543">
      <calculatedColumnFormula>Tabelle512182471276106[[#This Row],[Total '[m^2']2]]</calculatedColumnFormula>
    </tableColumn>
    <tableColumn id="13" name="Yes/No2" dataDxfId="542">
      <calculatedColumnFormula>Tabelle512182471276106[[#This Row],[Total '[m^2']2]]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76" name="Tabelle1814203877" displayName="Tabelle1814203877" ref="A4:H18" totalsRowShown="0" tableBorderDxfId="541">
  <autoFilter ref="A4:H18"/>
  <tableColumns count="8">
    <tableColumn id="1" name="Area number" dataDxfId="540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539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77" name="Tabelle2915214978" displayName="Tabelle2915214978" ref="BM4:BW19" totalsRowShown="0" tableBorderDxfId="538">
  <autoFilter ref="BM4:BW19"/>
  <tableColumns count="11">
    <tableColumn id="51" name="North" dataDxfId="537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536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535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534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58"/>
    <tableColumn id="1" name="Area Roof adjusted"/>
    <tableColumn id="61" name="Area Ground" dataDxfId="5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78" name="Tabelle310162251079" displayName="Tabelle310162251079" ref="AB4:BJ18" totalsRowShown="0" tableBorderDxfId="533">
  <autoFilter ref="AB4:BJ18"/>
  <tableColumns count="35">
    <tableColumn id="51" name="South"/>
    <tableColumn id="2" name="East"/>
    <tableColumn id="3" name="North"/>
    <tableColumn id="4" name="West"/>
    <tableColumn id="5" name="Height" dataDxfId="532">
      <calculatedColumnFormula>$H$2</calculatedColumnFormula>
    </tableColumn>
    <tableColumn id="6" name="Length" dataDxfId="531">
      <calculatedColumnFormula>(0.33+1.62+3.1+1.2+1.2)</calculatedColumnFormula>
    </tableColumn>
    <tableColumn id="10" name="Window area" dataDxfId="530">
      <calculatedColumnFormula>7.04</calculatedColumnFormula>
    </tableColumn>
    <tableColumn id="11" name="South3" dataDxfId="529"/>
    <tableColumn id="12" name="East3"/>
    <tableColumn id="13" name="North2"/>
    <tableColumn id="14" name="West5"/>
    <tableColumn id="15" name="Height6" dataDxfId="528">
      <calculatedColumnFormula>$H$2</calculatedColumnFormula>
    </tableColumn>
    <tableColumn id="16" name="Length7" dataDxfId="527">
      <calculatedColumnFormula>(805-637)/100</calculatedColumnFormula>
    </tableColumn>
    <tableColumn id="20" name="Window area11" dataDxfId="526">
      <calculatedColumnFormula>5.83+2.88</calculatedColumnFormula>
    </tableColumn>
    <tableColumn id="21" name="South4" dataDxfId="525"/>
    <tableColumn id="22" name="East13"/>
    <tableColumn id="23" name="North4"/>
    <tableColumn id="24" name="West15"/>
    <tableColumn id="25" name="Height16" dataDxfId="524">
      <calculatedColumnFormula>$H$2</calculatedColumnFormula>
    </tableColumn>
    <tableColumn id="26" name="Length17" dataDxfId="523">
      <calculatedColumnFormula>0.33+4.6+0.08</calculatedColumnFormula>
    </tableColumn>
    <tableColumn id="30" name="Window area21" dataDxfId="522">
      <calculatedColumnFormula>IF(#REF!="None",0,IF(#REF!="Full",AU5*AT5,IF(#REF!="Percent",AT5*AU5*#REF!,IF(#REF!="Length",#REF!*#REF!,IF(#REF!="Number",#REF!*#REF!,"0")))))</calculatedColumnFormula>
    </tableColumn>
    <tableColumn id="31" name="South5" dataDxfId="521"/>
    <tableColumn id="32" name="East23"/>
    <tableColumn id="33" name="North5"/>
    <tableColumn id="34" name="West25"/>
    <tableColumn id="35" name="Height26" dataDxfId="520">
      <calculatedColumnFormula>$H$2</calculatedColumnFormula>
    </tableColumn>
    <tableColumn id="36" name="Length27"/>
    <tableColumn id="40" name="Window area31" dataDxfId="519">
      <calculatedColumnFormula>IF(#REF!="None",0,IF(#REF!="Full",BB5*BA5,IF(#REF!="Percent",BA5*BB5*#REF!,IF(#REF!="Length",#REF!*#REF!,IF(#REF!="Number",#REF!*#REF!,"0")))))</calculatedColumnFormula>
    </tableColumn>
    <tableColumn id="41" name="South6" dataDxfId="518"/>
    <tableColumn id="42" name="East2"/>
    <tableColumn id="43" name="North3"/>
    <tableColumn id="44" name="West2"/>
    <tableColumn id="45" name="Height2" dataDxfId="517">
      <calculatedColumnFormula>$H$2</calculatedColumnFormula>
    </tableColumn>
    <tableColumn id="46" name="Length2"/>
    <tableColumn id="50" name="Window area41" dataDxfId="51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79" name="Tabelle411172361180" displayName="Tabelle411172361180" ref="B22:H28" totalsRowShown="0" tableBorderDxfId="515">
  <autoFilter ref="B22:H28"/>
  <tableColumns count="7">
    <tableColumn id="8" name="Zone Number" dataDxfId="514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80" name="Tabelle512182471281" displayName="Tabelle512182471281" ref="O4:Z18" totalsRowShown="0" headerRowDxfId="513" dataDxfId="512" tableBorderDxfId="511">
  <autoFilter ref="O4:Z18"/>
  <tableColumns count="12">
    <tableColumn id="1" name="Height" dataDxfId="510">
      <calculatedColumnFormula>$H$2</calculatedColumnFormula>
    </tableColumn>
    <tableColumn id="20" name="Length" dataDxfId="509"/>
    <tableColumn id="2" name="Total [m^2]" dataDxfId="508">
      <calculatedColumnFormula>Tabelle512182471281[[#This Row],[Height]]*Tabelle512182471281[[#This Row],[Length]]</calculatedColumnFormula>
    </tableColumn>
    <tableColumn id="16" name="Height2" dataDxfId="507">
      <calculatedColumnFormula>$H$2</calculatedColumnFormula>
    </tableColumn>
    <tableColumn id="21" name="Length3" dataDxfId="506">
      <calculatedColumnFormula>(3.75+0.9+0.71+0.9)</calculatedColumnFormula>
    </tableColumn>
    <tableColumn id="17" name="Total [m^2]2" dataDxfId="505">
      <calculatedColumnFormula>Tabelle512182471281[[#This Row],[Height2]]*Tabelle512182471281[[#This Row],[Length3]]</calculatedColumnFormula>
    </tableColumn>
    <tableColumn id="18" name="Height22" dataDxfId="504">
      <calculatedColumnFormula>$H$2</calculatedColumnFormula>
    </tableColumn>
    <tableColumn id="22" name="Length33" dataDxfId="503"/>
    <tableColumn id="3" name="Length34" dataDxfId="502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501">
      <calculatedColumnFormula>Tabelle5121824712[[#This Row],[Height22]]*Tabelle5121824712[[#This Row],[Length33]]+Tabelle5121824712[[#This Row],[Length34]]/2</calculatedColumnFormula>
    </tableColumn>
    <tableColumn id="10" name="Yes/No" dataDxfId="500">
      <calculatedColumnFormula>Tabelle512182471281[[#This Row],[Total '[m^2']2]]</calculatedColumnFormula>
    </tableColumn>
    <tableColumn id="13" name="Yes/No2" dataDxfId="499">
      <calculatedColumnFormula>Tabelle512182471281[[#This Row],[Total '[m^2']2]]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86" name="Tabelle181420387787" displayName="Tabelle181420387787" ref="A4:H18" totalsRowShown="0" tableBorderDxfId="498">
  <autoFilter ref="A4:H18"/>
  <tableColumns count="8">
    <tableColumn id="1" name="Area number" dataDxfId="497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496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87" name="Tabelle291521497888" displayName="Tabelle291521497888" ref="BM4:BW19" totalsRowShown="0" tableBorderDxfId="495">
  <autoFilter ref="BM4:BW19"/>
  <tableColumns count="11">
    <tableColumn id="51" name="North" dataDxfId="494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493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492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491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56"/>
    <tableColumn id="1" name="Area Roof adjusted"/>
    <tableColumn id="61" name="Area Ground" dataDxfId="55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8" name="Tabelle31016225107989" displayName="Tabelle31016225107989" ref="AB4:BJ18" totalsRowShown="0" tableBorderDxfId="490">
  <autoFilter ref="AB4:BJ18"/>
  <tableColumns count="35">
    <tableColumn id="51" name="South"/>
    <tableColumn id="2" name="East"/>
    <tableColumn id="3" name="North"/>
    <tableColumn id="4" name="West"/>
    <tableColumn id="5" name="Height" dataDxfId="489">
      <calculatedColumnFormula>$H$2</calculatedColumnFormula>
    </tableColumn>
    <tableColumn id="6" name="Length" dataDxfId="488">
      <calculatedColumnFormula>(0.33+1.62+3.1+1.2+1.2)</calculatedColumnFormula>
    </tableColumn>
    <tableColumn id="10" name="Window area" dataDxfId="487">
      <calculatedColumnFormula>7.04</calculatedColumnFormula>
    </tableColumn>
    <tableColumn id="11" name="South3" dataDxfId="486"/>
    <tableColumn id="12" name="East3"/>
    <tableColumn id="13" name="North2"/>
    <tableColumn id="14" name="West5"/>
    <tableColumn id="15" name="Height6" dataDxfId="485">
      <calculatedColumnFormula>$H$2</calculatedColumnFormula>
    </tableColumn>
    <tableColumn id="16" name="Length7" dataDxfId="484">
      <calculatedColumnFormula>(805-637)/100</calculatedColumnFormula>
    </tableColumn>
    <tableColumn id="20" name="Window area11" dataDxfId="483">
      <calculatedColumnFormula>5.83+2.88</calculatedColumnFormula>
    </tableColumn>
    <tableColumn id="21" name="South4" dataDxfId="482"/>
    <tableColumn id="22" name="East13"/>
    <tableColumn id="23" name="North4"/>
    <tableColumn id="24" name="West15"/>
    <tableColumn id="25" name="Height16" dataDxfId="481">
      <calculatedColumnFormula>$H$2</calculatedColumnFormula>
    </tableColumn>
    <tableColumn id="26" name="Length17" dataDxfId="480">
      <calculatedColumnFormula>0.33+4.6+0.08</calculatedColumnFormula>
    </tableColumn>
    <tableColumn id="30" name="Window area21" dataDxfId="479">
      <calculatedColumnFormula>IF(#REF!="None",0,IF(#REF!="Full",AU5*AT5,IF(#REF!="Percent",AT5*AU5*#REF!,IF(#REF!="Length",#REF!*#REF!,IF(#REF!="Number",#REF!*#REF!,"0")))))</calculatedColumnFormula>
    </tableColumn>
    <tableColumn id="31" name="South5" dataDxfId="478"/>
    <tableColumn id="32" name="East23"/>
    <tableColumn id="33" name="North5"/>
    <tableColumn id="34" name="West25"/>
    <tableColumn id="35" name="Height26" dataDxfId="477">
      <calculatedColumnFormula>$H$2</calculatedColumnFormula>
    </tableColumn>
    <tableColumn id="36" name="Length27"/>
    <tableColumn id="40" name="Window area31" dataDxfId="476">
      <calculatedColumnFormula>IF(#REF!="None",0,IF(#REF!="Full",BB5*BA5,IF(#REF!="Percent",BA5*BB5*#REF!,IF(#REF!="Length",#REF!*#REF!,IF(#REF!="Number",#REF!*#REF!,"0")))))</calculatedColumnFormula>
    </tableColumn>
    <tableColumn id="41" name="South6" dataDxfId="475"/>
    <tableColumn id="42" name="East2"/>
    <tableColumn id="43" name="North3"/>
    <tableColumn id="44" name="West2"/>
    <tableColumn id="45" name="Height2" dataDxfId="474">
      <calculatedColumnFormula>$H$2</calculatedColumnFormula>
    </tableColumn>
    <tableColumn id="46" name="Length2"/>
    <tableColumn id="50" name="Window area41" dataDxfId="47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9" name="Tabelle41117236118090" displayName="Tabelle41117236118090" ref="B22:H28" totalsRowShown="0" tableBorderDxfId="472">
  <autoFilter ref="B22:H28"/>
  <tableColumns count="7">
    <tableColumn id="8" name="Zone Number" dataDxfId="471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2" name="Tabelle4111723" displayName="Tabelle4111723" ref="B22:H28" totalsRowShown="0" tableBorderDxfId="770">
  <autoFilter ref="B22:H28"/>
  <tableColumns count="7">
    <tableColumn id="8" name="Zone Number" dataDxfId="769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90" name="Tabelle51218247128191" displayName="Tabelle51218247128191" ref="O4:Z18" totalsRowShown="0" headerRowDxfId="470" dataDxfId="469" tableBorderDxfId="468">
  <autoFilter ref="O4:Z18"/>
  <tableColumns count="12">
    <tableColumn id="1" name="Height" dataDxfId="467">
      <calculatedColumnFormula>$H$2</calculatedColumnFormula>
    </tableColumn>
    <tableColumn id="20" name="Length" dataDxfId="466"/>
    <tableColumn id="2" name="Total [m^2]" dataDxfId="465">
      <calculatedColumnFormula>Tabelle51218247128191[[#This Row],[Height]]*Tabelle51218247128191[[#This Row],[Length]]</calculatedColumnFormula>
    </tableColumn>
    <tableColumn id="16" name="Height2" dataDxfId="464">
      <calculatedColumnFormula>$H$2</calculatedColumnFormula>
    </tableColumn>
    <tableColumn id="21" name="Length3" dataDxfId="463">
      <calculatedColumnFormula>(3.75+0.9+0.71+0.9)</calculatedColumnFormula>
    </tableColumn>
    <tableColumn id="17" name="Total [m^2]2" dataDxfId="462">
      <calculatedColumnFormula>Tabelle51218247128191[[#This Row],[Height2]]*Tabelle51218247128191[[#This Row],[Length3]]</calculatedColumnFormula>
    </tableColumn>
    <tableColumn id="18" name="Height22" dataDxfId="461">
      <calculatedColumnFormula>$H$2</calculatedColumnFormula>
    </tableColumn>
    <tableColumn id="22" name="Length33" dataDxfId="460"/>
    <tableColumn id="3" name="Length34" dataDxfId="459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458">
      <calculatedColumnFormula>Tabelle5121824712[[#This Row],[Height22]]*Tabelle5121824712[[#This Row],[Length33]]+Tabelle5121824712[[#This Row],[Length34]]/2</calculatedColumnFormula>
    </tableColumn>
    <tableColumn id="10" name="Yes/No" dataDxfId="457">
      <calculatedColumnFormula>Tabelle51218247128191[[#This Row],[Total '[m^2']2]]</calculatedColumnFormula>
    </tableColumn>
    <tableColumn id="13" name="Yes/No2" dataDxfId="456">
      <calculatedColumnFormula>Tabelle51218247128191[[#This Row],[Total '[m^2']2]]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1" name="Tabelle181420387282" displayName="Tabelle181420387282" ref="A4:H18" totalsRowShown="0" tableBorderDxfId="455">
  <autoFilter ref="A4:H18"/>
  <tableColumns count="8">
    <tableColumn id="1" name="Area number" dataDxfId="454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453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2" name="Tabelle291521497383" displayName="Tabelle291521497383" ref="BM4:BW19" totalsRowShown="0" tableBorderDxfId="452">
  <autoFilter ref="BM4:BW19"/>
  <tableColumns count="11">
    <tableColumn id="51" name="North" dataDxfId="451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450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449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448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54"/>
    <tableColumn id="1" name="Area Roof adjusted"/>
    <tableColumn id="61" name="Area Ground" dataDxfId="5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3" name="Tabelle31016225107484" displayName="Tabelle31016225107484" ref="AB4:BJ18" totalsRowShown="0" tableBorderDxfId="447">
  <autoFilter ref="AB4:BJ18"/>
  <tableColumns count="35">
    <tableColumn id="51" name="South"/>
    <tableColumn id="2" name="East"/>
    <tableColumn id="3" name="North"/>
    <tableColumn id="4" name="West"/>
    <tableColumn id="5" name="Height" dataDxfId="446">
      <calculatedColumnFormula>$H$2</calculatedColumnFormula>
    </tableColumn>
    <tableColumn id="6" name="Length" dataDxfId="445">
      <calculatedColumnFormula>(0.33+1.62+3.1+1.2+1.2)</calculatedColumnFormula>
    </tableColumn>
    <tableColumn id="10" name="Window area" dataDxfId="444">
      <calculatedColumnFormula>7.04</calculatedColumnFormula>
    </tableColumn>
    <tableColumn id="11" name="South3" dataDxfId="443"/>
    <tableColumn id="12" name="East3"/>
    <tableColumn id="13" name="North2"/>
    <tableColumn id="14" name="West5"/>
    <tableColumn id="15" name="Height6" dataDxfId="442">
      <calculatedColumnFormula>$H$2</calculatedColumnFormula>
    </tableColumn>
    <tableColumn id="16" name="Length7" dataDxfId="441">
      <calculatedColumnFormula>(805-637)/100</calculatedColumnFormula>
    </tableColumn>
    <tableColumn id="20" name="Window area11" dataDxfId="440">
      <calculatedColumnFormula>5.83+2.88</calculatedColumnFormula>
    </tableColumn>
    <tableColumn id="21" name="South4" dataDxfId="439"/>
    <tableColumn id="22" name="East13"/>
    <tableColumn id="23" name="North4"/>
    <tableColumn id="24" name="West15"/>
    <tableColumn id="25" name="Height16" dataDxfId="438">
      <calculatedColumnFormula>$H$2</calculatedColumnFormula>
    </tableColumn>
    <tableColumn id="26" name="Length17" dataDxfId="437">
      <calculatedColumnFormula>0.33+4.6+0.08</calculatedColumnFormula>
    </tableColumn>
    <tableColumn id="30" name="Window area21" dataDxfId="436">
      <calculatedColumnFormula>IF(#REF!="None",0,IF(#REF!="Full",AU5*AT5,IF(#REF!="Percent",AT5*AU5*#REF!,IF(#REF!="Length",#REF!*#REF!,IF(#REF!="Number",#REF!*#REF!,"0")))))</calculatedColumnFormula>
    </tableColumn>
    <tableColumn id="31" name="South5" dataDxfId="435"/>
    <tableColumn id="32" name="East23"/>
    <tableColumn id="33" name="North5"/>
    <tableColumn id="34" name="West25"/>
    <tableColumn id="35" name="Height26" dataDxfId="434">
      <calculatedColumnFormula>$H$2</calculatedColumnFormula>
    </tableColumn>
    <tableColumn id="36" name="Length27"/>
    <tableColumn id="40" name="Window area31" dataDxfId="433">
      <calculatedColumnFormula>IF(#REF!="None",0,IF(#REF!="Full",BB5*BA5,IF(#REF!="Percent",BA5*BB5*#REF!,IF(#REF!="Length",#REF!*#REF!,IF(#REF!="Number",#REF!*#REF!,"0")))))</calculatedColumnFormula>
    </tableColumn>
    <tableColumn id="41" name="South6" dataDxfId="432"/>
    <tableColumn id="42" name="East2"/>
    <tableColumn id="43" name="North3"/>
    <tableColumn id="44" name="West2"/>
    <tableColumn id="45" name="Height2" dataDxfId="431">
      <calculatedColumnFormula>$H$2</calculatedColumnFormula>
    </tableColumn>
    <tableColumn id="46" name="Length2"/>
    <tableColumn id="50" name="Window area41" dataDxfId="43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4" name="Tabelle41117236117585" displayName="Tabelle41117236117585" ref="B22:H28" totalsRowShown="0" tableBorderDxfId="429">
  <autoFilter ref="B22:H28"/>
  <tableColumns count="7">
    <tableColumn id="8" name="Zone Number" dataDxfId="428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85" name="Tabelle51218247127686" displayName="Tabelle51218247127686" ref="O4:Z18" totalsRowShown="0" headerRowDxfId="427" dataDxfId="426" tableBorderDxfId="425">
  <autoFilter ref="O4:Z18"/>
  <tableColumns count="12">
    <tableColumn id="1" name="Height" dataDxfId="424">
      <calculatedColumnFormula>$H$2</calculatedColumnFormula>
    </tableColumn>
    <tableColumn id="20" name="Length" dataDxfId="423"/>
    <tableColumn id="2" name="Total [m^2]" dataDxfId="422">
      <calculatedColumnFormula>Tabelle51218247127686[[#This Row],[Height]]*Tabelle51218247127686[[#This Row],[Length]]</calculatedColumnFormula>
    </tableColumn>
    <tableColumn id="16" name="Height2" dataDxfId="421">
      <calculatedColumnFormula>$H$2</calculatedColumnFormula>
    </tableColumn>
    <tableColumn id="21" name="Length3" dataDxfId="420">
      <calculatedColumnFormula>(3.75+0.9+0.71+0.9)</calculatedColumnFormula>
    </tableColumn>
    <tableColumn id="17" name="Total [m^2]2" dataDxfId="419">
      <calculatedColumnFormula>Tabelle51218247127686[[#This Row],[Height2]]*Tabelle51218247127686[[#This Row],[Length3]]</calculatedColumnFormula>
    </tableColumn>
    <tableColumn id="18" name="Height22" dataDxfId="418">
      <calculatedColumnFormula>$H$2</calculatedColumnFormula>
    </tableColumn>
    <tableColumn id="22" name="Length33" dataDxfId="417"/>
    <tableColumn id="3" name="Length34" dataDxfId="416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415">
      <calculatedColumnFormula>Tabelle5121824712[[#This Row],[Height22]]*Tabelle5121824712[[#This Row],[Length33]]+Tabelle5121824712[[#This Row],[Length34]]/2</calculatedColumnFormula>
    </tableColumn>
    <tableColumn id="10" name="Yes/No" dataDxfId="414">
      <calculatedColumnFormula>Tabelle51218247127686[[#This Row],[Total '[m^2']2]]</calculatedColumnFormula>
    </tableColumn>
    <tableColumn id="13" name="Yes/No2" dataDxfId="413">
      <calculatedColumnFormula>Tabelle51218247127686[[#This Row],[Total '[m^2']2]]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6" name="Tabelle181420387282107" displayName="Tabelle181420387282107" ref="A4:H18" totalsRowShown="0" tableBorderDxfId="412">
  <autoFilter ref="A4:H18"/>
  <tableColumns count="8">
    <tableColumn id="1" name="Area number" dataDxfId="411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410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07" name="Tabelle291521497383108" displayName="Tabelle291521497383108" ref="BM4:BW19" totalsRowShown="0" tableBorderDxfId="409">
  <autoFilter ref="BM4:BW19"/>
  <tableColumns count="11">
    <tableColumn id="51" name="North" dataDxfId="408">
      <calculatedColumnFormula>Tabelle3101622510[[#This Row],[North]]*$AH5+AK5*$AO5+AR5*$AV5+AY5*$BC5+BF5*$BJ5</calculatedColumnFormula>
    </tableColumn>
    <tableColumn id="52" name="East">
      <calculatedColumnFormula>AC5*$AH5+AJ5*$AO5+AQ5*$AV5+AX5*$BC5+BE5*$BJ5</calculatedColumnFormula>
    </tableColumn>
    <tableColumn id="53" name="South" dataDxfId="407">
      <calculatedColumnFormula>AB5*$AH5+AI5*$AO5+AP5*$AV5+AW5*$BC5+BD5*$BJ5</calculatedColumnFormula>
    </tableColumn>
    <tableColumn id="54" name="West">
      <calculatedColumnFormula>AE5*$AH5+AL5*$AO5+AS5*$AV5+AZ5*$BC5+BG5*$BJ5</calculatedColumnFormula>
    </tableColumn>
    <tableColumn id="55" name="North2" dataDxfId="406">
      <calculatedColumnFormula>Tabelle3101622510[[#This Row],[North]]*$AF5*$AG5+AK5*$AM5*$AN5+AR5*$AT5*$AU5+AY5*$BA5*$BB5+BF5*$BH5*$BI5-BM5</calculatedColumnFormula>
    </tableColumn>
    <tableColumn id="56" name="East2">
      <calculatedColumnFormula>AC5*$AF5*$AG5+AJ5*$AM5*$AN5+AQ5*$AT5*$AU5+AX5*$BA5*$BB5+BE5*$BH5*$BI5-BN5</calculatedColumnFormula>
    </tableColumn>
    <tableColumn id="57" name="South2" dataDxfId="405">
      <calculatedColumnFormula>AB5*$AF5*$AG5+AI5*$AM5*$AN5+AP5*$AT5*$AU5+AW5*$BA5*$BB5+BD5*$BH5*$BI5-BO5</calculatedColumnFormula>
    </tableColumn>
    <tableColumn id="58" name="West2">
      <calculatedColumnFormula>AE5*$AF5*$AG5+AL5*$AM5*$AN5+AS5*$AT5*$AU5+AZ5*$BA5*$BB5+BG5*$BH5*$BI5-BP5</calculatedColumnFormula>
    </tableColumn>
    <tableColumn id="60" name="Area Roof" dataDxfId="52"/>
    <tableColumn id="1" name="Area Roof adjusted"/>
    <tableColumn id="61" name="Area Ground" dataDxfId="5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8" name="Tabelle31016225107484109" displayName="Tabelle31016225107484109" ref="AB4:BJ18" totalsRowShown="0" tableBorderDxfId="404">
  <autoFilter ref="AB4:BJ18"/>
  <tableColumns count="35">
    <tableColumn id="51" name="South"/>
    <tableColumn id="2" name="East"/>
    <tableColumn id="3" name="North"/>
    <tableColumn id="4" name="West"/>
    <tableColumn id="5" name="Height" dataDxfId="403">
      <calculatedColumnFormula>$H$2</calculatedColumnFormula>
    </tableColumn>
    <tableColumn id="6" name="Length" dataDxfId="402">
      <calculatedColumnFormula>(0.33+1.62+3.1+1.2+1.2)</calculatedColumnFormula>
    </tableColumn>
    <tableColumn id="10" name="Window area" dataDxfId="401">
      <calculatedColumnFormula>7.04</calculatedColumnFormula>
    </tableColumn>
    <tableColumn id="11" name="South3" dataDxfId="400"/>
    <tableColumn id="12" name="East3"/>
    <tableColumn id="13" name="North2"/>
    <tableColumn id="14" name="West5"/>
    <tableColumn id="15" name="Height6" dataDxfId="399">
      <calculatedColumnFormula>$H$2</calculatedColumnFormula>
    </tableColumn>
    <tableColumn id="16" name="Length7" dataDxfId="398">
      <calculatedColumnFormula>(805-637)/100</calculatedColumnFormula>
    </tableColumn>
    <tableColumn id="20" name="Window area11" dataDxfId="397">
      <calculatedColumnFormula>5.83+2.88</calculatedColumnFormula>
    </tableColumn>
    <tableColumn id="21" name="South4" dataDxfId="396"/>
    <tableColumn id="22" name="East13"/>
    <tableColumn id="23" name="North4"/>
    <tableColumn id="24" name="West15"/>
    <tableColumn id="25" name="Height16" dataDxfId="395">
      <calculatedColumnFormula>$H$2</calculatedColumnFormula>
    </tableColumn>
    <tableColumn id="26" name="Length17" dataDxfId="394">
      <calculatedColumnFormula>0.33+4.6+0.08</calculatedColumnFormula>
    </tableColumn>
    <tableColumn id="30" name="Window area21" dataDxfId="393">
      <calculatedColumnFormula>IF(#REF!="None",0,IF(#REF!="Full",AU5*AT5,IF(#REF!="Percent",AT5*AU5*#REF!,IF(#REF!="Length",#REF!*#REF!,IF(#REF!="Number",#REF!*#REF!,"0")))))</calculatedColumnFormula>
    </tableColumn>
    <tableColumn id="31" name="South5" dataDxfId="392"/>
    <tableColumn id="32" name="East23"/>
    <tableColumn id="33" name="North5"/>
    <tableColumn id="34" name="West25"/>
    <tableColumn id="35" name="Height26" dataDxfId="391">
      <calculatedColumnFormula>$H$2</calculatedColumnFormula>
    </tableColumn>
    <tableColumn id="36" name="Length27"/>
    <tableColumn id="40" name="Window area31" dataDxfId="390">
      <calculatedColumnFormula>IF(#REF!="None",0,IF(#REF!="Full",BB5*BA5,IF(#REF!="Percent",BA5*BB5*#REF!,IF(#REF!="Length",#REF!*#REF!,IF(#REF!="Number",#REF!*#REF!,"0")))))</calculatedColumnFormula>
    </tableColumn>
    <tableColumn id="41" name="South6" dataDxfId="389"/>
    <tableColumn id="42" name="East2"/>
    <tableColumn id="43" name="North3"/>
    <tableColumn id="44" name="West2"/>
    <tableColumn id="45" name="Height2" dataDxfId="388">
      <calculatedColumnFormula>$H$2</calculatedColumnFormula>
    </tableColumn>
    <tableColumn id="46" name="Length2"/>
    <tableColumn id="50" name="Window area41" dataDxfId="387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9" name="Tabelle41117236117585110" displayName="Tabelle41117236117585110" ref="B22:H28" totalsRowShown="0" tableBorderDxfId="386">
  <autoFilter ref="B22:H28"/>
  <tableColumns count="7">
    <tableColumn id="8" name="Zone Number" dataDxfId="385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3" name="Tabelle5121824" displayName="Tabelle5121824" ref="O4:Y18" totalsRowShown="0" headerRowDxfId="768" dataDxfId="767" tableBorderDxfId="766">
  <autoFilter ref="O4:Y18"/>
  <tableColumns count="11">
    <tableColumn id="1" name="Height" dataDxfId="765">
      <calculatedColumnFormula>$H$2</calculatedColumnFormula>
    </tableColumn>
    <tableColumn id="20" name="Length" dataDxfId="764"/>
    <tableColumn id="2" name="Total [m^2]" dataDxfId="763">
      <calculatedColumnFormula>Tabelle5121824[[#This Row],[Height]]*Tabelle5121824[[#This Row],[Length]]</calculatedColumnFormula>
    </tableColumn>
    <tableColumn id="16" name="Height2" dataDxfId="762">
      <calculatedColumnFormula>$H$2</calculatedColumnFormula>
    </tableColumn>
    <tableColumn id="21" name="Length3" dataDxfId="761">
      <calculatedColumnFormula>(425+105)/100</calculatedColumnFormula>
    </tableColumn>
    <tableColumn id="17" name="Total [m^2]2" dataDxfId="760">
      <calculatedColumnFormula>Tabelle5121824[[#This Row],[Height2]]*Tabelle5121824[[#This Row],[Length3]]</calculatedColumnFormula>
    </tableColumn>
    <tableColumn id="18" name="Height22" dataDxfId="759">
      <calculatedColumnFormula>$H$2</calculatedColumnFormula>
    </tableColumn>
    <tableColumn id="22" name="Length33" dataDxfId="758"/>
    <tableColumn id="19" name="Total [m^2]3" dataDxfId="757">
      <calculatedColumnFormula>Tabelle5121824[[#This Row],[Height22]]*Tabelle5121824[[#This Row],[Length33]]</calculatedColumnFormula>
    </tableColumn>
    <tableColumn id="10" name="Yes/No" dataDxfId="756">
      <calculatedColumnFormula>Tabelle5121824[[#This Row],[Total '[m^2']2]]</calculatedColumnFormula>
    </tableColumn>
    <tableColumn id="13" name="Yes/No2" dataDxfId="755">
      <calculatedColumnFormula>Tabelle5121824[[#This Row],[Total '[m^2']2]]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10" name="Tabelle51218247127686111" displayName="Tabelle51218247127686111" ref="O4:Z18" totalsRowShown="0" headerRowDxfId="384" dataDxfId="383" tableBorderDxfId="382">
  <autoFilter ref="O4:Z18"/>
  <tableColumns count="12">
    <tableColumn id="1" name="Height" dataDxfId="381">
      <calculatedColumnFormula>$H$2</calculatedColumnFormula>
    </tableColumn>
    <tableColumn id="20" name="Length" dataDxfId="380"/>
    <tableColumn id="2" name="Total [m^2]" dataDxfId="379">
      <calculatedColumnFormula>Tabelle51218247127686111[[#This Row],[Height]]*Tabelle51218247127686111[[#This Row],[Length]]</calculatedColumnFormula>
    </tableColumn>
    <tableColumn id="16" name="Height2" dataDxfId="378">
      <calculatedColumnFormula>$H$2</calculatedColumnFormula>
    </tableColumn>
    <tableColumn id="21" name="Length3" dataDxfId="377">
      <calculatedColumnFormula>(3.75+0.9+0.71+0.9)</calculatedColumnFormula>
    </tableColumn>
    <tableColumn id="17" name="Total [m^2]2" dataDxfId="376">
      <calculatedColumnFormula>Tabelle51218247127686111[[#This Row],[Height2]]*Tabelle51218247127686111[[#This Row],[Length3]]</calculatedColumnFormula>
    </tableColumn>
    <tableColumn id="18" name="Height22" dataDxfId="375">
      <calculatedColumnFormula>$H$2</calculatedColumnFormula>
    </tableColumn>
    <tableColumn id="22" name="Length33" dataDxfId="374"/>
    <tableColumn id="3" name="Length34" dataDxfId="373">
      <calculatedColumnFormula>(1-$BQ$16)*Tabelle29152149[[#This Row],[North2]]+(1-$BR$16)*Tabelle29152149[[#This Row],[East2]]+(1-$BS$16)*Tabelle29152149[[#This Row],[South2]]+(1-$BT$16)*Tabelle29152149[[#This Row],[West2]]</calculatedColumnFormula>
    </tableColumn>
    <tableColumn id="19" name="Total [m^2]3" dataDxfId="372">
      <calculatedColumnFormula>Tabelle5121824712[[#This Row],[Height22]]*Tabelle5121824712[[#This Row],[Length33]]+Tabelle5121824712[[#This Row],[Length34]]/2</calculatedColumnFormula>
    </tableColumn>
    <tableColumn id="10" name="Yes/No" dataDxfId="371">
      <calculatedColumnFormula>Tabelle51218247127686111[[#This Row],[Total '[m^2']2]]</calculatedColumnFormula>
    </tableColumn>
    <tableColumn id="13" name="Yes/No2" dataDxfId="370">
      <calculatedColumnFormula>Tabelle51218247127686111[[#This Row],[Total '[m^2']2]]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46" name="Tabelle1814203847" displayName="Tabelle1814203847" ref="A4:H18" totalsRowShown="0" tableBorderDxfId="369">
  <autoFilter ref="A4:H18"/>
  <tableColumns count="8">
    <tableColumn id="1" name="Area number" dataDxfId="368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367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47" name="Tabelle2915214948" displayName="Tabelle2915214948" ref="BN4:BX19" totalsRowShown="0" tableBorderDxfId="366">
  <autoFilter ref="BN4:BX19"/>
  <tableColumns count="11">
    <tableColumn id="51" name="North" dataDxfId="365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364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363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362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16"/>
    <tableColumn id="1" name="Area Roof adjusted"/>
    <tableColumn id="61" name="Area Ground" dataDxfId="15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48" name="Tabelle310162251049" displayName="Tabelle310162251049" ref="AC4:BK18" totalsRowShown="0" tableBorderDxfId="361">
  <autoFilter ref="AC4:BK18"/>
  <tableColumns count="35">
    <tableColumn id="51" name="South"/>
    <tableColumn id="2" name="East"/>
    <tableColumn id="3" name="North"/>
    <tableColumn id="4" name="West"/>
    <tableColumn id="5" name="Height" dataDxfId="360">
      <calculatedColumnFormula>$H$2</calculatedColumnFormula>
    </tableColumn>
    <tableColumn id="6" name="Length" dataDxfId="359">
      <calculatedColumnFormula>(0.33+1.62+3.1+1.2+1.2)</calculatedColumnFormula>
    </tableColumn>
    <tableColumn id="10" name="Window area" dataDxfId="358">
      <calculatedColumnFormula>7.04</calculatedColumnFormula>
    </tableColumn>
    <tableColumn id="11" name="South3" dataDxfId="357"/>
    <tableColumn id="12" name="East3"/>
    <tableColumn id="13" name="North2"/>
    <tableColumn id="14" name="West5"/>
    <tableColumn id="15" name="Height6" dataDxfId="356">
      <calculatedColumnFormula>$H$2</calculatedColumnFormula>
    </tableColumn>
    <tableColumn id="16" name="Length7" dataDxfId="355">
      <calculatedColumnFormula>8.78+0.18</calculatedColumnFormula>
    </tableColumn>
    <tableColumn id="20" name="Window area11" dataDxfId="354">
      <calculatedColumnFormula>5.83+2.88</calculatedColumnFormula>
    </tableColumn>
    <tableColumn id="21" name="South4" dataDxfId="353"/>
    <tableColumn id="22" name="East13"/>
    <tableColumn id="23" name="North4"/>
    <tableColumn id="24" name="West15"/>
    <tableColumn id="25" name="Height16" dataDxfId="352">
      <calculatedColumnFormula>$H$2</calculatedColumnFormula>
    </tableColumn>
    <tableColumn id="26" name="Length17" dataDxfId="351">
      <calculatedColumnFormula>0.15+0.75+2.4+0.96</calculatedColumnFormula>
    </tableColumn>
    <tableColumn id="30" name="Window area21" dataDxfId="350">
      <calculatedColumnFormula>IF(#REF!="None",0,IF(#REF!="Full",AV5*AU5,IF(#REF!="Percent",AU5*AV5*#REF!,IF(#REF!="Length",#REF!*#REF!,IF(#REF!="Number",#REF!*#REF!,"0")))))</calculatedColumnFormula>
    </tableColumn>
    <tableColumn id="31" name="South5" dataDxfId="349"/>
    <tableColumn id="32" name="East23"/>
    <tableColumn id="33" name="North5"/>
    <tableColumn id="34" name="West25"/>
    <tableColumn id="35" name="Height26" dataDxfId="348">
      <calculatedColumnFormula>$H$2</calculatedColumnFormula>
    </tableColumn>
    <tableColumn id="36" name="Length27"/>
    <tableColumn id="40" name="Window area31" dataDxfId="347">
      <calculatedColumnFormula>IF(#REF!="None",0,IF(#REF!="Full",BC5*BB5,IF(#REF!="Percent",BB5*BC5*#REF!,IF(#REF!="Length",#REF!*#REF!,IF(#REF!="Number",#REF!*#REF!,"0")))))</calculatedColumnFormula>
    </tableColumn>
    <tableColumn id="41" name="South6" dataDxfId="346"/>
    <tableColumn id="42" name="East2"/>
    <tableColumn id="43" name="North3"/>
    <tableColumn id="44" name="West2"/>
    <tableColumn id="45" name="Height2" dataDxfId="345">
      <calculatedColumnFormula>$H$2</calculatedColumnFormula>
    </tableColumn>
    <tableColumn id="46" name="Length2"/>
    <tableColumn id="50" name="Window area41" dataDxfId="344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49" name="Tabelle411172361150" displayName="Tabelle411172361150" ref="B22:H28" totalsRowShown="0" tableBorderDxfId="343">
  <autoFilter ref="B22:H28"/>
  <tableColumns count="7">
    <tableColumn id="8" name="Zone Number" dataDxfId="342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0" name="Tabelle512182471251" displayName="Tabelle512182471251" ref="P4:AA18" totalsRowShown="0" headerRowDxfId="341" dataDxfId="340" tableBorderDxfId="339">
  <autoFilter ref="P4:AA18"/>
  <tableColumns count="12">
    <tableColumn id="1" name="Height" dataDxfId="338">
      <calculatedColumnFormula>$H$2</calculatedColumnFormula>
    </tableColumn>
    <tableColumn id="20" name="Length" dataDxfId="337">
      <calculatedColumnFormula>3.3-1.85</calculatedColumnFormula>
    </tableColumn>
    <tableColumn id="2" name="Total [m^2]" dataDxfId="336">
      <calculatedColumnFormula>Tabelle512182471251[[#This Row],[Height]]*Tabelle512182471251[[#This Row],[Length]]</calculatedColumnFormula>
    </tableColumn>
    <tableColumn id="16" name="Height2" dataDxfId="335">
      <calculatedColumnFormula>$H$2</calculatedColumnFormula>
    </tableColumn>
    <tableColumn id="21" name="Length3" dataDxfId="334">
      <calculatedColumnFormula>0.11+0.11+0.9+3.88</calculatedColumnFormula>
    </tableColumn>
    <tableColumn id="17" name="Total [m^2]2" dataDxfId="333">
      <calculatedColumnFormula>Tabelle512182471251[[#This Row],[Height2]]*Tabelle512182471251[[#This Row],[Length3]]</calculatedColumnFormula>
    </tableColumn>
    <tableColumn id="18" name="Height22" dataDxfId="332">
      <calculatedColumnFormula>$H$2</calculatedColumnFormula>
    </tableColumn>
    <tableColumn id="3" name="Length33" dataDxfId="331"/>
    <tableColumn id="22" name="Length332" dataDxfId="330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329">
      <calculatedColumnFormula>Tabelle512182471251[[#This Row],[Height22]]*Tabelle512182471251[[#This Row],[Length332]]</calculatedColumnFormula>
    </tableColumn>
    <tableColumn id="10" name="Yes/No" dataDxfId="328">
      <calculatedColumnFormula>Tabelle512182471251[[#This Row],[Total '[m^2']2]]</calculatedColumnFormula>
    </tableColumn>
    <tableColumn id="13" name="Yes/No2" dataDxfId="327">
      <calculatedColumnFormula>Tabelle512182471251[[#This Row],[Total '[m^2']2]]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" name="Tabelle18142038472" displayName="Tabelle18142038472" ref="A4:H18" totalsRowShown="0" tableBorderDxfId="326">
  <autoFilter ref="A4:H18"/>
  <tableColumns count="8">
    <tableColumn id="1" name="Area number" dataDxfId="325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324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12" name="Tabelle291521494813" displayName="Tabelle291521494813" ref="BN4:BX19" totalsRowShown="0" tableBorderDxfId="323">
  <autoFilter ref="BN4:BX19"/>
  <tableColumns count="11">
    <tableColumn id="51" name="North" dataDxfId="322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321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320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319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14"/>
    <tableColumn id="1" name="Area Roof adjusted"/>
    <tableColumn id="61" name="Area Ground" dataDxfId="1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13" name="Tabelle31016225104914" displayName="Tabelle31016225104914" ref="AC4:BK18" totalsRowShown="0" tableBorderDxfId="318">
  <autoFilter ref="AC4:BK18"/>
  <tableColumns count="35">
    <tableColumn id="51" name="South"/>
    <tableColumn id="2" name="East"/>
    <tableColumn id="3" name="North"/>
    <tableColumn id="4" name="West"/>
    <tableColumn id="5" name="Height" dataDxfId="317">
      <calculatedColumnFormula>$H$2</calculatedColumnFormula>
    </tableColumn>
    <tableColumn id="6" name="Length" dataDxfId="316">
      <calculatedColumnFormula>(0.33+1.62+3.1+1.2+1.2)</calculatedColumnFormula>
    </tableColumn>
    <tableColumn id="10" name="Window area" dataDxfId="315">
      <calculatedColumnFormula>7.04</calculatedColumnFormula>
    </tableColumn>
    <tableColumn id="11" name="South3" dataDxfId="314"/>
    <tableColumn id="12" name="East3"/>
    <tableColumn id="13" name="North2"/>
    <tableColumn id="14" name="West5"/>
    <tableColumn id="15" name="Height6" dataDxfId="313">
      <calculatedColumnFormula>$H$2</calculatedColumnFormula>
    </tableColumn>
    <tableColumn id="16" name="Length7" dataDxfId="312">
      <calculatedColumnFormula>8.78+0.18</calculatedColumnFormula>
    </tableColumn>
    <tableColumn id="20" name="Window area11" dataDxfId="311">
      <calculatedColumnFormula>5.83+2.88</calculatedColumnFormula>
    </tableColumn>
    <tableColumn id="21" name="South4" dataDxfId="310"/>
    <tableColumn id="22" name="East13"/>
    <tableColumn id="23" name="North4"/>
    <tableColumn id="24" name="West15"/>
    <tableColumn id="25" name="Height16" dataDxfId="309">
      <calculatedColumnFormula>$H$2</calculatedColumnFormula>
    </tableColumn>
    <tableColumn id="26" name="Length17" dataDxfId="308">
      <calculatedColumnFormula>0.15+0.75+2.4+0.96</calculatedColumnFormula>
    </tableColumn>
    <tableColumn id="30" name="Window area21" dataDxfId="307">
      <calculatedColumnFormula>IF(#REF!="None",0,IF(#REF!="Full",AV5*AU5,IF(#REF!="Percent",AU5*AV5*#REF!,IF(#REF!="Length",#REF!*#REF!,IF(#REF!="Number",#REF!*#REF!,"0")))))</calculatedColumnFormula>
    </tableColumn>
    <tableColumn id="31" name="South5" dataDxfId="306"/>
    <tableColumn id="32" name="East23"/>
    <tableColumn id="33" name="North5"/>
    <tableColumn id="34" name="West25"/>
    <tableColumn id="35" name="Height26" dataDxfId="305">
      <calculatedColumnFormula>$H$2</calculatedColumnFormula>
    </tableColumn>
    <tableColumn id="36" name="Length27"/>
    <tableColumn id="40" name="Window area31" dataDxfId="304">
      <calculatedColumnFormula>IF(#REF!="None",0,IF(#REF!="Full",BC5*BB5,IF(#REF!="Percent",BB5*BC5*#REF!,IF(#REF!="Length",#REF!*#REF!,IF(#REF!="Number",#REF!*#REF!,"0")))))</calculatedColumnFormula>
    </tableColumn>
    <tableColumn id="41" name="South6" dataDxfId="303"/>
    <tableColumn id="42" name="East2"/>
    <tableColumn id="43" name="North3"/>
    <tableColumn id="44" name="West2"/>
    <tableColumn id="45" name="Height2" dataDxfId="302">
      <calculatedColumnFormula>$H$2</calculatedColumnFormula>
    </tableColumn>
    <tableColumn id="46" name="Length2"/>
    <tableColumn id="50" name="Window area41" dataDxfId="301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14" name="Tabelle41117236115015" displayName="Tabelle41117236115015" ref="B22:H28" totalsRowShown="0" tableBorderDxfId="300">
  <autoFilter ref="B22:H28"/>
  <tableColumns count="7">
    <tableColumn id="8" name="Zone Number" dataDxfId="299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elle1814203" displayName="Tabelle1814203" ref="A4:H18" totalsRowShown="0" tableBorderDxfId="754">
  <autoFilter ref="A4:H18"/>
  <tableColumns count="8">
    <tableColumn id="1" name="Area number" dataDxfId="753"/>
    <tableColumn id="2" name="Area name"/>
    <tableColumn id="3" name="Zone"/>
    <tableColumn id="4" name="(f)loor/(c )eiling"/>
    <tableColumn id="5" name="(g)round/(r )oof"/>
    <tableColumn id="6" name="Size"/>
    <tableColumn id="7" name="Air-conditioned"/>
    <tableColumn id="8" name="Total Area size [m^2]" dataDxfId="752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15" name="Tabelle51218247125116" displayName="Tabelle51218247125116" ref="P4:AA18" totalsRowShown="0" headerRowDxfId="298" dataDxfId="297" tableBorderDxfId="296">
  <autoFilter ref="P4:AA18"/>
  <tableColumns count="12">
    <tableColumn id="1" name="Height" dataDxfId="295">
      <calculatedColumnFormula>$H$2</calculatedColumnFormula>
    </tableColumn>
    <tableColumn id="20" name="Length" dataDxfId="294">
      <calculatedColumnFormula>3.3-1.85</calculatedColumnFormula>
    </tableColumn>
    <tableColumn id="2" name="Total [m^2]" dataDxfId="293">
      <calculatedColumnFormula>Tabelle51218247125116[[#This Row],[Height]]*Tabelle51218247125116[[#This Row],[Length]]</calculatedColumnFormula>
    </tableColumn>
    <tableColumn id="16" name="Height2" dataDxfId="292">
      <calculatedColumnFormula>$H$2</calculatedColumnFormula>
    </tableColumn>
    <tableColumn id="21" name="Length3" dataDxfId="291">
      <calculatedColumnFormula>0.11+0.11+0.9+3.88</calculatedColumnFormula>
    </tableColumn>
    <tableColumn id="17" name="Total [m^2]2" dataDxfId="290">
      <calculatedColumnFormula>Tabelle51218247125116[[#This Row],[Height2]]*Tabelle51218247125116[[#This Row],[Length3]]</calculatedColumnFormula>
    </tableColumn>
    <tableColumn id="18" name="Height22" dataDxfId="289">
      <calculatedColumnFormula>$H$2</calculatedColumnFormula>
    </tableColumn>
    <tableColumn id="3" name="Length33" dataDxfId="288"/>
    <tableColumn id="22" name="Length332" dataDxfId="287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286">
      <calculatedColumnFormula>Tabelle51218247125116[[#This Row],[Height22]]*Tabelle51218247125116[[#This Row],[Length332]]</calculatedColumnFormula>
    </tableColumn>
    <tableColumn id="10" name="Yes/No" dataDxfId="285">
      <calculatedColumnFormula>Tabelle51218247125116[[#This Row],[Total '[m^2']2]]</calculatedColumnFormula>
    </tableColumn>
    <tableColumn id="13" name="Yes/No2" dataDxfId="284">
      <calculatedColumnFormula>Tabelle51218247125116[[#This Row],[Total '[m^2']2]]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16" name="Tabelle181420384717" displayName="Tabelle181420384717" ref="A4:H18" totalsRowShown="0" tableBorderDxfId="283">
  <autoFilter ref="A4:H18"/>
  <tableColumns count="8">
    <tableColumn id="1" name="Area number" dataDxfId="282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281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17" name="Tabelle291521494818" displayName="Tabelle291521494818" ref="BN4:BX19" totalsRowShown="0" tableBorderDxfId="280">
  <autoFilter ref="BN4:BX19"/>
  <tableColumns count="11">
    <tableColumn id="51" name="North" dataDxfId="279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278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277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276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12"/>
    <tableColumn id="1" name="Area Roof adjusted"/>
    <tableColumn id="61" name="Area Ground" dataDxfId="1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8" name="Tabelle31016225104919" displayName="Tabelle31016225104919" ref="AC4:BK18" totalsRowShown="0" tableBorderDxfId="275">
  <autoFilter ref="AC4:BK18"/>
  <tableColumns count="35">
    <tableColumn id="51" name="South"/>
    <tableColumn id="2" name="East"/>
    <tableColumn id="3" name="North"/>
    <tableColumn id="4" name="West"/>
    <tableColumn id="5" name="Height" dataDxfId="274">
      <calculatedColumnFormula>$H$2</calculatedColumnFormula>
    </tableColumn>
    <tableColumn id="6" name="Length" dataDxfId="273">
      <calculatedColumnFormula>(0.33+1.62+3.1+1.2+1.2)</calculatedColumnFormula>
    </tableColumn>
    <tableColumn id="10" name="Window area" dataDxfId="272">
      <calculatedColumnFormula>7.04</calculatedColumnFormula>
    </tableColumn>
    <tableColumn id="11" name="South3" dataDxfId="271"/>
    <tableColumn id="12" name="East3"/>
    <tableColumn id="13" name="North2"/>
    <tableColumn id="14" name="West5"/>
    <tableColumn id="15" name="Height6" dataDxfId="270">
      <calculatedColumnFormula>$H$2</calculatedColumnFormula>
    </tableColumn>
    <tableColumn id="16" name="Length7" dataDxfId="269">
      <calculatedColumnFormula>8.78+0.18</calculatedColumnFormula>
    </tableColumn>
    <tableColumn id="20" name="Window area11" dataDxfId="268">
      <calculatedColumnFormula>5.83+2.88</calculatedColumnFormula>
    </tableColumn>
    <tableColumn id="21" name="South4" dataDxfId="267"/>
    <tableColumn id="22" name="East13"/>
    <tableColumn id="23" name="North4"/>
    <tableColumn id="24" name="West15"/>
    <tableColumn id="25" name="Height16" dataDxfId="266">
      <calculatedColumnFormula>$H$2</calculatedColumnFormula>
    </tableColumn>
    <tableColumn id="26" name="Length17" dataDxfId="265">
      <calculatedColumnFormula>0.15+0.75+2.4+0.96</calculatedColumnFormula>
    </tableColumn>
    <tableColumn id="30" name="Window area21" dataDxfId="264">
      <calculatedColumnFormula>IF(#REF!="None",0,IF(#REF!="Full",AV5*AU5,IF(#REF!="Percent",AU5*AV5*#REF!,IF(#REF!="Length",#REF!*#REF!,IF(#REF!="Number",#REF!*#REF!,"0")))))</calculatedColumnFormula>
    </tableColumn>
    <tableColumn id="31" name="South5" dataDxfId="263"/>
    <tableColumn id="32" name="East23"/>
    <tableColumn id="33" name="North5"/>
    <tableColumn id="34" name="West25"/>
    <tableColumn id="35" name="Height26" dataDxfId="262">
      <calculatedColumnFormula>$H$2</calculatedColumnFormula>
    </tableColumn>
    <tableColumn id="36" name="Length27"/>
    <tableColumn id="40" name="Window area31" dataDxfId="261">
      <calculatedColumnFormula>IF(#REF!="None",0,IF(#REF!="Full",BC5*BB5,IF(#REF!="Percent",BB5*BC5*#REF!,IF(#REF!="Length",#REF!*#REF!,IF(#REF!="Number",#REF!*#REF!,"0")))))</calculatedColumnFormula>
    </tableColumn>
    <tableColumn id="41" name="South6" dataDxfId="260"/>
    <tableColumn id="42" name="East2"/>
    <tableColumn id="43" name="North3"/>
    <tableColumn id="44" name="West2"/>
    <tableColumn id="45" name="Height2" dataDxfId="259">
      <calculatedColumnFormula>$H$2</calculatedColumnFormula>
    </tableColumn>
    <tableColumn id="46" name="Length2"/>
    <tableColumn id="50" name="Window area41" dataDxfId="25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24" name="Tabelle41117236115025" displayName="Tabelle41117236115025" ref="B22:H28" totalsRowShown="0" tableBorderDxfId="257">
  <autoFilter ref="B22:H28"/>
  <tableColumns count="7">
    <tableColumn id="8" name="Zone Number" dataDxfId="256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25" name="Tabelle51218247125126" displayName="Tabelle51218247125126" ref="P4:AA18" totalsRowShown="0" headerRowDxfId="255" dataDxfId="254" tableBorderDxfId="253">
  <autoFilter ref="P4:AA18"/>
  <tableColumns count="12">
    <tableColumn id="1" name="Height" dataDxfId="252">
      <calculatedColumnFormula>$H$2</calculatedColumnFormula>
    </tableColumn>
    <tableColumn id="20" name="Length" dataDxfId="251">
      <calculatedColumnFormula>3.3-1.85</calculatedColumnFormula>
    </tableColumn>
    <tableColumn id="2" name="Total [m^2]" dataDxfId="250">
      <calculatedColumnFormula>Tabelle51218247125126[[#This Row],[Height]]*Tabelle51218247125126[[#This Row],[Length]]</calculatedColumnFormula>
    </tableColumn>
    <tableColumn id="16" name="Height2" dataDxfId="249">
      <calculatedColumnFormula>$H$2</calculatedColumnFormula>
    </tableColumn>
    <tableColumn id="21" name="Length3" dataDxfId="248">
      <calculatedColumnFormula>0.11+0.11+0.9+3.88</calculatedColumnFormula>
    </tableColumn>
    <tableColumn id="17" name="Total [m^2]2" dataDxfId="247">
      <calculatedColumnFormula>Tabelle51218247125126[[#This Row],[Height2]]*Tabelle51218247125126[[#This Row],[Length3]]</calculatedColumnFormula>
    </tableColumn>
    <tableColumn id="18" name="Height22" dataDxfId="246">
      <calculatedColumnFormula>$H$2</calculatedColumnFormula>
    </tableColumn>
    <tableColumn id="3" name="Length33" dataDxfId="245"/>
    <tableColumn id="22" name="Length332" dataDxfId="244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243">
      <calculatedColumnFormula>Tabelle51218247125126[[#This Row],[Height22]]*Tabelle51218247125126[[#This Row],[Length332]]</calculatedColumnFormula>
    </tableColumn>
    <tableColumn id="10" name="Yes/No" dataDxfId="242">
      <calculatedColumnFormula>Tabelle51218247125126[[#This Row],[Total '[m^2']2]]</calculatedColumnFormula>
    </tableColumn>
    <tableColumn id="13" name="Yes/No2" dataDxfId="241">
      <calculatedColumnFormula>Tabelle51218247125126[[#This Row],[Total '[m^2']2]]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26" name="Tabelle18142038471727" displayName="Tabelle18142038471727" ref="A4:H18" totalsRowShown="0" tableBorderDxfId="240">
  <autoFilter ref="A4:H18"/>
  <tableColumns count="8">
    <tableColumn id="1" name="Area number" dataDxfId="239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238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27" name="Tabelle29152149481828" displayName="Tabelle29152149481828" ref="BN4:BX19" totalsRowShown="0" tableBorderDxfId="237">
  <autoFilter ref="BN4:BX19"/>
  <tableColumns count="11">
    <tableColumn id="51" name="North" dataDxfId="236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235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234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233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10"/>
    <tableColumn id="1" name="Area Roof adjusted"/>
    <tableColumn id="61" name="Area Ground" dataDxfId="9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28" name="Tabelle3101622510491929" displayName="Tabelle3101622510491929" ref="AC4:BK18" totalsRowShown="0" tableBorderDxfId="232">
  <autoFilter ref="AC4:BK18"/>
  <tableColumns count="35">
    <tableColumn id="51" name="South"/>
    <tableColumn id="2" name="East"/>
    <tableColumn id="3" name="North"/>
    <tableColumn id="4" name="West"/>
    <tableColumn id="5" name="Height" dataDxfId="231">
      <calculatedColumnFormula>$H$2</calculatedColumnFormula>
    </tableColumn>
    <tableColumn id="6" name="Length" dataDxfId="230">
      <calculatedColumnFormula>(0.33+1.62+3.1+1.2+1.2)</calculatedColumnFormula>
    </tableColumn>
    <tableColumn id="10" name="Window area" dataDxfId="229">
      <calculatedColumnFormula>7.04</calculatedColumnFormula>
    </tableColumn>
    <tableColumn id="11" name="South3" dataDxfId="228"/>
    <tableColumn id="12" name="East3"/>
    <tableColumn id="13" name="North2"/>
    <tableColumn id="14" name="West5"/>
    <tableColumn id="15" name="Height6" dataDxfId="227">
      <calculatedColumnFormula>$H$2</calculatedColumnFormula>
    </tableColumn>
    <tableColumn id="16" name="Length7" dataDxfId="226">
      <calculatedColumnFormula>8.78+0.18</calculatedColumnFormula>
    </tableColumn>
    <tableColumn id="20" name="Window area11" dataDxfId="225">
      <calculatedColumnFormula>5.83+2.88</calculatedColumnFormula>
    </tableColumn>
    <tableColumn id="21" name="South4" dataDxfId="224"/>
    <tableColumn id="22" name="East13"/>
    <tableColumn id="23" name="North4"/>
    <tableColumn id="24" name="West15"/>
    <tableColumn id="25" name="Height16" dataDxfId="223">
      <calculatedColumnFormula>$H$2</calculatedColumnFormula>
    </tableColumn>
    <tableColumn id="26" name="Length17" dataDxfId="222">
      <calculatedColumnFormula>0.15+0.75+2.4+0.96</calculatedColumnFormula>
    </tableColumn>
    <tableColumn id="30" name="Window area21" dataDxfId="221">
      <calculatedColumnFormula>IF(#REF!="None",0,IF(#REF!="Full",AV5*AU5,IF(#REF!="Percent",AU5*AV5*#REF!,IF(#REF!="Length",#REF!*#REF!,IF(#REF!="Number",#REF!*#REF!,"0")))))</calculatedColumnFormula>
    </tableColumn>
    <tableColumn id="31" name="South5" dataDxfId="220"/>
    <tableColumn id="32" name="East23"/>
    <tableColumn id="33" name="North5"/>
    <tableColumn id="34" name="West25"/>
    <tableColumn id="35" name="Height26" dataDxfId="219">
      <calculatedColumnFormula>$H$2</calculatedColumnFormula>
    </tableColumn>
    <tableColumn id="36" name="Length27"/>
    <tableColumn id="40" name="Window area31" dataDxfId="218">
      <calculatedColumnFormula>IF(#REF!="None",0,IF(#REF!="Full",BC5*BB5,IF(#REF!="Percent",BB5*BC5*#REF!,IF(#REF!="Length",#REF!*#REF!,IF(#REF!="Number",#REF!*#REF!,"0")))))</calculatedColumnFormula>
    </tableColumn>
    <tableColumn id="41" name="South6" dataDxfId="217"/>
    <tableColumn id="42" name="East2"/>
    <tableColumn id="43" name="North3"/>
    <tableColumn id="44" name="West2"/>
    <tableColumn id="45" name="Height2" dataDxfId="216">
      <calculatedColumnFormula>$H$2</calculatedColumnFormula>
    </tableColumn>
    <tableColumn id="46" name="Length2"/>
    <tableColumn id="50" name="Window area41" dataDxfId="215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29" name="Tabelle4111723611502530" displayName="Tabelle4111723611502530" ref="B22:H28" totalsRowShown="0" tableBorderDxfId="214">
  <autoFilter ref="B22:H28"/>
  <tableColumns count="7">
    <tableColumn id="8" name="Zone Number" dataDxfId="213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elle2915214" displayName="Tabelle2915214" ref="BL4:BV18" totalsRowShown="0" tableBorderDxfId="751">
  <autoFilter ref="BL4:BV18"/>
  <tableColumns count="11">
    <tableColumn id="51" name="North" dataDxfId="750">
      <calculatedColumnFormula>Tabelle31016225[[#This Row],[North]]*$AG5+AJ5*$AN5+AQ5*$AU5+AX5*$BB5+BE5*$BI5</calculatedColumnFormula>
    </tableColumn>
    <tableColumn id="52" name="East">
      <calculatedColumnFormula>AB5*$AG5+AI5*$AN5+AP5*$AU5+AW5*$BB5+BD5*$BI5</calculatedColumnFormula>
    </tableColumn>
    <tableColumn id="53" name="South" dataDxfId="749">
      <calculatedColumnFormula>AA5*$AG5+AH5*$AN5+AO5*$AU5+AV5*$BB5+BC5*$BI5</calculatedColumnFormula>
    </tableColumn>
    <tableColumn id="54" name="West">
      <calculatedColumnFormula>AD5*$AG5+AK5*$AN5+AR5*$AU5+AY5*$BB5+BF5*$BI5</calculatedColumnFormula>
    </tableColumn>
    <tableColumn id="55" name="North2" dataDxfId="748">
      <calculatedColumnFormula>Tabelle31016225[[#This Row],[North]]*$AE5*$AF5+AJ5*$AL5*$AM5+AQ5*$AS5*$AT5+AX5*$AZ5*$BA5+BE5*$BG5*$BH5-BL5</calculatedColumnFormula>
    </tableColumn>
    <tableColumn id="56" name="East2">
      <calculatedColumnFormula>AB5*$AE5*$AF5+AI5*$AL5*$AM5+AP5*$AS5*$AT5+AW5*$AZ5*$BA5+BD5*$BG5*$BH5-BM5</calculatedColumnFormula>
    </tableColumn>
    <tableColumn id="57" name="South2" dataDxfId="747">
      <calculatedColumnFormula>AA5*$AE5*$AF5+AH5*$AL5*$AM5+AO5*$AS5*$AT5+AV5*$AZ5*$BA5+BC5*$BG5*$BH5-BN5</calculatedColumnFormula>
    </tableColumn>
    <tableColumn id="58" name="West2">
      <calculatedColumnFormula>AD5*$AE5*$AF5+AK5*$AL5*$AM5+AR5*$AS5*$AT5+AY5*$AZ5*$BA5+BF5*$BG5*$BH5-BO5</calculatedColumnFormula>
    </tableColumn>
    <tableColumn id="60" name="Area Roof" dataDxfId="3">
      <calculatedColumnFormula>IF(Tabelle181420[[#This Row],[(g)round/(r )oof]]="R",Tabelle181420[[#This Row],[Total Area size '[m^2']]],IF(Tabelle181420[[#This Row],[(g)round/(r )oof]]="B",Tabelle181420[[#This Row],[Total Area size '[m^2']]],0))</calculatedColumnFormula>
    </tableColumn>
    <tableColumn id="1" name="Area Roof adjusted"/>
    <tableColumn id="61" name="Area Ground" dataDxfId="2">
      <calculatedColumnFormula>IF(Tabelle181420[[#This Row],[(g)round/(r )oof]]="G",Tabelle181420[[#This Row],[Total Area size '[m^2']]],IF(Tabelle181420[[#This Row],[(g)round/(r )oof]]="B",Tabelle181420[[#This Row],[Total Area size '[m^2']]],0))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30" name="Tabelle5121824712512631" displayName="Tabelle5121824712512631" ref="P4:AA18" totalsRowShown="0" headerRowDxfId="212" dataDxfId="211" tableBorderDxfId="210">
  <autoFilter ref="P4:AA18"/>
  <tableColumns count="12">
    <tableColumn id="1" name="Height" dataDxfId="209">
      <calculatedColumnFormula>$H$2</calculatedColumnFormula>
    </tableColumn>
    <tableColumn id="20" name="Length" dataDxfId="208">
      <calculatedColumnFormula>3.3-1.85</calculatedColumnFormula>
    </tableColumn>
    <tableColumn id="2" name="Total [m^2]" dataDxfId="207">
      <calculatedColumnFormula>Tabelle5121824712512631[[#This Row],[Height]]*Tabelle5121824712512631[[#This Row],[Length]]</calculatedColumnFormula>
    </tableColumn>
    <tableColumn id="16" name="Height2" dataDxfId="206">
      <calculatedColumnFormula>$H$2</calculatedColumnFormula>
    </tableColumn>
    <tableColumn id="21" name="Length3" dataDxfId="205">
      <calculatedColumnFormula>0.11+0.11+0.9+3.88</calculatedColumnFormula>
    </tableColumn>
    <tableColumn id="17" name="Total [m^2]2" dataDxfId="204">
      <calculatedColumnFormula>Tabelle5121824712512631[[#This Row],[Height2]]*Tabelle5121824712512631[[#This Row],[Length3]]</calculatedColumnFormula>
    </tableColumn>
    <tableColumn id="18" name="Height22" dataDxfId="203">
      <calculatedColumnFormula>$H$2</calculatedColumnFormula>
    </tableColumn>
    <tableColumn id="3" name="Length33" dataDxfId="202"/>
    <tableColumn id="22" name="Length332" dataDxfId="201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200">
      <calculatedColumnFormula>Tabelle5121824712512631[[#This Row],[Height22]]*Tabelle5121824712512631[[#This Row],[Length332]]</calculatedColumnFormula>
    </tableColumn>
    <tableColumn id="10" name="Yes/No" dataDxfId="199">
      <calculatedColumnFormula>Tabelle5121824712512631[[#This Row],[Total '[m^2']2]]</calculatedColumnFormula>
    </tableColumn>
    <tableColumn id="13" name="Yes/No2" dataDxfId="198">
      <calculatedColumnFormula>Tabelle5121824712512631[[#This Row],[Total '[m^2']2]]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31" name="Tabelle18142038471732" displayName="Tabelle18142038471732" ref="A4:H18" totalsRowShown="0" tableBorderDxfId="197">
  <autoFilter ref="A4:H18"/>
  <tableColumns count="8">
    <tableColumn id="1" name="Area number" dataDxfId="196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195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32" name="Tabelle29152149481833" displayName="Tabelle29152149481833" ref="BN4:BX19" totalsRowShown="0" tableBorderDxfId="194">
  <autoFilter ref="BN4:BX19"/>
  <tableColumns count="11">
    <tableColumn id="51" name="North" dataDxfId="193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192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191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190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8"/>
    <tableColumn id="1" name="Area Roof adjusted"/>
    <tableColumn id="61" name="Area Ground" dataDxfId="7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33" name="Tabelle3101622510491934" displayName="Tabelle3101622510491934" ref="AC4:BK18" totalsRowShown="0" tableBorderDxfId="189">
  <autoFilter ref="AC4:BK18"/>
  <tableColumns count="35">
    <tableColumn id="51" name="South"/>
    <tableColumn id="2" name="East"/>
    <tableColumn id="3" name="North"/>
    <tableColumn id="4" name="West"/>
    <tableColumn id="5" name="Height" dataDxfId="188">
      <calculatedColumnFormula>$H$2</calculatedColumnFormula>
    </tableColumn>
    <tableColumn id="6" name="Length" dataDxfId="187">
      <calculatedColumnFormula>(0.33+1.62+3.1+1.2+1.2)</calculatedColumnFormula>
    </tableColumn>
    <tableColumn id="10" name="Window area" dataDxfId="186">
      <calculatedColumnFormula>7.04</calculatedColumnFormula>
    </tableColumn>
    <tableColumn id="11" name="South3" dataDxfId="185"/>
    <tableColumn id="12" name="East3"/>
    <tableColumn id="13" name="North2"/>
    <tableColumn id="14" name="West5"/>
    <tableColumn id="15" name="Height6" dataDxfId="184">
      <calculatedColumnFormula>$H$2</calculatedColumnFormula>
    </tableColumn>
    <tableColumn id="16" name="Length7" dataDxfId="183">
      <calculatedColumnFormula>8.78+0.18</calculatedColumnFormula>
    </tableColumn>
    <tableColumn id="20" name="Window area11" dataDxfId="182">
      <calculatedColumnFormula>5.83+2.88</calculatedColumnFormula>
    </tableColumn>
    <tableColumn id="21" name="South4" dataDxfId="181"/>
    <tableColumn id="22" name="East13"/>
    <tableColumn id="23" name="North4"/>
    <tableColumn id="24" name="West15"/>
    <tableColumn id="25" name="Height16" dataDxfId="180">
      <calculatedColumnFormula>$H$2</calculatedColumnFormula>
    </tableColumn>
    <tableColumn id="26" name="Length17" dataDxfId="179">
      <calculatedColumnFormula>0.15+0.75+2.4+0.96</calculatedColumnFormula>
    </tableColumn>
    <tableColumn id="30" name="Window area21" dataDxfId="178">
      <calculatedColumnFormula>IF(#REF!="None",0,IF(#REF!="Full",AV5*AU5,IF(#REF!="Percent",AU5*AV5*#REF!,IF(#REF!="Length",#REF!*#REF!,IF(#REF!="Number",#REF!*#REF!,"0")))))</calculatedColumnFormula>
    </tableColumn>
    <tableColumn id="31" name="South5" dataDxfId="177"/>
    <tableColumn id="32" name="East23"/>
    <tableColumn id="33" name="North5"/>
    <tableColumn id="34" name="West25"/>
    <tableColumn id="35" name="Height26" dataDxfId="176">
      <calculatedColumnFormula>$H$2</calculatedColumnFormula>
    </tableColumn>
    <tableColumn id="36" name="Length27"/>
    <tableColumn id="40" name="Window area31" dataDxfId="175">
      <calculatedColumnFormula>IF(#REF!="None",0,IF(#REF!="Full",BC5*BB5,IF(#REF!="Percent",BB5*BC5*#REF!,IF(#REF!="Length",#REF!*#REF!,IF(#REF!="Number",#REF!*#REF!,"0")))))</calculatedColumnFormula>
    </tableColumn>
    <tableColumn id="41" name="South6" dataDxfId="174"/>
    <tableColumn id="42" name="East2"/>
    <tableColumn id="43" name="North3"/>
    <tableColumn id="44" name="West2"/>
    <tableColumn id="45" name="Height2" dataDxfId="173">
      <calculatedColumnFormula>$H$2</calculatedColumnFormula>
    </tableColumn>
    <tableColumn id="46" name="Length2"/>
    <tableColumn id="50" name="Window area41" dataDxfId="1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34" name="Tabelle4111723611502535" displayName="Tabelle4111723611502535" ref="B22:H28" totalsRowShown="0" tableBorderDxfId="171">
  <autoFilter ref="B22:H28"/>
  <tableColumns count="7">
    <tableColumn id="8" name="Zone Number" dataDxfId="170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35" name="Tabelle5121824712512636" displayName="Tabelle5121824712512636" ref="P4:AA18" totalsRowShown="0" headerRowDxfId="169" dataDxfId="168" tableBorderDxfId="167">
  <autoFilter ref="P4:AA18"/>
  <tableColumns count="12">
    <tableColumn id="1" name="Height" dataDxfId="166">
      <calculatedColumnFormula>$H$2</calculatedColumnFormula>
    </tableColumn>
    <tableColumn id="20" name="Length" dataDxfId="165">
      <calculatedColumnFormula>3.3-1.85</calculatedColumnFormula>
    </tableColumn>
    <tableColumn id="2" name="Total [m^2]" dataDxfId="164">
      <calculatedColumnFormula>Tabelle5121824712512636[[#This Row],[Height]]*Tabelle5121824712512636[[#This Row],[Length]]</calculatedColumnFormula>
    </tableColumn>
    <tableColumn id="16" name="Height2" dataDxfId="163">
      <calculatedColumnFormula>$H$2</calculatedColumnFormula>
    </tableColumn>
    <tableColumn id="21" name="Length3" dataDxfId="162">
      <calculatedColumnFormula>0.11+0.11+0.9+3.88</calculatedColumnFormula>
    </tableColumn>
    <tableColumn id="17" name="Total [m^2]2" dataDxfId="161">
      <calculatedColumnFormula>Tabelle5121824712512636[[#This Row],[Height2]]*Tabelle5121824712512636[[#This Row],[Length3]]</calculatedColumnFormula>
    </tableColumn>
    <tableColumn id="18" name="Height22" dataDxfId="160">
      <calculatedColumnFormula>$H$2</calculatedColumnFormula>
    </tableColumn>
    <tableColumn id="3" name="Length33" dataDxfId="159"/>
    <tableColumn id="22" name="Length332" dataDxfId="158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157">
      <calculatedColumnFormula>Tabelle5121824712512636[[#This Row],[Height22]]*Tabelle5121824712512636[[#This Row],[Length332]]</calculatedColumnFormula>
    </tableColumn>
    <tableColumn id="10" name="Yes/No" dataDxfId="156">
      <calculatedColumnFormula>Tabelle5121824712512636[[#This Row],[Total '[m^2']2]]</calculatedColumnFormula>
    </tableColumn>
    <tableColumn id="13" name="Yes/No2" dataDxfId="155">
      <calculatedColumnFormula>Tabelle5121824712512636[[#This Row],[Total '[m^2']2]]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36" name="Tabelle1814203847173237" displayName="Tabelle1814203847173237" ref="A4:H18" totalsRowShown="0" tableBorderDxfId="154">
  <autoFilter ref="A4:H18"/>
  <tableColumns count="8">
    <tableColumn id="1" name="Area number" dataDxfId="153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152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37" name="Tabelle2915214948183338" displayName="Tabelle2915214948183338" ref="BN4:BX19" totalsRowShown="0" tableBorderDxfId="151">
  <autoFilter ref="BN4:BX19"/>
  <tableColumns count="11">
    <tableColumn id="51" name="North" dataDxfId="150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149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148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147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6"/>
    <tableColumn id="1" name="Area Roof adjusted"/>
    <tableColumn id="61" name="Area Ground" dataDxfId="5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38" name="Tabelle310162251049193439" displayName="Tabelle310162251049193439" ref="AC4:BK18" totalsRowShown="0" tableBorderDxfId="146">
  <autoFilter ref="AC4:BK18"/>
  <tableColumns count="35">
    <tableColumn id="51" name="South"/>
    <tableColumn id="2" name="East"/>
    <tableColumn id="3" name="North"/>
    <tableColumn id="4" name="West"/>
    <tableColumn id="5" name="Height" dataDxfId="145">
      <calculatedColumnFormula>$H$2</calculatedColumnFormula>
    </tableColumn>
    <tableColumn id="6" name="Length" dataDxfId="144">
      <calculatedColumnFormula>(0.33+1.62+3.1+1.2+1.2)</calculatedColumnFormula>
    </tableColumn>
    <tableColumn id="10" name="Window area" dataDxfId="143">
      <calculatedColumnFormula>7.04</calculatedColumnFormula>
    </tableColumn>
    <tableColumn id="11" name="South3" dataDxfId="142"/>
    <tableColumn id="12" name="East3"/>
    <tableColumn id="13" name="North2"/>
    <tableColumn id="14" name="West5"/>
    <tableColumn id="15" name="Height6" dataDxfId="141">
      <calculatedColumnFormula>$H$2</calculatedColumnFormula>
    </tableColumn>
    <tableColumn id="16" name="Length7" dataDxfId="140">
      <calculatedColumnFormula>8.78+0.18</calculatedColumnFormula>
    </tableColumn>
    <tableColumn id="20" name="Window area11" dataDxfId="139">
      <calculatedColumnFormula>5.83+2.88</calculatedColumnFormula>
    </tableColumn>
    <tableColumn id="21" name="South4" dataDxfId="138"/>
    <tableColumn id="22" name="East13"/>
    <tableColumn id="23" name="North4"/>
    <tableColumn id="24" name="West15"/>
    <tableColumn id="25" name="Height16" dataDxfId="137">
      <calculatedColumnFormula>$H$2</calculatedColumnFormula>
    </tableColumn>
    <tableColumn id="26" name="Length17" dataDxfId="136">
      <calculatedColumnFormula>0.15+0.75+2.4+0.96</calculatedColumnFormula>
    </tableColumn>
    <tableColumn id="30" name="Window area21" dataDxfId="135">
      <calculatedColumnFormula>IF(#REF!="None",0,IF(#REF!="Full",AV5*AU5,IF(#REF!="Percent",AU5*AV5*#REF!,IF(#REF!="Length",#REF!*#REF!,IF(#REF!="Number",#REF!*#REF!,"0")))))</calculatedColumnFormula>
    </tableColumn>
    <tableColumn id="31" name="South5" dataDxfId="134"/>
    <tableColumn id="32" name="East23"/>
    <tableColumn id="33" name="North5"/>
    <tableColumn id="34" name="West25"/>
    <tableColumn id="35" name="Height26" dataDxfId="133">
      <calculatedColumnFormula>$H$2</calculatedColumnFormula>
    </tableColumn>
    <tableColumn id="36" name="Length27"/>
    <tableColumn id="40" name="Window area31" dataDxfId="132">
      <calculatedColumnFormula>IF(#REF!="None",0,IF(#REF!="Full",BC5*BB5,IF(#REF!="Percent",BB5*BC5*#REF!,IF(#REF!="Length",#REF!*#REF!,IF(#REF!="Number",#REF!*#REF!,"0")))))</calculatedColumnFormula>
    </tableColumn>
    <tableColumn id="41" name="South6" dataDxfId="131"/>
    <tableColumn id="42" name="East2"/>
    <tableColumn id="43" name="North3"/>
    <tableColumn id="44" name="West2"/>
    <tableColumn id="45" name="Height2" dataDxfId="130">
      <calculatedColumnFormula>$H$2</calculatedColumnFormula>
    </tableColumn>
    <tableColumn id="46" name="Length2"/>
    <tableColumn id="50" name="Window area41" dataDxfId="129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39" name="Tabelle411172361150253540" displayName="Tabelle411172361150253540" ref="B22:H28" totalsRowShown="0" tableBorderDxfId="128">
  <autoFilter ref="B22:H28"/>
  <tableColumns count="7">
    <tableColumn id="8" name="Zone Number" dataDxfId="127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le31016225" displayName="Tabelle31016225" ref="AA4:BI18" totalsRowShown="0" tableBorderDxfId="746">
  <autoFilter ref="AA4:BI18"/>
  <tableColumns count="35">
    <tableColumn id="51" name="South"/>
    <tableColumn id="2" name="East"/>
    <tableColumn id="3" name="North"/>
    <tableColumn id="4" name="West"/>
    <tableColumn id="5" name="Height" dataDxfId="745">
      <calculatedColumnFormula>$H$2</calculatedColumnFormula>
    </tableColumn>
    <tableColumn id="6" name="Length"/>
    <tableColumn id="10" name="Window area" dataDxfId="744">
      <calculatedColumnFormula>7.04</calculatedColumnFormula>
    </tableColumn>
    <tableColumn id="11" name="South3" dataDxfId="743"/>
    <tableColumn id="12" name="East3"/>
    <tableColumn id="13" name="North2"/>
    <tableColumn id="14" name="West5"/>
    <tableColumn id="15" name="Height6" dataDxfId="742">
      <calculatedColumnFormula>$H$2</calculatedColumnFormula>
    </tableColumn>
    <tableColumn id="16" name="Length7" dataDxfId="741">
      <calculatedColumnFormula>(805-637)/100</calculatedColumnFormula>
    </tableColumn>
    <tableColumn id="20" name="Window area11" dataDxfId="740">
      <calculatedColumnFormula>IF(#REF!="None",0,IF(#REF!="Full",AM5*AL5,IF(#REF!="Percent",AL5*AM5*#REF!,IF(#REF!="Length",#REF!*#REF!,IF(#REF!="Number",#REF!*#REF!,"0")))))</calculatedColumnFormula>
    </tableColumn>
    <tableColumn id="21" name="South4" dataDxfId="739"/>
    <tableColumn id="22" name="East13"/>
    <tableColumn id="23" name="North4"/>
    <tableColumn id="24" name="West15"/>
    <tableColumn id="25" name="Height16" dataDxfId="738">
      <calculatedColumnFormula>$H$2</calculatedColumnFormula>
    </tableColumn>
    <tableColumn id="26" name="Length17" dataDxfId="737">
      <calculatedColumnFormula>(33+90+260+85+8)/100</calculatedColumnFormula>
    </tableColumn>
    <tableColumn id="30" name="Window area21" dataDxfId="736">
      <calculatedColumnFormula>IF(#REF!="None",0,IF(#REF!="Full",AT5*AS5,IF(#REF!="Percent",AS5*AT5*#REF!,IF(#REF!="Length",#REF!*#REF!,IF(#REF!="Number",#REF!*#REF!,"0")))))</calculatedColumnFormula>
    </tableColumn>
    <tableColumn id="31" name="South5" dataDxfId="735"/>
    <tableColumn id="32" name="East23"/>
    <tableColumn id="33" name="North5"/>
    <tableColumn id="34" name="West25"/>
    <tableColumn id="35" name="Height26" dataDxfId="734">
      <calculatedColumnFormula>$H$2</calculatedColumnFormula>
    </tableColumn>
    <tableColumn id="36" name="Length27"/>
    <tableColumn id="40" name="Window area31" dataDxfId="733">
      <calculatedColumnFormula>IF(#REF!="None",0,IF(#REF!="Full",BA5*AZ5,IF(#REF!="Percent",AZ5*BA5*#REF!,IF(#REF!="Length",#REF!*#REF!,IF(#REF!="Number",#REF!*#REF!,"0")))))</calculatedColumnFormula>
    </tableColumn>
    <tableColumn id="41" name="South6" dataDxfId="732"/>
    <tableColumn id="42" name="East2"/>
    <tableColumn id="43" name="North3"/>
    <tableColumn id="44" name="West2"/>
    <tableColumn id="45" name="Height2" dataDxfId="731">
      <calculatedColumnFormula>$H$2</calculatedColumnFormula>
    </tableColumn>
    <tableColumn id="46" name="Length2"/>
    <tableColumn id="50" name="Window area41" dataDxfId="730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40" name="Tabelle512182471251263641" displayName="Tabelle512182471251263641" ref="P4:AA18" totalsRowShown="0" headerRowDxfId="126" dataDxfId="125" tableBorderDxfId="124">
  <autoFilter ref="P4:AA18"/>
  <tableColumns count="12">
    <tableColumn id="1" name="Height" dataDxfId="123">
      <calculatedColumnFormula>$H$2</calculatedColumnFormula>
    </tableColumn>
    <tableColumn id="20" name="Length" dataDxfId="122">
      <calculatedColumnFormula>3.3-1.85</calculatedColumnFormula>
    </tableColumn>
    <tableColumn id="2" name="Total [m^2]" dataDxfId="121">
      <calculatedColumnFormula>Tabelle512182471251263641[[#This Row],[Height]]*Tabelle512182471251263641[[#This Row],[Length]]</calculatedColumnFormula>
    </tableColumn>
    <tableColumn id="16" name="Height2" dataDxfId="120">
      <calculatedColumnFormula>$H$2</calculatedColumnFormula>
    </tableColumn>
    <tableColumn id="21" name="Length3" dataDxfId="119">
      <calculatedColumnFormula>0.11+0.11+0.9+3.88</calculatedColumnFormula>
    </tableColumn>
    <tableColumn id="17" name="Total [m^2]2" dataDxfId="118">
      <calculatedColumnFormula>Tabelle512182471251263641[[#This Row],[Height2]]*Tabelle512182471251263641[[#This Row],[Length3]]</calculatedColumnFormula>
    </tableColumn>
    <tableColumn id="18" name="Height22" dataDxfId="117">
      <calculatedColumnFormula>$H$2</calculatedColumnFormula>
    </tableColumn>
    <tableColumn id="3" name="Length33" dataDxfId="116"/>
    <tableColumn id="22" name="Length332" dataDxfId="115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114">
      <calculatedColumnFormula>Tabelle512182471251263641[[#This Row],[Height22]]*Tabelle512182471251263641[[#This Row],[Length332]]</calculatedColumnFormula>
    </tableColumn>
    <tableColumn id="10" name="Yes/No" dataDxfId="113">
      <calculatedColumnFormula>Tabelle512182471251263641[[#This Row],[Total '[m^2']2]]</calculatedColumnFormula>
    </tableColumn>
    <tableColumn id="13" name="Yes/No2" dataDxfId="112">
      <calculatedColumnFormula>Tabelle512182471251263641[[#This Row],[Total '[m^2']2]]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41" name="Tabelle181420384742" displayName="Tabelle181420384742" ref="A4:H18" totalsRowShown="0" tableBorderDxfId="111">
  <autoFilter ref="A4:H18"/>
  <tableColumns count="8">
    <tableColumn id="1" name="Area number" dataDxfId="110"/>
    <tableColumn id="2" name="Area name"/>
    <tableColumn id="3" name="Zone"/>
    <tableColumn id="4" name="floor"/>
    <tableColumn id="5" name="ceiling"/>
    <tableColumn id="6" name="Size"/>
    <tableColumn id="7" name="(g)round/(r )oof2"/>
    <tableColumn id="8" name="Total Area size [m^2]" dataDxfId="109">
      <calculatedColumnFormula>SUM(I5,J5,K5,L5,M5)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42" name="Tabelle291521494843" displayName="Tabelle291521494843" ref="BN4:BX19" totalsRowShown="0" tableBorderDxfId="108">
  <autoFilter ref="BN4:BX19"/>
  <tableColumns count="11">
    <tableColumn id="51" name="North" dataDxfId="107">
      <calculatedColumnFormula>Tabelle3101622510[[#This Row],[North]]*$AI5+AL5*$AP5+AS5*$AW5+AZ5*$BD5+BG5*$BK5</calculatedColumnFormula>
    </tableColumn>
    <tableColumn id="52" name="East">
      <calculatedColumnFormula>AD5*$AI5+AK5*$AP5+AR5*$AW5+AY5*$BD5+BF5*$BK5</calculatedColumnFormula>
    </tableColumn>
    <tableColumn id="53" name="South" dataDxfId="106">
      <calculatedColumnFormula>AC5*$AI5+AJ5*$AP5+AQ5*$AW5+AX5*$BD5+BE5*$BK5</calculatedColumnFormula>
    </tableColumn>
    <tableColumn id="54" name="West">
      <calculatedColumnFormula>AF5*$AI5+AM5*$AP5+AT5*$AW5+BA5*$BD5+BH5*$BK5</calculatedColumnFormula>
    </tableColumn>
    <tableColumn id="55" name="North2" dataDxfId="105">
      <calculatedColumnFormula>Tabelle3101622510[[#This Row],[North]]*$AG5*$AH5+AL5*$AN5*$AO5+AS5*$AU5*$AV5+AZ5*$BB5*$BC5+BG5*$BI5*$BJ5-BN5</calculatedColumnFormula>
    </tableColumn>
    <tableColumn id="56" name="East2">
      <calculatedColumnFormula>AD5*$AG5*$AH5+AK5*$AN5*$AO5+AR5*$AU5*$AV5+AY5*$BB5*$BC5+BF5*$BI5*$BJ5-BO5</calculatedColumnFormula>
    </tableColumn>
    <tableColumn id="57" name="South2" dataDxfId="104">
      <calculatedColumnFormula>AC5*$AG5*$AH5+AJ5*$AN5*$AO5+AQ5*$AU5*$AV5+AX5*$BB5*$BC5+BE5*$BI5*$BJ5-BP5</calculatedColumnFormula>
    </tableColumn>
    <tableColumn id="58" name="West2">
      <calculatedColumnFormula>AF5*$AG5*$AH5+AM5*$AN5*$AO5+AT5*$AU5*$AV5+BA5*$BB5*$BC5+BH5*$BI5*$BJ5-BQ5</calculatedColumnFormula>
    </tableColumn>
    <tableColumn id="60" name="Area Roof" dataDxfId="103">
      <calculatedColumnFormula>Tabelle291521494843[[#This Row],[Spalte1]]/$BX$19*$BV$27</calculatedColumnFormula>
    </tableColumn>
    <tableColumn id="61" name="Area Ground" dataDxfId="102">
      <calculatedColumnFormula>Tabelle291521494843[[#This Row],[Spalte1]]/$BX$19*$BW$27</calculatedColumnFormula>
    </tableColumn>
    <tableColumn id="2" name="Spalte1" dataDxfId="101">
      <calculatedColumnFormula>IF(Tabelle18142038[[#This Row],[(g)round/(r )oof]]="G",Tabelle18142038[[#This Row],[Total Area size '[m^2']]],0)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43" name="Tabelle31016225104944" displayName="Tabelle31016225104944" ref="AC4:BK18" totalsRowShown="0" tableBorderDxfId="100">
  <autoFilter ref="AC4:BK18"/>
  <tableColumns count="35">
    <tableColumn id="51" name="South"/>
    <tableColumn id="2" name="East"/>
    <tableColumn id="3" name="North"/>
    <tableColumn id="4" name="West"/>
    <tableColumn id="5" name="Height" dataDxfId="99">
      <calculatedColumnFormula>$H$2</calculatedColumnFormula>
    </tableColumn>
    <tableColumn id="6" name="Length" dataDxfId="98">
      <calculatedColumnFormula>5.8+0.16+0.16+1.9</calculatedColumnFormula>
    </tableColumn>
    <tableColumn id="10" name="Window area" dataDxfId="97">
      <calculatedColumnFormula>7.04</calculatedColumnFormula>
    </tableColumn>
    <tableColumn id="11" name="South3" dataDxfId="96"/>
    <tableColumn id="12" name="East3"/>
    <tableColumn id="13" name="North2"/>
    <tableColumn id="14" name="West5"/>
    <tableColumn id="15" name="Height6" dataDxfId="95">
      <calculatedColumnFormula>$H$2</calculatedColumnFormula>
    </tableColumn>
    <tableColumn id="16" name="Length7" dataDxfId="94">
      <calculatedColumnFormula>4.51+4.16</calculatedColumnFormula>
    </tableColumn>
    <tableColumn id="20" name="Window area11" dataDxfId="93">
      <calculatedColumnFormula>4.08+8.36</calculatedColumnFormula>
    </tableColumn>
    <tableColumn id="21" name="South4" dataDxfId="92"/>
    <tableColumn id="22" name="East13"/>
    <tableColumn id="23" name="North4"/>
    <tableColumn id="24" name="West15"/>
    <tableColumn id="25" name="Height16" dataDxfId="91">
      <calculatedColumnFormula>$H$2</calculatedColumnFormula>
    </tableColumn>
    <tableColumn id="26" name="Length17" dataDxfId="90">
      <calculatedColumnFormula>1.9</calculatedColumnFormula>
    </tableColumn>
    <tableColumn id="30" name="Window area21" dataDxfId="89">
      <calculatedColumnFormula>IF(#REF!="None",0,IF(#REF!="Full",AV5*AU5,IF(#REF!="Percent",AU5*AV5*#REF!,IF(#REF!="Length",#REF!*#REF!,IF(#REF!="Number",#REF!*#REF!,"0")))))</calculatedColumnFormula>
    </tableColumn>
    <tableColumn id="31" name="South5" dataDxfId="88"/>
    <tableColumn id="32" name="East23"/>
    <tableColumn id="33" name="North5"/>
    <tableColumn id="34" name="West25"/>
    <tableColumn id="35" name="Height26" dataDxfId="87">
      <calculatedColumnFormula>$H$2</calculatedColumnFormula>
    </tableColumn>
    <tableColumn id="36" name="Length27"/>
    <tableColumn id="40" name="Window area31" dataDxfId="86">
      <calculatedColumnFormula>IF(#REF!="None",0,IF(#REF!="Full",BC5*BB5,IF(#REF!="Percent",BB5*BC5*#REF!,IF(#REF!="Length",#REF!*#REF!,IF(#REF!="Number",#REF!*#REF!,"0")))))</calculatedColumnFormula>
    </tableColumn>
    <tableColumn id="41" name="South6" dataDxfId="85"/>
    <tableColumn id="42" name="East2"/>
    <tableColumn id="43" name="North3"/>
    <tableColumn id="44" name="West2"/>
    <tableColumn id="45" name="Height2" dataDxfId="84">
      <calculatedColumnFormula>$H$2</calculatedColumnFormula>
    </tableColumn>
    <tableColumn id="46" name="Length2"/>
    <tableColumn id="50" name="Window area41" dataDxfId="83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4" name="Tabelle41117236115045" displayName="Tabelle41117236115045" ref="B22:H28" totalsRowShown="0" tableBorderDxfId="82">
  <autoFilter ref="B22:H28"/>
  <tableColumns count="7">
    <tableColumn id="8" name="Zone Number" dataDxfId="81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45" name="Tabelle51218247125146" displayName="Tabelle51218247125146" ref="P4:AA18" totalsRowShown="0" headerRowDxfId="80" dataDxfId="79" tableBorderDxfId="78">
  <autoFilter ref="P4:AA18"/>
  <tableColumns count="12">
    <tableColumn id="1" name="Height" dataDxfId="77">
      <calculatedColumnFormula>$H$2</calculatedColumnFormula>
    </tableColumn>
    <tableColumn id="20" name="Length" dataDxfId="76">
      <calculatedColumnFormula>3.3-1.85</calculatedColumnFormula>
    </tableColumn>
    <tableColumn id="2" name="Total [m^2]" dataDxfId="75">
      <calculatedColumnFormula>Tabelle51218247125146[[#This Row],[Height]]*Tabelle51218247125146[[#This Row],[Length]]</calculatedColumnFormula>
    </tableColumn>
    <tableColumn id="16" name="Height2" dataDxfId="74">
      <calculatedColumnFormula>$H$2</calculatedColumnFormula>
    </tableColumn>
    <tableColumn id="21" name="Length3" dataDxfId="73">
      <calculatedColumnFormula>2.6+0.16+1.5+4.46+2.1+0.84+3.81</calculatedColumnFormula>
    </tableColumn>
    <tableColumn id="17" name="Total [m^2]2" dataDxfId="72">
      <calculatedColumnFormula>Tabelle51218247125146[[#This Row],[Height2]]*Tabelle51218247125146[[#This Row],[Length3]]</calculatedColumnFormula>
    </tableColumn>
    <tableColumn id="18" name="Height22" dataDxfId="71">
      <calculatedColumnFormula>$H$2</calculatedColumnFormula>
    </tableColumn>
    <tableColumn id="3" name="Length33" dataDxfId="70"/>
    <tableColumn id="22" name="Length332" dataDxfId="69">
      <calculatedColumnFormula>(1-$BR$19)*Tabelle291521497383108[[#This Row],[North2]]+(1-$BS$19)*Tabelle291521497383108[[#This Row],[East2]]+(1-$BT$19)*Tabelle291521497383108[[#This Row],[South2]]+(1-$BU$19)*Tabelle291521497383108[[#This Row],[West2]]</calculatedColumnFormula>
    </tableColumn>
    <tableColumn id="19" name="Total [m^2]3" dataDxfId="68">
      <calculatedColumnFormula>Tabelle51218247125146[[#This Row],[Height22]]*Tabelle51218247125146[[#This Row],[Length332]]</calculatedColumnFormula>
    </tableColumn>
    <tableColumn id="10" name="Yes/No" dataDxfId="67">
      <calculatedColumnFormula>Tabelle51218247125146[[#This Row],[Total '[m^2']2]]</calculatedColumnFormula>
    </tableColumn>
    <tableColumn id="13" name="Yes/No2" dataDxfId="66">
      <calculatedColumnFormula>Tabelle51218247125146[[#This Row],[Total '[m^2']2]]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elle41117236" displayName="Tabelle41117236" ref="B22:H28" totalsRowShown="0" tableBorderDxfId="729">
  <autoFilter ref="B22:H28"/>
  <tableColumns count="7">
    <tableColumn id="8" name="Zone Number" dataDxfId="728"/>
    <tableColumn id="1" name="Thermische Zone"/>
    <tableColumn id="2" name="Spalte1"/>
    <tableColumn id="3" name="Spalte3"/>
    <tableColumn id="4" name="Spalte4"/>
    <tableColumn id="5" name="Spalte5"/>
    <tableColumn id="6" name="Grundfläch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70.xml"/><Relationship Id="rId5" Type="http://schemas.openxmlformats.org/officeDocument/2006/relationships/table" Target="../tables/table69.xml"/><Relationship Id="rId4" Type="http://schemas.openxmlformats.org/officeDocument/2006/relationships/table" Target="../tables/table6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5.xml"/><Relationship Id="rId5" Type="http://schemas.openxmlformats.org/officeDocument/2006/relationships/table" Target="../tables/table74.xml"/><Relationship Id="rId4" Type="http://schemas.openxmlformats.org/officeDocument/2006/relationships/table" Target="../tables/table7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80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5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5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CE37"/>
  <sheetViews>
    <sheetView zoomScale="70" zoomScaleNormal="70" workbookViewId="0">
      <pane xSplit="2" ySplit="4" topLeftCell="BI5" activePane="bottomRight" state="frozen"/>
      <selection pane="topRight" activeCell="C1" sqref="C1"/>
      <selection pane="bottomLeft" activeCell="A5" sqref="A5"/>
      <selection pane="bottomRight" activeCell="BS43" sqref="BS43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3" width="26.28515625" customWidth="1"/>
    <col min="24" max="24" width="15.140625" bestFit="1" customWidth="1"/>
    <col min="25" max="25" width="16.7109375" bestFit="1" customWidth="1"/>
    <col min="26" max="26" width="11.42578125" customWidth="1"/>
    <col min="27" max="27" width="21.42578125" bestFit="1" customWidth="1"/>
    <col min="28" max="33" width="11.42578125" customWidth="1"/>
    <col min="34" max="34" width="19.28515625" bestFit="1" customWidth="1"/>
    <col min="35" max="40" width="11.42578125" customWidth="1"/>
    <col min="41" max="41" width="17" customWidth="1"/>
    <col min="42" max="47" width="11.42578125" customWidth="1"/>
    <col min="48" max="48" width="17.28515625" customWidth="1"/>
    <col min="49" max="52" width="11.42578125" customWidth="1"/>
    <col min="53" max="53" width="11.85546875" customWidth="1"/>
    <col min="54" max="54" width="11.42578125" customWidth="1"/>
    <col min="55" max="55" width="17.28515625" customWidth="1"/>
    <col min="56" max="59" width="11.42578125" customWidth="1"/>
    <col min="60" max="60" width="11.85546875" customWidth="1"/>
    <col min="61" max="62" width="11.42578125" customWidth="1"/>
    <col min="63" max="64" width="17.28515625" customWidth="1"/>
    <col min="65" max="71" width="11.42578125" customWidth="1"/>
    <col min="72" max="73" width="12.85546875" customWidth="1"/>
    <col min="74" max="74" width="18.140625" customWidth="1"/>
    <col min="75" max="75" width="20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92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 t="s">
        <v>71</v>
      </c>
      <c r="Y3" s="22" t="s">
        <v>2</v>
      </c>
      <c r="Z3" s="18"/>
      <c r="AA3" s="88" t="s">
        <v>65</v>
      </c>
      <c r="AB3" s="89"/>
      <c r="AC3" s="89"/>
      <c r="AD3" s="89"/>
      <c r="AE3" s="89"/>
      <c r="AF3" s="39"/>
      <c r="AG3" s="39"/>
      <c r="AH3" s="20"/>
      <c r="AI3" s="88" t="s">
        <v>66</v>
      </c>
      <c r="AJ3" s="89"/>
      <c r="AK3" s="89"/>
      <c r="AL3" s="89"/>
      <c r="AM3" s="39"/>
      <c r="AN3" s="39"/>
      <c r="AO3" s="20"/>
      <c r="AP3" s="90" t="s">
        <v>67</v>
      </c>
      <c r="AQ3" s="90"/>
      <c r="AR3" s="90"/>
      <c r="AS3" s="90"/>
      <c r="AT3" s="38"/>
      <c r="AU3" s="38"/>
      <c r="AV3" s="38"/>
      <c r="AW3" s="90" t="s">
        <v>68</v>
      </c>
      <c r="AX3" s="90"/>
      <c r="AY3" s="90"/>
      <c r="AZ3" s="90"/>
      <c r="BA3" s="38"/>
      <c r="BB3" s="38"/>
      <c r="BC3" s="38"/>
      <c r="BD3" s="85" t="s">
        <v>69</v>
      </c>
      <c r="BE3" s="85"/>
      <c r="BF3" s="85"/>
      <c r="BG3" s="85"/>
      <c r="BH3" s="38"/>
      <c r="BI3" s="38"/>
      <c r="BJ3" s="38"/>
      <c r="BK3" s="38"/>
      <c r="BL3" s="38"/>
      <c r="BM3" s="21" t="s">
        <v>28</v>
      </c>
      <c r="BN3" s="39"/>
      <c r="BO3" s="39"/>
      <c r="BP3" s="39"/>
      <c r="BQ3" s="22" t="s">
        <v>29</v>
      </c>
      <c r="BR3" s="39"/>
      <c r="BS3" s="39"/>
      <c r="BT3" s="22"/>
      <c r="BU3" s="22"/>
      <c r="BV3" s="22"/>
      <c r="BW3" s="23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43" t="s">
        <v>81</v>
      </c>
      <c r="X4" s="41" t="s">
        <v>72</v>
      </c>
      <c r="Y4" s="40" t="s">
        <v>73</v>
      </c>
      <c r="Z4" s="5"/>
      <c r="AA4" s="2" t="s">
        <v>23</v>
      </c>
      <c r="AB4" s="2" t="s">
        <v>22</v>
      </c>
      <c r="AC4" s="2" t="s">
        <v>21</v>
      </c>
      <c r="AD4" s="2" t="s">
        <v>24</v>
      </c>
      <c r="AE4" s="40" t="s">
        <v>27</v>
      </c>
      <c r="AF4" s="2" t="s">
        <v>26</v>
      </c>
      <c r="AG4" s="44" t="s">
        <v>30</v>
      </c>
      <c r="AH4" s="6" t="s">
        <v>87</v>
      </c>
      <c r="AI4" s="2" t="s">
        <v>33</v>
      </c>
      <c r="AJ4" s="2" t="s">
        <v>32</v>
      </c>
      <c r="AK4" s="2" t="s">
        <v>35</v>
      </c>
      <c r="AL4" s="40" t="s">
        <v>36</v>
      </c>
      <c r="AM4" s="2" t="s">
        <v>37</v>
      </c>
      <c r="AN4" s="44" t="s">
        <v>38</v>
      </c>
      <c r="AO4" s="11" t="s">
        <v>34</v>
      </c>
      <c r="AP4" s="12" t="s">
        <v>39</v>
      </c>
      <c r="AQ4" s="12" t="s">
        <v>64</v>
      </c>
      <c r="AR4" s="12" t="s">
        <v>40</v>
      </c>
      <c r="AS4" s="43" t="s">
        <v>41</v>
      </c>
      <c r="AT4" s="12" t="s">
        <v>42</v>
      </c>
      <c r="AU4" s="45" t="s">
        <v>43</v>
      </c>
      <c r="AV4" s="11" t="s">
        <v>88</v>
      </c>
      <c r="AW4" s="12" t="s">
        <v>44</v>
      </c>
      <c r="AX4" s="12" t="s">
        <v>89</v>
      </c>
      <c r="AY4" s="12" t="s">
        <v>45</v>
      </c>
      <c r="AZ4" s="43" t="s">
        <v>46</v>
      </c>
      <c r="BA4" s="12" t="s">
        <v>47</v>
      </c>
      <c r="BB4" s="45" t="s">
        <v>48</v>
      </c>
      <c r="BC4" s="11" t="s">
        <v>90</v>
      </c>
      <c r="BD4" s="12" t="s">
        <v>58</v>
      </c>
      <c r="BE4" s="12" t="s">
        <v>61</v>
      </c>
      <c r="BF4" s="12" t="s">
        <v>60</v>
      </c>
      <c r="BG4" s="43" t="s">
        <v>62</v>
      </c>
      <c r="BH4" s="12" t="s">
        <v>63</v>
      </c>
      <c r="BI4" s="43" t="s">
        <v>49</v>
      </c>
      <c r="BJ4" s="1"/>
      <c r="BK4" s="1"/>
      <c r="BL4" s="2" t="s">
        <v>21</v>
      </c>
      <c r="BM4" s="2" t="s">
        <v>22</v>
      </c>
      <c r="BN4" s="2" t="s">
        <v>23</v>
      </c>
      <c r="BO4" s="2" t="s">
        <v>24</v>
      </c>
      <c r="BP4" s="6" t="s">
        <v>32</v>
      </c>
      <c r="BQ4" s="2" t="s">
        <v>58</v>
      </c>
      <c r="BR4" s="2" t="s">
        <v>59</v>
      </c>
      <c r="BS4" s="7" t="s">
        <v>60</v>
      </c>
      <c r="BT4" s="2" t="s">
        <v>139</v>
      </c>
      <c r="BU4" s="2" t="s">
        <v>140</v>
      </c>
      <c r="BV4" s="6" t="s">
        <v>31</v>
      </c>
      <c r="BW4" s="2"/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35.700000000000003</v>
      </c>
      <c r="I5" s="2"/>
      <c r="J5" s="2"/>
      <c r="K5" s="2"/>
      <c r="L5" s="2"/>
      <c r="M5" s="2"/>
      <c r="N5" s="5"/>
      <c r="O5" s="42">
        <f t="shared" ref="O5:O15" si="0">$H$2</f>
        <v>2.8</v>
      </c>
      <c r="P5" s="3">
        <f>1+8.2-1.05-4.25</f>
        <v>3.8999999999999986</v>
      </c>
      <c r="Q5" s="40">
        <f>Tabelle5121824[[#This Row],[Height]]*Tabelle5121824[[#This Row],[Length]]</f>
        <v>10.919999999999995</v>
      </c>
      <c r="R5" s="42">
        <f t="shared" ref="R5:R15" si="1">$H$2</f>
        <v>2.8</v>
      </c>
      <c r="S5" s="3">
        <f t="shared" ref="S5" si="2">(425+105)/100</f>
        <v>5.3</v>
      </c>
      <c r="T5" s="40">
        <f>Tabelle5121824[[#This Row],[Height2]]*Tabelle5121824[[#This Row],[Length3]]</f>
        <v>14.839999999999998</v>
      </c>
      <c r="U5" s="42">
        <f t="shared" ref="U5:U15" si="3">$H$2</f>
        <v>2.8</v>
      </c>
      <c r="V5" s="3">
        <v>0</v>
      </c>
      <c r="W5" s="40">
        <f>Tabelle5121824[[#This Row],[Height22]]*Tabelle5121824[[#This Row],[Length33]]</f>
        <v>0</v>
      </c>
      <c r="X5" s="42">
        <f>IF(Tabelle181420[[#This Row],[(f)loor/(c )eiling]]="c",Tabelle181420[[#This Row],[Total Area size '[m^2']]],0)</f>
        <v>35.700000000000003</v>
      </c>
      <c r="Y5" s="42">
        <f>IF(Tabelle181420[[#This Row],[(f)loor/(c )eiling]]="f",Tabelle181420[[#This Row],[Total Area size '[m^2']]],0)</f>
        <v>0</v>
      </c>
      <c r="Z5" s="5"/>
      <c r="AA5" s="2">
        <v>1</v>
      </c>
      <c r="AB5" s="2">
        <v>0</v>
      </c>
      <c r="AC5" s="2">
        <v>0</v>
      </c>
      <c r="AD5" s="2">
        <v>0</v>
      </c>
      <c r="AE5" s="42">
        <f t="shared" ref="AE5:AE18" si="4">$H$2</f>
        <v>2.8</v>
      </c>
      <c r="AF5" s="2">
        <v>8.86</v>
      </c>
      <c r="AG5" s="44">
        <f t="shared" ref="AG5" si="5">7.04</f>
        <v>7.04</v>
      </c>
      <c r="AH5" s="6">
        <v>0</v>
      </c>
      <c r="AI5" s="2">
        <v>0</v>
      </c>
      <c r="AJ5" s="2">
        <v>0</v>
      </c>
      <c r="AK5" s="2">
        <v>1</v>
      </c>
      <c r="AL5" s="42">
        <f t="shared" ref="AL5:AL14" si="6">$H$2</f>
        <v>2.8</v>
      </c>
      <c r="AM5" s="2">
        <f t="shared" ref="AM5" si="7">(805-637)/100</f>
        <v>1.68</v>
      </c>
      <c r="AN5" s="44">
        <v>0.63</v>
      </c>
      <c r="AO5" s="6">
        <v>0</v>
      </c>
      <c r="AP5" s="2">
        <v>1</v>
      </c>
      <c r="AQ5" s="2">
        <v>0</v>
      </c>
      <c r="AR5" s="2">
        <v>0</v>
      </c>
      <c r="AS5" s="42">
        <f t="shared" ref="AS5:AS18" si="8">$H$2</f>
        <v>2.8</v>
      </c>
      <c r="AT5" s="2">
        <f t="shared" ref="AT5" si="9">(33+90+260+85+8)/100</f>
        <v>4.76</v>
      </c>
      <c r="AU5" s="44">
        <v>3.12</v>
      </c>
      <c r="AV5" s="6"/>
      <c r="AW5" s="2"/>
      <c r="AX5" s="2"/>
      <c r="AY5" s="2"/>
      <c r="AZ5" s="42">
        <f t="shared" ref="AZ5:AZ18" si="10">$H$2</f>
        <v>2.8</v>
      </c>
      <c r="BA5" s="2"/>
      <c r="BB5" s="44">
        <v>0</v>
      </c>
      <c r="BC5" s="6"/>
      <c r="BD5" s="2"/>
      <c r="BE5" s="2"/>
      <c r="BF5" s="2"/>
      <c r="BG5" s="42">
        <f t="shared" ref="BG5:BG18" si="11">$H$2</f>
        <v>2.8</v>
      </c>
      <c r="BH5" s="2"/>
      <c r="BI5" s="44">
        <v>0</v>
      </c>
      <c r="BJ5" s="1"/>
      <c r="BK5" s="1"/>
      <c r="BL5" s="2">
        <f>Tabelle3101622[[#This Row],[North]]*$AG5+AJ5*$AN5+AQ5*$AU5+AX5*$BB5+BE5*$BI5</f>
        <v>0</v>
      </c>
      <c r="BM5" s="2">
        <f t="shared" ref="BM5:BM18" si="12">AB5*$AG5+AI5*$AN5+AP5*$AU5+AW5*$BB5+BD5*$BI5</f>
        <v>3.12</v>
      </c>
      <c r="BN5" s="2">
        <f t="shared" ref="BN5:BN18" si="13">AA5*$AG5+AH5*$AN5+AO5*$AU5+AV5*$BB5+BC5*$BI5</f>
        <v>7.04</v>
      </c>
      <c r="BO5" s="2">
        <f t="shared" ref="BO5:BO18" si="14">AD5*$AG5+AK5*$AN5+AR5*$AU5+AY5*$BB5+BF5*$BI5</f>
        <v>0.63</v>
      </c>
      <c r="BP5" s="6">
        <f>Tabelle3101622[[#This Row],[North]]*$AE5*$AF5+AJ5*$AL5*$AM5+AQ5*$AS5*$AT5+AX5*$AZ5*$BA5+BE5*$BG5*$BH5-BL5</f>
        <v>0</v>
      </c>
      <c r="BQ5" s="2">
        <f t="shared" ref="BQ5:BQ18" si="15">AB5*$AE5*$AF5+AI5*$AL5*$AM5+AP5*$AS5*$AT5+AW5*$AZ5*$BA5+BD5*$BG5*$BH5-BM5</f>
        <v>10.207999999999998</v>
      </c>
      <c r="BR5" s="2">
        <f t="shared" ref="BR5:BR18" si="16">AA5*$AE5*$AF5+AH5*$AL5*$AM5+AO5*$AS5*$AT5+AV5*$AZ5*$BA5+BC5*$BG5*$BH5-BN5</f>
        <v>17.767999999999997</v>
      </c>
      <c r="BS5" s="7">
        <f t="shared" ref="BS5:BS18" si="17">AD5*$AE5*$AF5+AK5*$AL5*$AM5+AR5*$AS5*$AT5+AY5*$AZ5*$BA5+BF5*$BG5*$BH5-BO5</f>
        <v>4.0739999999999998</v>
      </c>
      <c r="BT5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5" s="2"/>
      <c r="BV5" s="2">
        <f>IF(Tabelle181420[[#This Row],[(g)round/(r )oof]]="G",Tabelle181420[[#This Row],[Total Area size '[m^2']]],IF(Tabelle181420[[#This Row],[(g)round/(r )oof]]="B",Tabelle181420[[#This Row],[Total Area size '[m^2']]],0))</f>
        <v>35.700000000000003</v>
      </c>
      <c r="BW5" s="2"/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10.199999999999999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</v>
      </c>
      <c r="Q6" s="40">
        <f>Tabelle5121824[[#This Row],[Height]]*Tabelle5121824[[#This Row],[Length]]</f>
        <v>2.8</v>
      </c>
      <c r="R6" s="42">
        <f t="shared" si="1"/>
        <v>2.8</v>
      </c>
      <c r="S6" s="3">
        <f>3.2+(168+120-240-10)/100</f>
        <v>3.58</v>
      </c>
      <c r="T6" s="40">
        <f>Tabelle5121824[[#This Row],[Height2]]*Tabelle5121824[[#This Row],[Length3]]</f>
        <v>10.023999999999999</v>
      </c>
      <c r="U6" s="42">
        <f t="shared" si="3"/>
        <v>2.8</v>
      </c>
      <c r="V6" s="3">
        <v>0</v>
      </c>
      <c r="W6" s="40">
        <f>Tabelle5121824[[#This Row],[Height22]]*Tabelle5121824[[#This Row],[Length33]]</f>
        <v>0</v>
      </c>
      <c r="X6" s="42">
        <f>IF(Tabelle181420[[#This Row],[(f)loor/(c )eiling]]="c",Tabelle181420[[#This Row],[Total Area size '[m^2']]],0)</f>
        <v>10.199999999999999</v>
      </c>
      <c r="Y6" s="42">
        <f>IF(Tabelle181420[[#This Row],[(f)loor/(c )eiling]]="f",Tabelle181420[[#This Row],[Total Area size '[m^2']]],0)</f>
        <v>0</v>
      </c>
      <c r="Z6" s="5"/>
      <c r="AA6" s="2">
        <v>1</v>
      </c>
      <c r="AB6" s="2">
        <v>0</v>
      </c>
      <c r="AC6" s="2">
        <v>0</v>
      </c>
      <c r="AD6" s="2">
        <v>0</v>
      </c>
      <c r="AE6" s="42">
        <f t="shared" si="4"/>
        <v>2.8</v>
      </c>
      <c r="AF6" s="2">
        <v>3.36</v>
      </c>
      <c r="AG6" s="44">
        <v>0</v>
      </c>
      <c r="AH6" s="6">
        <v>0</v>
      </c>
      <c r="AI6" s="3">
        <v>0</v>
      </c>
      <c r="AJ6" s="2">
        <v>0</v>
      </c>
      <c r="AK6" s="2">
        <v>1</v>
      </c>
      <c r="AL6" s="42">
        <f t="shared" si="6"/>
        <v>2.8</v>
      </c>
      <c r="AM6" s="2">
        <f>3.22+0.32</f>
        <v>3.54</v>
      </c>
      <c r="AN6" s="44">
        <v>3.84</v>
      </c>
      <c r="AO6" s="6"/>
      <c r="AP6" s="2"/>
      <c r="AQ6" s="2"/>
      <c r="AR6" s="2"/>
      <c r="AS6" s="42">
        <f t="shared" si="8"/>
        <v>2.8</v>
      </c>
      <c r="AT6" s="2"/>
      <c r="AU6" s="44">
        <v>0</v>
      </c>
      <c r="AV6" s="6"/>
      <c r="AW6" s="2"/>
      <c r="AX6" s="2"/>
      <c r="AY6" s="2"/>
      <c r="AZ6" s="42">
        <f t="shared" si="10"/>
        <v>2.8</v>
      </c>
      <c r="BA6" s="2"/>
      <c r="BB6" s="44">
        <v>0</v>
      </c>
      <c r="BC6" s="6"/>
      <c r="BD6" s="2"/>
      <c r="BE6" s="2"/>
      <c r="BF6" s="2"/>
      <c r="BG6" s="42">
        <f t="shared" si="11"/>
        <v>2.8</v>
      </c>
      <c r="BH6" s="2"/>
      <c r="BI6" s="44">
        <v>0</v>
      </c>
      <c r="BJ6" s="1"/>
      <c r="BK6" s="1"/>
      <c r="BL6" s="2">
        <f>Tabelle3101622[[#This Row],[North]]*$AG6+AJ6*$AN6+AQ6*$AU6+AX6*$BB6+BE6*$BI6</f>
        <v>0</v>
      </c>
      <c r="BM6" s="2">
        <f t="shared" si="12"/>
        <v>0</v>
      </c>
      <c r="BN6" s="2">
        <f t="shared" si="13"/>
        <v>0</v>
      </c>
      <c r="BO6" s="2">
        <f t="shared" si="14"/>
        <v>3.84</v>
      </c>
      <c r="BP6" s="6">
        <f>Tabelle3101622[[#This Row],[North]]*$AE6*$AF6+AJ6*$AL6*$AM6+AQ6*$AS6*$AT6+AX6*$AZ6*$BA6+BE6*$BG6*$BH6-BL6</f>
        <v>0</v>
      </c>
      <c r="BQ6" s="2">
        <f t="shared" si="15"/>
        <v>0</v>
      </c>
      <c r="BR6" s="2">
        <f t="shared" si="16"/>
        <v>9.4079999999999995</v>
      </c>
      <c r="BS6" s="7">
        <f t="shared" si="17"/>
        <v>6.0719999999999992</v>
      </c>
      <c r="BT6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6" s="2"/>
      <c r="BV6" s="2">
        <f>IF(Tabelle181420[[#This Row],[(g)round/(r )oof]]="G",Tabelle181420[[#This Row],[Total Area size '[m^2']]],IF(Tabelle181420[[#This Row],[(g)round/(r )oof]]="B",Tabelle181420[[#This Row],[Total Area size '[m^2']]],0))</f>
        <v>10.199999999999999</v>
      </c>
      <c r="BW6" s="2"/>
    </row>
    <row r="7" spans="1:76" x14ac:dyDescent="0.25">
      <c r="A7" s="40">
        <v>4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17</v>
      </c>
      <c r="I7" s="2"/>
      <c r="J7" s="2"/>
      <c r="K7" s="2"/>
      <c r="L7" s="2"/>
      <c r="M7" s="2"/>
      <c r="N7" s="5"/>
      <c r="O7" s="42">
        <f t="shared" si="0"/>
        <v>2.8</v>
      </c>
      <c r="P7" s="3">
        <f>4.35+2.79</f>
        <v>7.14</v>
      </c>
      <c r="Q7" s="40">
        <f>Tabelle5121824[[#This Row],[Height]]*Tabelle5121824[[#This Row],[Length]]</f>
        <v>19.991999999999997</v>
      </c>
      <c r="R7" s="42">
        <f t="shared" si="1"/>
        <v>2.8</v>
      </c>
      <c r="S7" s="3">
        <f>5.3-4.19</f>
        <v>1.1099999999999994</v>
      </c>
      <c r="T7" s="40">
        <f>Tabelle5121824[[#This Row],[Height2]]*Tabelle5121824[[#This Row],[Length3]]</f>
        <v>3.1079999999999983</v>
      </c>
      <c r="U7" s="42">
        <f t="shared" si="3"/>
        <v>2.8</v>
      </c>
      <c r="V7" s="3">
        <v>0</v>
      </c>
      <c r="W7" s="40">
        <f>Tabelle5121824[[#This Row],[Height22]]*Tabelle5121824[[#This Row],[Length33]]</f>
        <v>0</v>
      </c>
      <c r="X7" s="42">
        <f>IF(Tabelle181420[[#This Row],[(f)loor/(c )eiling]]="c",Tabelle181420[[#This Row],[Total Area size '[m^2']]],0)</f>
        <v>0</v>
      </c>
      <c r="Y7" s="42">
        <f>IF(Tabelle181420[[#This Row],[(f)loor/(c )eiling]]="f",Tabelle181420[[#This Row],[Total Area size '[m^2']]],0)</f>
        <v>17</v>
      </c>
      <c r="Z7" s="5"/>
      <c r="AA7" s="2">
        <v>1</v>
      </c>
      <c r="AB7" s="2">
        <v>0</v>
      </c>
      <c r="AC7" s="2">
        <v>0</v>
      </c>
      <c r="AD7" s="2">
        <v>0</v>
      </c>
      <c r="AE7" s="42">
        <f t="shared" si="4"/>
        <v>2.8</v>
      </c>
      <c r="AF7" s="3">
        <f>0.33+2.67+1.2+0.05</f>
        <v>4.25</v>
      </c>
      <c r="AG7" s="44">
        <v>1.44</v>
      </c>
      <c r="AH7" s="6">
        <v>0</v>
      </c>
      <c r="AI7" s="2">
        <v>1</v>
      </c>
      <c r="AJ7" s="2">
        <v>0</v>
      </c>
      <c r="AK7" s="2">
        <v>0</v>
      </c>
      <c r="AL7" s="42">
        <f t="shared" si="6"/>
        <v>2.8</v>
      </c>
      <c r="AM7" s="2">
        <f>0.33+2.1+1.4+0.85+0.08</f>
        <v>4.76</v>
      </c>
      <c r="AN7" s="44">
        <v>1.68</v>
      </c>
      <c r="AO7" s="6"/>
      <c r="AP7" s="2"/>
      <c r="AQ7" s="2"/>
      <c r="AR7" s="2"/>
      <c r="AS7" s="42">
        <f t="shared" si="8"/>
        <v>2.8</v>
      </c>
      <c r="AT7" s="2"/>
      <c r="AU7" s="44">
        <v>0</v>
      </c>
      <c r="AV7" s="6"/>
      <c r="AW7" s="2"/>
      <c r="AX7" s="2"/>
      <c r="AY7" s="2"/>
      <c r="AZ7" s="42">
        <f t="shared" si="10"/>
        <v>2.8</v>
      </c>
      <c r="BA7" s="2"/>
      <c r="BB7" s="44">
        <v>0</v>
      </c>
      <c r="BC7" s="6"/>
      <c r="BD7" s="2"/>
      <c r="BE7" s="2"/>
      <c r="BF7" s="2"/>
      <c r="BG7" s="42">
        <f t="shared" si="11"/>
        <v>2.8</v>
      </c>
      <c r="BH7" s="2"/>
      <c r="BI7" s="44">
        <v>0</v>
      </c>
      <c r="BJ7" s="1"/>
      <c r="BK7" s="1"/>
      <c r="BL7" s="2">
        <f>Tabelle3101622[[#This Row],[North]]*$AG7+AJ7*$AN7+AQ7*$AU7+AX7*$BB7+BE7*$BI7</f>
        <v>0</v>
      </c>
      <c r="BM7" s="2">
        <f t="shared" si="12"/>
        <v>1.68</v>
      </c>
      <c r="BN7" s="2">
        <f t="shared" si="13"/>
        <v>1.44</v>
      </c>
      <c r="BO7" s="2">
        <f t="shared" si="14"/>
        <v>0</v>
      </c>
      <c r="BP7" s="6">
        <f>Tabelle3101622[[#This Row],[North]]*$AE7*$AF7+AJ7*$AL7*$AM7+AQ7*$AS7*$AT7+AX7*$AZ7*$BA7+BE7*$BG7*$BH7-BL7</f>
        <v>0</v>
      </c>
      <c r="BQ7" s="2">
        <f t="shared" si="15"/>
        <v>11.648</v>
      </c>
      <c r="BR7" s="2">
        <f t="shared" si="16"/>
        <v>10.459999999999999</v>
      </c>
      <c r="BS7" s="7">
        <f t="shared" si="17"/>
        <v>0</v>
      </c>
      <c r="BT7" s="2">
        <f>IF(Tabelle181420[[#This Row],[(g)round/(r )oof]]="R",Tabelle181420[[#This Row],[Total Area size '[m^2']]],IF(Tabelle181420[[#This Row],[(g)round/(r )oof]]="B",Tabelle181420[[#This Row],[Total Area size '[m^2']]],0))</f>
        <v>17</v>
      </c>
      <c r="BU7" s="2"/>
      <c r="BV7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7" s="2"/>
    </row>
    <row r="8" spans="1:76" x14ac:dyDescent="0.25">
      <c r="A8" s="40">
        <v>5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18.2</v>
      </c>
      <c r="I8" s="2"/>
      <c r="J8" s="2"/>
      <c r="K8" s="2"/>
      <c r="L8" s="2"/>
      <c r="M8" s="2"/>
      <c r="N8" s="5"/>
      <c r="O8" s="42">
        <f t="shared" si="0"/>
        <v>2.8</v>
      </c>
      <c r="P8" s="3">
        <f>4.35+5.71-2.88</f>
        <v>7.1799999999999988</v>
      </c>
      <c r="Q8" s="40">
        <f>Tabelle5121824[[#This Row],[Height]]*Tabelle5121824[[#This Row],[Length]]</f>
        <v>20.103999999999996</v>
      </c>
      <c r="R8" s="42">
        <f t="shared" si="1"/>
        <v>2.8</v>
      </c>
      <c r="S8" s="3">
        <v>4.1900000000000004</v>
      </c>
      <c r="T8" s="40">
        <f>Tabelle5121824[[#This Row],[Height2]]*Tabelle5121824[[#This Row],[Length3]]</f>
        <v>11.732000000000001</v>
      </c>
      <c r="U8" s="42">
        <f t="shared" si="3"/>
        <v>2.8</v>
      </c>
      <c r="V8" s="3">
        <v>0</v>
      </c>
      <c r="W8" s="40">
        <f>Tabelle5121824[[#This Row],[Height22]]*Tabelle5121824[[#This Row],[Length33]]</f>
        <v>0</v>
      </c>
      <c r="X8" s="42">
        <f>IF(Tabelle181420[[#This Row],[(f)loor/(c )eiling]]="c",Tabelle181420[[#This Row],[Total Area size '[m^2']]],0)</f>
        <v>0</v>
      </c>
      <c r="Y8" s="42">
        <f>IF(Tabelle181420[[#This Row],[(f)loor/(c )eiling]]="f",Tabelle181420[[#This Row],[Total Area size '[m^2']]],0)</f>
        <v>18.2</v>
      </c>
      <c r="Z8" s="5"/>
      <c r="AA8" s="2">
        <v>1</v>
      </c>
      <c r="AB8" s="2">
        <v>0</v>
      </c>
      <c r="AC8" s="2">
        <v>0</v>
      </c>
      <c r="AD8" s="2">
        <v>0</v>
      </c>
      <c r="AE8" s="42">
        <f t="shared" si="4"/>
        <v>2.8</v>
      </c>
      <c r="AF8" s="2">
        <f>1-0.05+2.4+1.26</f>
        <v>4.6099999999999994</v>
      </c>
      <c r="AG8" s="44">
        <v>2.88</v>
      </c>
      <c r="AH8" s="6">
        <v>0</v>
      </c>
      <c r="AI8" s="2">
        <v>0</v>
      </c>
      <c r="AJ8" s="2">
        <v>0</v>
      </c>
      <c r="AK8" s="2">
        <v>1</v>
      </c>
      <c r="AL8" s="42">
        <f t="shared" si="6"/>
        <v>2.8</v>
      </c>
      <c r="AM8" s="2">
        <f>8.05-0.33-1.73-2.55-2.06</f>
        <v>1.3800000000000003</v>
      </c>
      <c r="AN8" s="44">
        <v>0</v>
      </c>
      <c r="AO8" s="6"/>
      <c r="AP8" s="2"/>
      <c r="AQ8" s="2"/>
      <c r="AR8" s="2"/>
      <c r="AS8" s="42">
        <f t="shared" si="8"/>
        <v>2.8</v>
      </c>
      <c r="AT8" s="2"/>
      <c r="AU8" s="44">
        <v>0</v>
      </c>
      <c r="AV8" s="6"/>
      <c r="AW8" s="2"/>
      <c r="AX8" s="2"/>
      <c r="AY8" s="2"/>
      <c r="AZ8" s="42">
        <f t="shared" si="10"/>
        <v>2.8</v>
      </c>
      <c r="BA8" s="2"/>
      <c r="BB8" s="44">
        <v>0</v>
      </c>
      <c r="BC8" s="6"/>
      <c r="BD8" s="2"/>
      <c r="BE8" s="2"/>
      <c r="BF8" s="2"/>
      <c r="BG8" s="42">
        <f t="shared" si="11"/>
        <v>2.8</v>
      </c>
      <c r="BH8" s="2"/>
      <c r="BI8" s="44">
        <v>0</v>
      </c>
      <c r="BJ8" s="1"/>
      <c r="BK8" s="1"/>
      <c r="BL8" s="2">
        <f>Tabelle3101622[[#This Row],[North]]*$AG8+AJ8*$AN8+AQ8*$AU8+AX8*$BB8+BE8*$BI8</f>
        <v>0</v>
      </c>
      <c r="BM8" s="2">
        <f t="shared" si="12"/>
        <v>0</v>
      </c>
      <c r="BN8" s="2">
        <f t="shared" si="13"/>
        <v>2.88</v>
      </c>
      <c r="BO8" s="2">
        <f t="shared" si="14"/>
        <v>0</v>
      </c>
      <c r="BP8" s="6">
        <f>Tabelle3101622[[#This Row],[North]]*$AE8*$AF8+AJ8*$AL8*$AM8+AQ8*$AS8*$AT8+AX8*$AZ8*$BA8+BE8*$BG8*$BH8-BL8</f>
        <v>0</v>
      </c>
      <c r="BQ8" s="2">
        <f t="shared" si="15"/>
        <v>0</v>
      </c>
      <c r="BR8" s="2">
        <f t="shared" si="16"/>
        <v>10.027999999999999</v>
      </c>
      <c r="BS8" s="7">
        <f t="shared" si="17"/>
        <v>3.8640000000000008</v>
      </c>
      <c r="BT8" s="2">
        <f>IF(Tabelle181420[[#This Row],[(g)round/(r )oof]]="R",Tabelle181420[[#This Row],[Total Area size '[m^2']]],IF(Tabelle181420[[#This Row],[(g)round/(r )oof]]="B",Tabelle181420[[#This Row],[Total Area size '[m^2']]],0))</f>
        <v>18.2</v>
      </c>
      <c r="BU8" s="2"/>
      <c r="BV8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8" s="2"/>
    </row>
    <row r="9" spans="1:76" x14ac:dyDescent="0.25">
      <c r="A9" s="40">
        <v>6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13.6</v>
      </c>
      <c r="I9" s="2"/>
      <c r="J9" s="2"/>
      <c r="K9" s="2"/>
      <c r="L9" s="2"/>
      <c r="M9" s="2"/>
      <c r="N9" s="5"/>
      <c r="O9" s="42">
        <f t="shared" si="0"/>
        <v>2.8</v>
      </c>
      <c r="P9" s="3">
        <f>5.71-2.88</f>
        <v>2.83</v>
      </c>
      <c r="Q9" s="40">
        <f>Tabelle5121824[[#This Row],[Height]]*Tabelle5121824[[#This Row],[Length]]</f>
        <v>7.9239999999999995</v>
      </c>
      <c r="R9" s="42">
        <f t="shared" si="1"/>
        <v>2.8</v>
      </c>
      <c r="S9" s="3">
        <f>2.88</f>
        <v>2.88</v>
      </c>
      <c r="T9" s="40">
        <f>Tabelle5121824[[#This Row],[Height2]]*Tabelle5121824[[#This Row],[Length3]]</f>
        <v>8.0640000000000001</v>
      </c>
      <c r="U9" s="42">
        <f t="shared" si="3"/>
        <v>2.8</v>
      </c>
      <c r="V9" s="3">
        <v>0</v>
      </c>
      <c r="W9" s="40">
        <f>Tabelle5121824[[#This Row],[Height22]]*Tabelle5121824[[#This Row],[Length33]]</f>
        <v>0</v>
      </c>
      <c r="X9" s="42">
        <f>IF(Tabelle181420[[#This Row],[(f)loor/(c )eiling]]="c",Tabelle181420[[#This Row],[Total Area size '[m^2']]],0)</f>
        <v>0</v>
      </c>
      <c r="Y9" s="42">
        <f>IF(Tabelle181420[[#This Row],[(f)loor/(c )eiling]]="f",Tabelle181420[[#This Row],[Total Area size '[m^2']]],0)</f>
        <v>13.6</v>
      </c>
      <c r="Z9" s="5"/>
      <c r="AA9" s="2">
        <v>1</v>
      </c>
      <c r="AB9" s="2">
        <v>0</v>
      </c>
      <c r="AC9" s="2">
        <v>0</v>
      </c>
      <c r="AD9" s="2">
        <v>0</v>
      </c>
      <c r="AE9" s="42">
        <f t="shared" si="4"/>
        <v>2.8</v>
      </c>
      <c r="AF9" s="2">
        <f>3.2+0.33</f>
        <v>3.5300000000000002</v>
      </c>
      <c r="AG9" s="44">
        <v>0</v>
      </c>
      <c r="AH9" s="6">
        <v>0</v>
      </c>
      <c r="AI9" s="2">
        <v>0</v>
      </c>
      <c r="AJ9" s="2">
        <v>0</v>
      </c>
      <c r="AK9" s="2">
        <v>1</v>
      </c>
      <c r="AL9" s="42">
        <f t="shared" si="6"/>
        <v>2.8</v>
      </c>
      <c r="AM9" s="2">
        <f>0.33+1.73+2.25+2.06</f>
        <v>6.370000000000001</v>
      </c>
      <c r="AN9" s="44">
        <v>2.7</v>
      </c>
      <c r="AO9" s="6">
        <v>0</v>
      </c>
      <c r="AP9" s="2">
        <v>0</v>
      </c>
      <c r="AQ9" s="2">
        <v>1</v>
      </c>
      <c r="AR9" s="2">
        <v>0</v>
      </c>
      <c r="AS9" s="42">
        <f t="shared" si="8"/>
        <v>2.8</v>
      </c>
      <c r="AT9" s="2">
        <f>3.2+0.33-0.08</f>
        <v>3.45</v>
      </c>
      <c r="AU9" s="44">
        <v>0</v>
      </c>
      <c r="AV9" s="6"/>
      <c r="AW9" s="2"/>
      <c r="AX9" s="2"/>
      <c r="AY9" s="2"/>
      <c r="AZ9" s="42">
        <f t="shared" si="10"/>
        <v>2.8</v>
      </c>
      <c r="BA9" s="2"/>
      <c r="BB9" s="44">
        <v>0</v>
      </c>
      <c r="BC9" s="6"/>
      <c r="BD9" s="2"/>
      <c r="BE9" s="2"/>
      <c r="BF9" s="2"/>
      <c r="BG9" s="42">
        <f t="shared" si="11"/>
        <v>2.8</v>
      </c>
      <c r="BH9" s="2"/>
      <c r="BI9" s="44">
        <v>0</v>
      </c>
      <c r="BJ9" s="1"/>
      <c r="BK9" s="1"/>
      <c r="BL9" s="2">
        <f>Tabelle3101622[[#This Row],[North]]*$AG9+AJ9*$AN9+AQ9*$AU9+AX9*$BB9+BE9*$BI9</f>
        <v>0</v>
      </c>
      <c r="BM9" s="2">
        <f t="shared" si="12"/>
        <v>0</v>
      </c>
      <c r="BN9" s="2">
        <f t="shared" si="13"/>
        <v>0</v>
      </c>
      <c r="BO9" s="2">
        <f t="shared" si="14"/>
        <v>2.7</v>
      </c>
      <c r="BP9" s="6">
        <f>Tabelle3101622[[#This Row],[North]]*$AE9*$AF9+AJ9*$AL9*$AM9+AQ9*$AS9*$AT9+AX9*$AZ9*$BA9+BE9*$BG9*$BH9-BL9</f>
        <v>9.66</v>
      </c>
      <c r="BQ9" s="2">
        <f t="shared" si="15"/>
        <v>0</v>
      </c>
      <c r="BR9" s="2">
        <f t="shared" si="16"/>
        <v>9.8840000000000003</v>
      </c>
      <c r="BS9" s="7">
        <f t="shared" si="17"/>
        <v>15.136000000000003</v>
      </c>
      <c r="BT9" s="2">
        <f>IF(Tabelle181420[[#This Row],[(g)round/(r )oof]]="R",Tabelle181420[[#This Row],[Total Area size '[m^2']]],IF(Tabelle181420[[#This Row],[(g)round/(r )oof]]="B",Tabelle181420[[#This Row],[Total Area size '[m^2']]],0))</f>
        <v>13.6</v>
      </c>
      <c r="BU9" s="2"/>
      <c r="BV9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9" s="2"/>
    </row>
    <row r="10" spans="1:76" x14ac:dyDescent="0.25">
      <c r="A10" s="40">
        <v>7</v>
      </c>
      <c r="B10" s="2" t="s">
        <v>97</v>
      </c>
      <c r="C10" s="2" t="s">
        <v>101</v>
      </c>
      <c r="D10" s="2" t="s">
        <v>112</v>
      </c>
      <c r="E10" s="37" t="s">
        <v>106</v>
      </c>
      <c r="F10" s="2"/>
      <c r="G10" s="2" t="s">
        <v>104</v>
      </c>
      <c r="H10" s="40">
        <v>8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f>2.79</f>
        <v>2.79</v>
      </c>
      <c r="Q10" s="40">
        <f>Tabelle5121824[[#This Row],[Height]]*Tabelle5121824[[#This Row],[Length]]</f>
        <v>7.8119999999999994</v>
      </c>
      <c r="R10" s="42">
        <f t="shared" si="1"/>
        <v>2.8</v>
      </c>
      <c r="S10" s="3">
        <v>2.88</v>
      </c>
      <c r="T10" s="40">
        <f>Tabelle5121824[[#This Row],[Height2]]*Tabelle5121824[[#This Row],[Length3]]</f>
        <v>8.0640000000000001</v>
      </c>
      <c r="U10" s="42">
        <f t="shared" si="3"/>
        <v>2.8</v>
      </c>
      <c r="V10" s="3">
        <v>0</v>
      </c>
      <c r="W10" s="40">
        <f>Tabelle5121824[[#This Row],[Height22]]*Tabelle5121824[[#This Row],[Length33]]</f>
        <v>0</v>
      </c>
      <c r="X10" s="42">
        <f>IF(Tabelle181420[[#This Row],[(f)loor/(c )eiling]]="c",Tabelle181420[[#This Row],[Total Area size '[m^2']]],0)</f>
        <v>8</v>
      </c>
      <c r="Y10" s="42">
        <f>IF(Tabelle181420[[#This Row],[(f)loor/(c )eiling]]="f",Tabelle181420[[#This Row],[Total Area size '[m^2']]],0)</f>
        <v>0</v>
      </c>
      <c r="Z10" s="5"/>
      <c r="AA10" s="2">
        <v>0</v>
      </c>
      <c r="AB10" s="2">
        <v>0</v>
      </c>
      <c r="AC10" s="2">
        <v>1</v>
      </c>
      <c r="AD10" s="3">
        <v>0</v>
      </c>
      <c r="AE10" s="42">
        <f t="shared" si="4"/>
        <v>2.8</v>
      </c>
      <c r="AF10" s="2">
        <f>2.79+0.33</f>
        <v>3.12</v>
      </c>
      <c r="AG10" s="44">
        <v>0</v>
      </c>
      <c r="AH10" s="6">
        <v>0</v>
      </c>
      <c r="AI10" s="2">
        <v>1</v>
      </c>
      <c r="AJ10" s="2">
        <v>0</v>
      </c>
      <c r="AK10" s="2">
        <v>0</v>
      </c>
      <c r="AL10" s="42">
        <f t="shared" si="6"/>
        <v>2.8</v>
      </c>
      <c r="AM10" s="2">
        <f>2.88+0.33</f>
        <v>3.21</v>
      </c>
      <c r="AN10" s="44">
        <v>1.68</v>
      </c>
      <c r="AO10" s="6"/>
      <c r="AP10" s="2"/>
      <c r="AQ10" s="2"/>
      <c r="AR10" s="2"/>
      <c r="AS10" s="42">
        <f t="shared" si="8"/>
        <v>2.8</v>
      </c>
      <c r="AT10" s="2"/>
      <c r="AU10" s="44">
        <v>0</v>
      </c>
      <c r="AV10" s="6"/>
      <c r="AW10" s="2"/>
      <c r="AX10" s="2"/>
      <c r="AY10" s="2"/>
      <c r="AZ10" s="42">
        <f t="shared" si="10"/>
        <v>2.8</v>
      </c>
      <c r="BA10" s="2"/>
      <c r="BB10" s="44">
        <v>0</v>
      </c>
      <c r="BC10" s="6"/>
      <c r="BD10" s="2"/>
      <c r="BE10" s="2"/>
      <c r="BF10" s="2"/>
      <c r="BG10" s="42">
        <f t="shared" si="11"/>
        <v>2.8</v>
      </c>
      <c r="BH10" s="2"/>
      <c r="BI10" s="44">
        <v>0</v>
      </c>
      <c r="BJ10" s="1"/>
      <c r="BK10" s="1"/>
      <c r="BL10" s="2">
        <f>Tabelle3101622[[#This Row],[North]]*$AG10+AJ10*$AN10+AQ10*$AU10+AX10*$BB10+BE10*$BI10</f>
        <v>0</v>
      </c>
      <c r="BM10" s="2">
        <f t="shared" si="12"/>
        <v>1.68</v>
      </c>
      <c r="BN10" s="2">
        <f t="shared" si="13"/>
        <v>0</v>
      </c>
      <c r="BO10" s="2">
        <f t="shared" si="14"/>
        <v>0</v>
      </c>
      <c r="BP10" s="6">
        <f>Tabelle3101622[[#This Row],[North]]*$AE10*$AF10+AJ10*$AL10*$AM10+AQ10*$AS10*$AT10+AX10*$AZ10*$BA10+BE10*$BG10*$BH10-BL10</f>
        <v>8.7359999999999989</v>
      </c>
      <c r="BQ10" s="2">
        <f t="shared" si="15"/>
        <v>7.3079999999999998</v>
      </c>
      <c r="BR10" s="2">
        <f t="shared" si="16"/>
        <v>0</v>
      </c>
      <c r="BS10" s="7">
        <f t="shared" si="17"/>
        <v>0</v>
      </c>
      <c r="BT10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0" s="2"/>
      <c r="BV10" s="2">
        <f>IF(Tabelle181420[[#This Row],[(g)round/(r )oof]]="G",Tabelle181420[[#This Row],[Total Area size '[m^2']]],IF(Tabelle181420[[#This Row],[(g)round/(r )oof]]="B",Tabelle181420[[#This Row],[Total Area size '[m^2']]],0))</f>
        <v>8</v>
      </c>
      <c r="BW10" s="2"/>
    </row>
    <row r="11" spans="1:76" x14ac:dyDescent="0.25">
      <c r="A11" s="40">
        <v>8</v>
      </c>
      <c r="B11" s="2" t="s">
        <v>98</v>
      </c>
      <c r="C11" s="2" t="s">
        <v>103</v>
      </c>
      <c r="D11" s="2" t="s">
        <v>113</v>
      </c>
      <c r="E11" s="37" t="s">
        <v>107</v>
      </c>
      <c r="F11" s="2"/>
      <c r="G11" s="2" t="s">
        <v>104</v>
      </c>
      <c r="H11" s="40">
        <v>6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v>2.79</v>
      </c>
      <c r="Q11" s="40">
        <f>Tabelle5121824[[#This Row],[Height]]*Tabelle5121824[[#This Row],[Length]]</f>
        <v>7.8119999999999994</v>
      </c>
      <c r="R11" s="42">
        <f t="shared" si="1"/>
        <v>2.8</v>
      </c>
      <c r="S11" s="3">
        <v>2.88</v>
      </c>
      <c r="T11" s="40">
        <f>Tabelle5121824[[#This Row],[Height2]]*Tabelle5121824[[#This Row],[Length3]]</f>
        <v>8.0640000000000001</v>
      </c>
      <c r="U11" s="42">
        <f t="shared" si="3"/>
        <v>2.8</v>
      </c>
      <c r="V11" s="3">
        <v>0</v>
      </c>
      <c r="W11" s="40">
        <f>Tabelle5121824[[#This Row],[Height22]]*Tabelle5121824[[#This Row],[Length33]]</f>
        <v>0</v>
      </c>
      <c r="X11" s="42">
        <f>IF(Tabelle181420[[#This Row],[(f)loor/(c )eiling]]="c",Tabelle181420[[#This Row],[Total Area size '[m^2']]],0)</f>
        <v>0</v>
      </c>
      <c r="Y11" s="42">
        <f>IF(Tabelle181420[[#This Row],[(f)loor/(c )eiling]]="f",Tabelle181420[[#This Row],[Total Area size '[m^2']]],0)</f>
        <v>6</v>
      </c>
      <c r="Z11" s="5"/>
      <c r="AA11" s="2">
        <v>0</v>
      </c>
      <c r="AB11" s="2">
        <v>1</v>
      </c>
      <c r="AC11" s="2">
        <v>0</v>
      </c>
      <c r="AD11" s="2">
        <v>0</v>
      </c>
      <c r="AE11" s="42">
        <f t="shared" si="4"/>
        <v>2.8</v>
      </c>
      <c r="AF11" s="2">
        <f>0.33+2.08+0.8+0.08</f>
        <v>3.29</v>
      </c>
      <c r="AG11" s="44">
        <v>0.96</v>
      </c>
      <c r="AH11" s="6">
        <v>0</v>
      </c>
      <c r="AI11" s="2">
        <v>0</v>
      </c>
      <c r="AJ11" s="3">
        <v>1</v>
      </c>
      <c r="AK11" s="2">
        <v>0</v>
      </c>
      <c r="AL11" s="42">
        <f t="shared" si="6"/>
        <v>2.8</v>
      </c>
      <c r="AM11" s="3">
        <f>2.79+0.33+0.08</f>
        <v>3.2</v>
      </c>
      <c r="AN11" s="44">
        <v>0</v>
      </c>
      <c r="AO11" s="6"/>
      <c r="AP11" s="2"/>
      <c r="AQ11" s="2"/>
      <c r="AR11" s="2"/>
      <c r="AS11" s="42">
        <f t="shared" si="8"/>
        <v>2.8</v>
      </c>
      <c r="AT11" s="2"/>
      <c r="AU11" s="44">
        <v>0</v>
      </c>
      <c r="AV11" s="6"/>
      <c r="AW11" s="2"/>
      <c r="AX11" s="2"/>
      <c r="AY11" s="2"/>
      <c r="AZ11" s="42">
        <f t="shared" si="10"/>
        <v>2.8</v>
      </c>
      <c r="BA11" s="2"/>
      <c r="BB11" s="44">
        <v>0</v>
      </c>
      <c r="BC11" s="6"/>
      <c r="BD11" s="2"/>
      <c r="BE11" s="2"/>
      <c r="BF11" s="2"/>
      <c r="BG11" s="42">
        <f t="shared" si="11"/>
        <v>2.8</v>
      </c>
      <c r="BH11" s="2"/>
      <c r="BI11" s="44">
        <v>0</v>
      </c>
      <c r="BJ11" s="1"/>
      <c r="BK11" s="1"/>
      <c r="BL11" s="2">
        <f>Tabelle3101622[[#This Row],[North]]*$AG11+AJ11*$AN11+AQ11*$AU11+AX11*$BB11+BE11*$BI11</f>
        <v>0</v>
      </c>
      <c r="BM11" s="2">
        <f t="shared" si="12"/>
        <v>0.96</v>
      </c>
      <c r="BN11" s="2">
        <f t="shared" si="13"/>
        <v>0</v>
      </c>
      <c r="BO11" s="2">
        <f t="shared" si="14"/>
        <v>0</v>
      </c>
      <c r="BP11" s="6">
        <f>Tabelle3101622[[#This Row],[North]]*$AE11*$AF11+AJ11*$AL11*$AM11+AQ11*$AS11*$AT11+AX11*$AZ11*$BA11+BE11*$BG11*$BH11-BL11</f>
        <v>8.9599999999999991</v>
      </c>
      <c r="BQ11" s="2">
        <f t="shared" si="15"/>
        <v>8.2519999999999989</v>
      </c>
      <c r="BR11" s="2">
        <f t="shared" si="16"/>
        <v>0</v>
      </c>
      <c r="BS11" s="7">
        <f t="shared" si="17"/>
        <v>0</v>
      </c>
      <c r="BT11" s="2">
        <f>IF(Tabelle181420[[#This Row],[(g)round/(r )oof]]="R",Tabelle181420[[#This Row],[Total Area size '[m^2']]],IF(Tabelle181420[[#This Row],[(g)round/(r )oof]]="B",Tabelle181420[[#This Row],[Total Area size '[m^2']]],0))</f>
        <v>6</v>
      </c>
      <c r="BU11" s="2"/>
      <c r="BV11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1" s="2"/>
    </row>
    <row r="12" spans="1:76" x14ac:dyDescent="0.25">
      <c r="A12" s="40">
        <v>9</v>
      </c>
      <c r="B12" s="2" t="s">
        <v>99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1.7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1.79+1.05</f>
        <v>2.84</v>
      </c>
      <c r="Q12" s="40">
        <f>Tabelle5121824[[#This Row],[Height]]*Tabelle5121824[[#This Row],[Length]]</f>
        <v>7.9519999999999991</v>
      </c>
      <c r="R12" s="42">
        <f t="shared" si="1"/>
        <v>2.8</v>
      </c>
      <c r="S12" s="3">
        <v>0</v>
      </c>
      <c r="T12" s="40">
        <f>Tabelle5121824[[#This Row],[Height2]]*Tabelle5121824[[#This Row],[Length3]]</f>
        <v>0</v>
      </c>
      <c r="U12" s="42">
        <f t="shared" si="3"/>
        <v>2.8</v>
      </c>
      <c r="V12" s="3">
        <v>0</v>
      </c>
      <c r="W12" s="40">
        <f>Tabelle5121824[[#This Row],[Height22]]*Tabelle5121824[[#This Row],[Length33]]</f>
        <v>0</v>
      </c>
      <c r="X12" s="42">
        <f>IF(Tabelle181420[[#This Row],[(f)loor/(c )eiling]]="c",Tabelle181420[[#This Row],[Total Area size '[m^2']]],0)</f>
        <v>1.7</v>
      </c>
      <c r="Y12" s="42">
        <f>IF(Tabelle181420[[#This Row],[(f)loor/(c )eiling]]="f",Tabelle181420[[#This Row],[Total Area size '[m^2']]],0)</f>
        <v>0</v>
      </c>
      <c r="Z12" s="5"/>
      <c r="AA12" s="2">
        <v>0</v>
      </c>
      <c r="AB12" s="2">
        <v>0</v>
      </c>
      <c r="AC12" s="2">
        <v>1</v>
      </c>
      <c r="AD12" s="2">
        <v>0</v>
      </c>
      <c r="AE12" s="42">
        <f t="shared" si="4"/>
        <v>2.8</v>
      </c>
      <c r="AF12" s="2">
        <v>0.9</v>
      </c>
      <c r="AG12" s="44">
        <v>0.24</v>
      </c>
      <c r="AH12" s="6"/>
      <c r="AI12" s="2"/>
      <c r="AJ12" s="2"/>
      <c r="AK12" s="2"/>
      <c r="AL12" s="42">
        <f t="shared" si="6"/>
        <v>2.8</v>
      </c>
      <c r="AM12" s="2"/>
      <c r="AN12" s="44">
        <v>0</v>
      </c>
      <c r="AO12" s="6"/>
      <c r="AP12" s="2"/>
      <c r="AQ12" s="2"/>
      <c r="AR12" s="2"/>
      <c r="AS12" s="42">
        <f t="shared" si="8"/>
        <v>2.8</v>
      </c>
      <c r="AT12" s="2"/>
      <c r="AU12" s="44">
        <v>0</v>
      </c>
      <c r="AV12" s="6"/>
      <c r="AW12" s="2"/>
      <c r="AX12" s="2"/>
      <c r="AY12" s="2"/>
      <c r="AZ12" s="42">
        <f t="shared" si="10"/>
        <v>2.8</v>
      </c>
      <c r="BA12" s="2"/>
      <c r="BB12" s="44">
        <v>0</v>
      </c>
      <c r="BC12" s="6"/>
      <c r="BD12" s="2"/>
      <c r="BE12" s="2"/>
      <c r="BF12" s="2"/>
      <c r="BG12" s="42">
        <f t="shared" si="11"/>
        <v>2.8</v>
      </c>
      <c r="BH12" s="2"/>
      <c r="BI12" s="44">
        <v>0</v>
      </c>
      <c r="BJ12" s="1"/>
      <c r="BK12" s="1"/>
      <c r="BL12" s="2">
        <f>Tabelle3101622[[#This Row],[North]]*$AG12+AJ12*$AN12+AQ12*$AU12+AX12*$BB12+BE12*$BI12</f>
        <v>0.24</v>
      </c>
      <c r="BM12" s="2">
        <f t="shared" si="12"/>
        <v>0</v>
      </c>
      <c r="BN12" s="2">
        <f t="shared" si="13"/>
        <v>0</v>
      </c>
      <c r="BO12" s="2">
        <f t="shared" si="14"/>
        <v>0</v>
      </c>
      <c r="BP12" s="6">
        <f>Tabelle3101622[[#This Row],[North]]*$AE12*$AF12+AJ12*$AL12*$AM12+AQ12*$AS12*$AT12+AX12*$AZ12*$BA12+BE12*$BG12*$BH12-BL12</f>
        <v>2.2800000000000002</v>
      </c>
      <c r="BQ12" s="2">
        <f t="shared" si="15"/>
        <v>0</v>
      </c>
      <c r="BR12" s="2">
        <f t="shared" si="16"/>
        <v>0</v>
      </c>
      <c r="BS12" s="7">
        <f t="shared" si="17"/>
        <v>0</v>
      </c>
      <c r="BT12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2" s="2"/>
      <c r="BV12" s="2">
        <f>IF(Tabelle181420[[#This Row],[(g)round/(r )oof]]="G",Tabelle181420[[#This Row],[Total Area size '[m^2']]],IF(Tabelle181420[[#This Row],[(g)round/(r )oof]]="B",Tabelle181420[[#This Row],[Total Area size '[m^2']]],0))</f>
        <v>1.7</v>
      </c>
      <c r="BW12" s="2"/>
    </row>
    <row r="13" spans="1:76" x14ac:dyDescent="0.25">
      <c r="A13" s="40">
        <v>10</v>
      </c>
      <c r="B13" s="2" t="s">
        <v>108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6.8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2.4+1.79+1.05</f>
        <v>5.2399999999999993</v>
      </c>
      <c r="Q13" s="40">
        <f>Tabelle5121824[[#This Row],[Height]]*Tabelle5121824[[#This Row],[Length]]</f>
        <v>14.671999999999997</v>
      </c>
      <c r="R13" s="42">
        <f t="shared" si="1"/>
        <v>2.8</v>
      </c>
      <c r="S13" s="3">
        <v>0</v>
      </c>
      <c r="T13" s="40">
        <f>Tabelle5121824[[#This Row],[Height2]]*Tabelle5121824[[#This Row],[Length3]]</f>
        <v>0</v>
      </c>
      <c r="U13" s="42">
        <f t="shared" si="3"/>
        <v>2.8</v>
      </c>
      <c r="V13" s="3">
        <v>0</v>
      </c>
      <c r="W13" s="40">
        <f>Tabelle5121824[[#This Row],[Height22]]*Tabelle5121824[[#This Row],[Length33]]</f>
        <v>0</v>
      </c>
      <c r="X13" s="42">
        <f>IF(Tabelle181420[[#This Row],[(f)loor/(c )eiling]]="c",Tabelle181420[[#This Row],[Total Area size '[m^2']]],0)</f>
        <v>6.8</v>
      </c>
      <c r="Y13" s="42">
        <f>IF(Tabelle181420[[#This Row],[(f)loor/(c )eiling]]="f",Tabelle181420[[#This Row],[Total Area size '[m^2']]],0)</f>
        <v>0</v>
      </c>
      <c r="Z13" s="5"/>
      <c r="AA13" s="2">
        <v>0</v>
      </c>
      <c r="AB13" s="2">
        <v>0</v>
      </c>
      <c r="AC13" s="2">
        <v>1</v>
      </c>
      <c r="AD13" s="2">
        <v>0</v>
      </c>
      <c r="AE13" s="42">
        <f t="shared" si="4"/>
        <v>2.8</v>
      </c>
      <c r="AF13" s="2">
        <f>0.3+0.9+3.09+0.08</f>
        <v>4.37</v>
      </c>
      <c r="AG13" s="44">
        <v>1</v>
      </c>
      <c r="AH13" s="6"/>
      <c r="AI13" s="2"/>
      <c r="AJ13" s="2"/>
      <c r="AK13" s="2"/>
      <c r="AL13" s="42">
        <f t="shared" si="6"/>
        <v>2.8</v>
      </c>
      <c r="AM13" s="2"/>
      <c r="AN13" s="44">
        <v>0</v>
      </c>
      <c r="AO13" s="6"/>
      <c r="AP13" s="2"/>
      <c r="AQ13" s="2"/>
      <c r="AR13" s="2"/>
      <c r="AS13" s="42">
        <f t="shared" si="8"/>
        <v>2.8</v>
      </c>
      <c r="AT13" s="2"/>
      <c r="AU13" s="44">
        <v>0</v>
      </c>
      <c r="AV13" s="6"/>
      <c r="AW13" s="2"/>
      <c r="AX13" s="2"/>
      <c r="AY13" s="2"/>
      <c r="AZ13" s="42">
        <f t="shared" si="10"/>
        <v>2.8</v>
      </c>
      <c r="BA13" s="2"/>
      <c r="BB13" s="44">
        <v>0</v>
      </c>
      <c r="BC13" s="6"/>
      <c r="BD13" s="2"/>
      <c r="BE13" s="2"/>
      <c r="BF13" s="2"/>
      <c r="BG13" s="42">
        <f t="shared" si="11"/>
        <v>2.8</v>
      </c>
      <c r="BH13" s="2"/>
      <c r="BI13" s="44">
        <v>0</v>
      </c>
      <c r="BJ13" s="1"/>
      <c r="BK13" s="1"/>
      <c r="BL13" s="2">
        <f>Tabelle3101622[[#This Row],[North]]*$AG13+AJ13*$AN13+AQ13*$AU13+AX13*$BB13+BE13*$BI13</f>
        <v>1</v>
      </c>
      <c r="BM13" s="2">
        <f t="shared" si="12"/>
        <v>0</v>
      </c>
      <c r="BN13" s="2">
        <f t="shared" si="13"/>
        <v>0</v>
      </c>
      <c r="BO13" s="2">
        <f t="shared" si="14"/>
        <v>0</v>
      </c>
      <c r="BP13" s="6">
        <f>Tabelle3101622[[#This Row],[North]]*$AE13*$AF13+AJ13*$AL13*$AM13+AQ13*$AS13*$AT13+AX13*$AZ13*$BA13+BE13*$BG13*$BH13-BL13</f>
        <v>11.235999999999999</v>
      </c>
      <c r="BQ13" s="2">
        <f t="shared" si="15"/>
        <v>0</v>
      </c>
      <c r="BR13" s="2">
        <f t="shared" si="16"/>
        <v>0</v>
      </c>
      <c r="BS13" s="7">
        <f t="shared" si="17"/>
        <v>0</v>
      </c>
      <c r="BT13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3" s="2"/>
      <c r="BV13" s="2">
        <f>IF(Tabelle181420[[#This Row],[(g)round/(r )oof]]="G",Tabelle181420[[#This Row],[Total Area size '[m^2']]],IF(Tabelle181420[[#This Row],[(g)round/(r )oof]]="B",Tabelle181420[[#This Row],[Total Area size '[m^2']]],0))</f>
        <v>6.8</v>
      </c>
      <c r="BW13" s="2"/>
    </row>
    <row r="14" spans="1:76" x14ac:dyDescent="0.25">
      <c r="A14" s="40">
        <v>11</v>
      </c>
      <c r="B14" s="2" t="s">
        <v>100</v>
      </c>
      <c r="C14" s="2" t="s">
        <v>10</v>
      </c>
      <c r="D14" s="2" t="s">
        <v>112</v>
      </c>
      <c r="E14" s="37" t="s">
        <v>106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v>3.2</v>
      </c>
      <c r="Q14" s="40">
        <f>Tabelle5121824[[#This Row],[Height]]*Tabelle5121824[[#This Row],[Length]]</f>
        <v>8.9599999999999991</v>
      </c>
      <c r="R14" s="42">
        <f t="shared" si="1"/>
        <v>2.8</v>
      </c>
      <c r="S14" s="33">
        <v>0</v>
      </c>
      <c r="T14" s="40">
        <f>Tabelle5121824[[#This Row],[Height2]]*Tabelle5121824[[#This Row],[Length3]]</f>
        <v>0</v>
      </c>
      <c r="U14" s="42">
        <f t="shared" si="3"/>
        <v>2.8</v>
      </c>
      <c r="V14" s="3">
        <v>0</v>
      </c>
      <c r="W14" s="40">
        <f>Tabelle5121824[[#This Row],[Height22]]*Tabelle5121824[[#This Row],[Length33]]</f>
        <v>0</v>
      </c>
      <c r="X14" s="42">
        <f>IF(Tabelle181420[[#This Row],[(f)loor/(c )eiling]]="c",Tabelle181420[[#This Row],[Total Area size '[m^2']]],0)</f>
        <v>7.7</v>
      </c>
      <c r="Y14" s="42">
        <f>IF(Tabelle181420[[#This Row],[(f)loor/(c )eiling]]="f",Tabelle181420[[#This Row],[Total Area size '[m^2']]],0)</f>
        <v>0</v>
      </c>
      <c r="Z14" s="5"/>
      <c r="AA14" s="2">
        <v>0</v>
      </c>
      <c r="AB14" s="2">
        <v>0</v>
      </c>
      <c r="AC14" s="2">
        <v>1</v>
      </c>
      <c r="AD14" s="2">
        <v>0</v>
      </c>
      <c r="AE14" s="42">
        <f t="shared" si="4"/>
        <v>2.8</v>
      </c>
      <c r="AF14" s="2">
        <f>3.2+0.33+0.08</f>
        <v>3.6100000000000003</v>
      </c>
      <c r="AG14" s="44">
        <v>0</v>
      </c>
      <c r="AH14" s="6">
        <v>0</v>
      </c>
      <c r="AI14" s="2">
        <v>0</v>
      </c>
      <c r="AJ14" s="2">
        <v>0</v>
      </c>
      <c r="AK14" s="2">
        <v>1</v>
      </c>
      <c r="AL14" s="42">
        <f t="shared" si="6"/>
        <v>2.8</v>
      </c>
      <c r="AM14" s="2">
        <f>0.33+2.4+0.05</f>
        <v>2.78</v>
      </c>
      <c r="AN14" s="44">
        <v>0</v>
      </c>
      <c r="AO14" s="6"/>
      <c r="AP14" s="2"/>
      <c r="AQ14" s="2"/>
      <c r="AR14" s="2"/>
      <c r="AS14" s="42">
        <f t="shared" si="8"/>
        <v>2.8</v>
      </c>
      <c r="AT14" s="2"/>
      <c r="AU14" s="44">
        <v>0</v>
      </c>
      <c r="AV14" s="6"/>
      <c r="AW14" s="2"/>
      <c r="AX14" s="2"/>
      <c r="AY14" s="2"/>
      <c r="AZ14" s="42">
        <f t="shared" si="10"/>
        <v>2.8</v>
      </c>
      <c r="BA14" s="2"/>
      <c r="BB14" s="44">
        <v>0</v>
      </c>
      <c r="BC14" s="6"/>
      <c r="BD14" s="2"/>
      <c r="BE14" s="2"/>
      <c r="BF14" s="2"/>
      <c r="BG14" s="42">
        <f t="shared" si="11"/>
        <v>2.8</v>
      </c>
      <c r="BH14" s="2"/>
      <c r="BI14" s="44">
        <v>0</v>
      </c>
      <c r="BJ14" s="1"/>
      <c r="BK14" s="1"/>
      <c r="BL14" s="2">
        <f>Tabelle3101622[[#This Row],[North]]*$AG14+AJ14*$AN14+AQ14*$AU14+AX14*$BB14+BE14*$BI14</f>
        <v>0</v>
      </c>
      <c r="BM14" s="2">
        <f t="shared" si="12"/>
        <v>0</v>
      </c>
      <c r="BN14" s="2">
        <f t="shared" si="13"/>
        <v>0</v>
      </c>
      <c r="BO14" s="2">
        <f t="shared" si="14"/>
        <v>0</v>
      </c>
      <c r="BP14" s="6">
        <f>Tabelle3101622[[#This Row],[North]]*$AE14*$AF14+AJ14*$AL14*$AM14+AQ14*$AS14*$AT14+AX14*$AZ14*$BA14+BE14*$BG14*$BH14-BL14</f>
        <v>10.108000000000001</v>
      </c>
      <c r="BQ14" s="2">
        <f t="shared" si="15"/>
        <v>0</v>
      </c>
      <c r="BR14" s="2">
        <f t="shared" si="16"/>
        <v>0</v>
      </c>
      <c r="BS14" s="7">
        <f t="shared" si="17"/>
        <v>7.7839999999999989</v>
      </c>
      <c r="BT14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4" s="2"/>
      <c r="BV14" s="2">
        <f>IF(Tabelle181420[[#This Row],[(g)round/(r )oof]]="G",Tabelle181420[[#This Row],[Total Area size '[m^2']]],IF(Tabelle181420[[#This Row],[(g)round/(r )oof]]="B",Tabelle181420[[#This Row],[Total Area size '[m^2']]],0))</f>
        <v>7.7</v>
      </c>
      <c r="BW14" s="2"/>
    </row>
    <row r="15" spans="1:76" x14ac:dyDescent="0.25">
      <c r="A15" s="40">
        <v>12</v>
      </c>
      <c r="B15" s="2" t="s">
        <v>109</v>
      </c>
      <c r="C15" s="2" t="s">
        <v>10</v>
      </c>
      <c r="D15" s="2" t="s">
        <v>113</v>
      </c>
      <c r="E15" s="37" t="s">
        <v>107</v>
      </c>
      <c r="F15" s="2"/>
      <c r="G15" s="2" t="s">
        <v>105</v>
      </c>
      <c r="H15" s="40">
        <v>15.1</v>
      </c>
      <c r="I15" s="2"/>
      <c r="J15" s="2"/>
      <c r="K15" s="2"/>
      <c r="L15" s="2"/>
      <c r="M15" s="2"/>
      <c r="N15" s="5"/>
      <c r="O15" s="42">
        <f t="shared" si="0"/>
        <v>2.8</v>
      </c>
      <c r="P15" s="3">
        <v>0</v>
      </c>
      <c r="Q15" s="40">
        <f>Tabelle5121824[[#This Row],[Height]]*Tabelle5121824[[#This Row],[Length]]</f>
        <v>0</v>
      </c>
      <c r="R15" s="42">
        <f t="shared" si="1"/>
        <v>2.8</v>
      </c>
      <c r="S15" s="3">
        <v>0</v>
      </c>
      <c r="T15" s="40">
        <f>Tabelle5121824[[#This Row],[Height2]]*Tabelle5121824[[#This Row],[Length3]]</f>
        <v>0</v>
      </c>
      <c r="U15" s="42">
        <f t="shared" si="3"/>
        <v>2.8</v>
      </c>
      <c r="V15" s="3">
        <v>0</v>
      </c>
      <c r="W15" s="40">
        <f>Tabelle5121824[[#This Row],[Height22]]*Tabelle5121824[[#This Row],[Length33]]</f>
        <v>0</v>
      </c>
      <c r="X15" s="42">
        <f>IF(Tabelle181420[[#This Row],[(f)loor/(c )eiling]]="c",Tabelle181420[[#This Row],[Total Area size '[m^2']]],0)</f>
        <v>0</v>
      </c>
      <c r="Y15" s="42">
        <f>IF(Tabelle181420[[#This Row],[(f)loor/(c )eiling]]="f",Tabelle181420[[#This Row],[Total Area size '[m^2']]],0)</f>
        <v>15.1</v>
      </c>
      <c r="Z15" s="5"/>
      <c r="AA15" s="2">
        <v>0</v>
      </c>
      <c r="AB15" s="2">
        <v>0</v>
      </c>
      <c r="AC15" s="2">
        <v>1</v>
      </c>
      <c r="AD15" s="2">
        <v>0</v>
      </c>
      <c r="AE15" s="42">
        <f t="shared" si="4"/>
        <v>2.8</v>
      </c>
      <c r="AF15" s="2">
        <f>(530+16)/100</f>
        <v>5.46</v>
      </c>
      <c r="AG15" s="44"/>
      <c r="AH15" s="6"/>
      <c r="AI15" s="2"/>
      <c r="AJ15" s="2"/>
      <c r="AK15" s="2"/>
      <c r="AL15" s="42"/>
      <c r="AM15" s="2"/>
      <c r="AN15" s="44"/>
      <c r="AO15" s="6"/>
      <c r="AP15" s="2"/>
      <c r="AQ15" s="2"/>
      <c r="AR15" s="2"/>
      <c r="AS15" s="42">
        <f t="shared" si="8"/>
        <v>2.8</v>
      </c>
      <c r="AT15" s="2"/>
      <c r="AU15" s="44">
        <v>0</v>
      </c>
      <c r="AV15" s="6"/>
      <c r="AW15" s="2"/>
      <c r="AX15" s="2"/>
      <c r="AY15" s="2"/>
      <c r="AZ15" s="42">
        <f t="shared" si="10"/>
        <v>2.8</v>
      </c>
      <c r="BA15" s="2"/>
      <c r="BB15" s="44">
        <v>0</v>
      </c>
      <c r="BC15" s="6"/>
      <c r="BD15" s="2"/>
      <c r="BE15" s="2"/>
      <c r="BF15" s="2"/>
      <c r="BG15" s="42">
        <f t="shared" si="11"/>
        <v>2.8</v>
      </c>
      <c r="BH15" s="2"/>
      <c r="BI15" s="44">
        <v>0</v>
      </c>
      <c r="BJ15" s="1"/>
      <c r="BK15" s="1"/>
      <c r="BL15" s="2">
        <f>Tabelle3101622[[#This Row],[North]]*$AG15+AJ15*$AN15+AQ15*$AU15+AX15*$BB15+BE15*$BI15</f>
        <v>0</v>
      </c>
      <c r="BM15" s="2">
        <f t="shared" si="12"/>
        <v>0</v>
      </c>
      <c r="BN15" s="2">
        <f t="shared" si="13"/>
        <v>0</v>
      </c>
      <c r="BO15" s="2">
        <f t="shared" si="14"/>
        <v>0</v>
      </c>
      <c r="BP15" s="6">
        <f>Tabelle3101622[[#This Row],[North]]*$AE15*$AF15+AJ15*$AL15*$AM15+AQ15*$AS15*$AT15+AX15*$AZ15*$BA15+BE15*$BG15*$BH15-BL15</f>
        <v>15.287999999999998</v>
      </c>
      <c r="BQ15" s="2">
        <f t="shared" si="15"/>
        <v>0</v>
      </c>
      <c r="BR15" s="2">
        <f t="shared" si="16"/>
        <v>0</v>
      </c>
      <c r="BS15" s="7">
        <f t="shared" si="17"/>
        <v>0</v>
      </c>
      <c r="BT15" s="2">
        <f>IF(Tabelle181420[[#This Row],[(g)round/(r )oof]]="R",Tabelle181420[[#This Row],[Total Area size '[m^2']]],IF(Tabelle181420[[#This Row],[(g)round/(r )oof]]="B",Tabelle181420[[#This Row],[Total Area size '[m^2']]],0))</f>
        <v>15.1</v>
      </c>
      <c r="BU15" s="2"/>
      <c r="BV15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5" s="2"/>
    </row>
    <row r="16" spans="1:76" x14ac:dyDescent="0.25">
      <c r="A16" s="40">
        <v>13</v>
      </c>
      <c r="B16" s="2"/>
      <c r="C16" s="2"/>
      <c r="D16" s="2"/>
      <c r="E16" s="2"/>
      <c r="F16" s="2"/>
      <c r="G16" s="2"/>
      <c r="H16" s="40">
        <f t="shared" ref="H16:H18" si="18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40"/>
      <c r="X16" s="42"/>
      <c r="Y16" s="40"/>
      <c r="Z16" s="5"/>
      <c r="AA16" s="2"/>
      <c r="AB16" s="2"/>
      <c r="AC16" s="2"/>
      <c r="AD16" s="2"/>
      <c r="AE16" s="42">
        <f t="shared" si="4"/>
        <v>2.8</v>
      </c>
      <c r="AF16" s="3"/>
      <c r="AG16" s="44"/>
      <c r="AH16" s="6"/>
      <c r="AI16" s="2"/>
      <c r="AJ16" s="2"/>
      <c r="AK16" s="2"/>
      <c r="AL16" s="42"/>
      <c r="AM16" s="2"/>
      <c r="AN16" s="44"/>
      <c r="AO16" s="6"/>
      <c r="AP16" s="2"/>
      <c r="AQ16" s="2"/>
      <c r="AR16" s="2"/>
      <c r="AS16" s="42">
        <f t="shared" si="8"/>
        <v>2.8</v>
      </c>
      <c r="AT16" s="2"/>
      <c r="AU16" s="44">
        <v>0</v>
      </c>
      <c r="AV16" s="6"/>
      <c r="AW16" s="2"/>
      <c r="AX16" s="2"/>
      <c r="AY16" s="2"/>
      <c r="AZ16" s="42">
        <f t="shared" si="10"/>
        <v>2.8</v>
      </c>
      <c r="BA16" s="2"/>
      <c r="BB16" s="44">
        <v>0</v>
      </c>
      <c r="BC16" s="6"/>
      <c r="BD16" s="2"/>
      <c r="BE16" s="2"/>
      <c r="BF16" s="2"/>
      <c r="BG16" s="42">
        <f t="shared" si="11"/>
        <v>2.8</v>
      </c>
      <c r="BH16" s="2"/>
      <c r="BI16" s="44">
        <v>0</v>
      </c>
      <c r="BJ16" s="1"/>
      <c r="BK16" s="1"/>
      <c r="BL16" s="2">
        <f>Tabelle3101622[[#This Row],[North]]*$AG16+AJ16*$AN16+AQ16*$AU16+AX16*$BB16+BE16*$BI16</f>
        <v>0</v>
      </c>
      <c r="BM16" s="2">
        <f t="shared" si="12"/>
        <v>0</v>
      </c>
      <c r="BN16" s="2">
        <f t="shared" si="13"/>
        <v>0</v>
      </c>
      <c r="BO16" s="2">
        <f t="shared" si="14"/>
        <v>0</v>
      </c>
      <c r="BP16" s="6">
        <f>Tabelle3101622[[#This Row],[North]]*$AE16*$AF16+AJ16*$AL16*$AM16+AQ16*$AS16*$AT16+AX16*$AZ16*$BA16+BE16*$BG16*$BH16-BL16</f>
        <v>0</v>
      </c>
      <c r="BQ16" s="2">
        <f t="shared" si="15"/>
        <v>0</v>
      </c>
      <c r="BR16" s="2">
        <f t="shared" si="16"/>
        <v>0</v>
      </c>
      <c r="BS16" s="7">
        <f t="shared" si="17"/>
        <v>0</v>
      </c>
      <c r="BT16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6" s="2"/>
      <c r="BV16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6" s="2"/>
    </row>
    <row r="17" spans="1:83" x14ac:dyDescent="0.25">
      <c r="A17" s="40">
        <v>14</v>
      </c>
      <c r="B17" s="2"/>
      <c r="C17" s="2"/>
      <c r="D17" s="2"/>
      <c r="E17" s="2"/>
      <c r="F17" s="2"/>
      <c r="G17" s="2"/>
      <c r="H17" s="40">
        <f t="shared" si="18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40"/>
      <c r="X17" s="42"/>
      <c r="Y17" s="40"/>
      <c r="Z17" s="5"/>
      <c r="AA17" s="2"/>
      <c r="AB17" s="2"/>
      <c r="AC17" s="2"/>
      <c r="AD17" s="2"/>
      <c r="AE17" s="42">
        <f t="shared" si="4"/>
        <v>2.8</v>
      </c>
      <c r="AF17" s="2"/>
      <c r="AG17" s="44"/>
      <c r="AH17" s="6"/>
      <c r="AI17" s="2"/>
      <c r="AJ17" s="2"/>
      <c r="AK17" s="2"/>
      <c r="AL17" s="42"/>
      <c r="AM17" s="2"/>
      <c r="AN17" s="44"/>
      <c r="AO17" s="6"/>
      <c r="AP17" s="2"/>
      <c r="AQ17" s="2"/>
      <c r="AR17" s="2"/>
      <c r="AS17" s="42">
        <f t="shared" si="8"/>
        <v>2.8</v>
      </c>
      <c r="AT17" s="2"/>
      <c r="AU17" s="44">
        <v>0</v>
      </c>
      <c r="AV17" s="6"/>
      <c r="AW17" s="2"/>
      <c r="AX17" s="2"/>
      <c r="AY17" s="2"/>
      <c r="AZ17" s="42">
        <f t="shared" si="10"/>
        <v>2.8</v>
      </c>
      <c r="BA17" s="2"/>
      <c r="BB17" s="44">
        <v>0</v>
      </c>
      <c r="BC17" s="6"/>
      <c r="BD17" s="2"/>
      <c r="BE17" s="2"/>
      <c r="BF17" s="2"/>
      <c r="BG17" s="42">
        <f t="shared" si="11"/>
        <v>2.8</v>
      </c>
      <c r="BH17" s="2"/>
      <c r="BI17" s="44">
        <v>0</v>
      </c>
      <c r="BJ17" s="1"/>
      <c r="BK17" s="1"/>
      <c r="BL17" s="2">
        <f>Tabelle3101622[[#This Row],[North]]*$AG17+AJ17*$AN17+AQ17*$AU17+AX17*$BB17+BE17*$BI17</f>
        <v>0</v>
      </c>
      <c r="BM17" s="2">
        <f t="shared" si="12"/>
        <v>0</v>
      </c>
      <c r="BN17" s="2">
        <f t="shared" si="13"/>
        <v>0</v>
      </c>
      <c r="BO17" s="2">
        <f t="shared" si="14"/>
        <v>0</v>
      </c>
      <c r="BP17" s="6">
        <f>Tabelle3101622[[#This Row],[North]]*$AE17*$AF17+AJ17*$AL17*$AM17+AQ17*$AS17*$AT17+AX17*$AZ17*$BA17+BE17*$BG17*$BH17-BL17</f>
        <v>0</v>
      </c>
      <c r="BQ17" s="2">
        <f t="shared" si="15"/>
        <v>0</v>
      </c>
      <c r="BR17" s="2">
        <f t="shared" si="16"/>
        <v>0</v>
      </c>
      <c r="BS17" s="7">
        <f t="shared" si="17"/>
        <v>0</v>
      </c>
      <c r="BT17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7" s="2"/>
      <c r="BV17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7" s="2"/>
    </row>
    <row r="18" spans="1:83" x14ac:dyDescent="0.25">
      <c r="A18" s="40">
        <v>15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40"/>
      <c r="X18" s="42"/>
      <c r="Y18" s="40"/>
      <c r="Z18" s="5"/>
      <c r="AA18" s="2"/>
      <c r="AB18" s="2"/>
      <c r="AC18" s="2"/>
      <c r="AD18" s="2"/>
      <c r="AE18" s="42">
        <f t="shared" si="4"/>
        <v>2.8</v>
      </c>
      <c r="AF18" s="2"/>
      <c r="AG18" s="44"/>
      <c r="AH18" s="6"/>
      <c r="AI18" s="2"/>
      <c r="AJ18" s="2"/>
      <c r="AK18" s="2"/>
      <c r="AL18" s="42"/>
      <c r="AM18" s="2"/>
      <c r="AN18" s="44"/>
      <c r="AO18" s="6"/>
      <c r="AP18" s="2"/>
      <c r="AQ18" s="2"/>
      <c r="AR18" s="2"/>
      <c r="AS18" s="42">
        <f t="shared" si="8"/>
        <v>2.8</v>
      </c>
      <c r="AT18" s="2"/>
      <c r="AU18" s="44">
        <v>0</v>
      </c>
      <c r="AV18" s="6"/>
      <c r="AW18" s="2"/>
      <c r="AX18" s="2"/>
      <c r="AY18" s="2"/>
      <c r="AZ18" s="42">
        <f t="shared" si="10"/>
        <v>2.8</v>
      </c>
      <c r="BA18" s="2"/>
      <c r="BB18" s="44">
        <v>0</v>
      </c>
      <c r="BC18" s="6"/>
      <c r="BD18" s="2"/>
      <c r="BE18" s="2"/>
      <c r="BF18" s="2"/>
      <c r="BG18" s="42">
        <f t="shared" si="11"/>
        <v>2.8</v>
      </c>
      <c r="BH18" s="2"/>
      <c r="BI18" s="44">
        <v>0</v>
      </c>
      <c r="BJ18" s="1"/>
      <c r="BK18" s="1"/>
      <c r="BL18" s="2">
        <f>Tabelle3101622[[#This Row],[North]]*$AG18+AJ18*$AN18+AQ18*$AU18+AX18*$BB18+BE18*$BI18</f>
        <v>0</v>
      </c>
      <c r="BM18" s="2">
        <f t="shared" si="12"/>
        <v>0</v>
      </c>
      <c r="BN18" s="2">
        <f t="shared" si="13"/>
        <v>0</v>
      </c>
      <c r="BO18" s="2">
        <f t="shared" si="14"/>
        <v>0</v>
      </c>
      <c r="BP18" s="6">
        <f>Tabelle3101622[[#This Row],[North]]*$AE18*$AF18+AJ18*$AL18*$AM18+AQ18*$AS18*$AT18+AX18*$AZ18*$BA18+BE18*$BG18*$BH18-BL18</f>
        <v>0</v>
      </c>
      <c r="BQ18" s="2">
        <f t="shared" si="15"/>
        <v>0</v>
      </c>
      <c r="BR18" s="2">
        <f t="shared" si="16"/>
        <v>0</v>
      </c>
      <c r="BS18" s="7">
        <f t="shared" si="17"/>
        <v>0</v>
      </c>
      <c r="BT18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8" s="2"/>
      <c r="BV18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8" s="2"/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1"/>
      <c r="BK19" s="1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25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12"/>
      <c r="BJ22" s="12"/>
      <c r="BK22" s="3" t="s">
        <v>101</v>
      </c>
      <c r="BL22" s="61">
        <f>SUMIF($C$5:$C$18,$BK22,BL$5:BL$18)</f>
        <v>0</v>
      </c>
      <c r="BM22" s="61">
        <f t="shared" ref="BM22:BS22" si="19">SUMIF($C$5:$C$18,$BK22,BM$5:BM$18)</f>
        <v>4.8</v>
      </c>
      <c r="BN22" s="61">
        <f t="shared" si="19"/>
        <v>7.04</v>
      </c>
      <c r="BO22" s="61">
        <f t="shared" si="19"/>
        <v>4.47</v>
      </c>
      <c r="BP22" s="61">
        <f t="shared" si="19"/>
        <v>8.7359999999999989</v>
      </c>
      <c r="BQ22" s="61">
        <f t="shared" si="19"/>
        <v>17.515999999999998</v>
      </c>
      <c r="BR22" s="61">
        <f t="shared" si="19"/>
        <v>27.175999999999995</v>
      </c>
      <c r="BS22" s="61">
        <f t="shared" si="19"/>
        <v>10.145999999999999</v>
      </c>
      <c r="BT22" s="61">
        <f>SUMIF($C$5:$C$18,$BK22,BT$5:BT$18)</f>
        <v>0</v>
      </c>
      <c r="BU22" s="61">
        <f>BT22*$BT$30</f>
        <v>0</v>
      </c>
      <c r="BV22" s="61">
        <f>SUMIF($C$5:$C$18,$BK22,BV$5:BV$18)</f>
        <v>53.900000000000006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53.900000000000006</v>
      </c>
      <c r="I23" s="12">
        <f>H23/$H$28</f>
        <v>0.38500000000000006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10.765999999999998</v>
      </c>
      <c r="R23" s="3"/>
      <c r="S23" s="3"/>
      <c r="T23" s="55">
        <f>SUMIF($C$5:$C$18,$C23,$T$5:$T$18)</f>
        <v>32.927999999999997</v>
      </c>
      <c r="U23" s="3"/>
      <c r="V23" s="3"/>
      <c r="W23" s="55">
        <f>SUMIF($C$5:$C$18,$C23,$W$5:$W$18)</f>
        <v>0</v>
      </c>
      <c r="X23" s="55">
        <f>SUMIF($C$5:$C$18,$C23,$X$5:$X$18)/$G$2</f>
        <v>26.950000000000003</v>
      </c>
      <c r="Y23" s="55">
        <f>SUMIF($C$5:$C$18,$C23,$Y$5:$Y$18)/$G$2</f>
        <v>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 t="s">
        <v>10</v>
      </c>
      <c r="BL23" s="61">
        <f t="shared" ref="BL23:BV25" si="20">SUMIF($C$5:$C$18,$BK23,BL$5:BL$18)</f>
        <v>1.24</v>
      </c>
      <c r="BM23" s="61">
        <f t="shared" si="20"/>
        <v>0</v>
      </c>
      <c r="BN23" s="61">
        <f t="shared" si="20"/>
        <v>0</v>
      </c>
      <c r="BO23" s="61">
        <f t="shared" si="20"/>
        <v>0</v>
      </c>
      <c r="BP23" s="61">
        <f t="shared" si="20"/>
        <v>38.911999999999999</v>
      </c>
      <c r="BQ23" s="61">
        <f t="shared" si="20"/>
        <v>0</v>
      </c>
      <c r="BR23" s="61">
        <f t="shared" si="20"/>
        <v>0</v>
      </c>
      <c r="BS23" s="61">
        <f t="shared" si="20"/>
        <v>7.7839999999999989</v>
      </c>
      <c r="BT23" s="61">
        <f t="shared" si="20"/>
        <v>15.1</v>
      </c>
      <c r="BU23" s="61">
        <f t="shared" ref="BU23:BU27" si="21">BT23*$BT$30</f>
        <v>23.287267525035766</v>
      </c>
      <c r="BV23" s="61">
        <f t="shared" si="20"/>
        <v>16.2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31.299999999999997</v>
      </c>
      <c r="I24" s="2">
        <f>H24/$H$28</f>
        <v>0.22357142857142856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15.791999999999998</v>
      </c>
      <c r="R24" s="3"/>
      <c r="S24" s="3"/>
      <c r="T24" s="56">
        <f>SUMIF($C$5:$C$18,$C24,$T$5:$T$18)</f>
        <v>0</v>
      </c>
      <c r="U24" s="3"/>
      <c r="V24" s="3"/>
      <c r="W24" s="56">
        <f>SUMIF($C$5:$C$18,$C24,$W$5:$W$18)</f>
        <v>0</v>
      </c>
      <c r="X24" s="55">
        <f t="shared" ref="X24:X26" si="22">SUMIF($C$5:$C$18,$C24,$X$5:$X$18)/$G$2</f>
        <v>8.1</v>
      </c>
      <c r="Y24" s="55">
        <f t="shared" ref="Y24:Y26" si="23">SUMIF($C$5:$C$18,$C24,$Y$5:$Y$18)/$G$2</f>
        <v>7.55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2"/>
      <c r="BJ24" s="2"/>
      <c r="BK24" s="3" t="s">
        <v>102</v>
      </c>
      <c r="BL24" s="61">
        <f t="shared" si="20"/>
        <v>0</v>
      </c>
      <c r="BM24" s="61">
        <f t="shared" si="20"/>
        <v>1.68</v>
      </c>
      <c r="BN24" s="61">
        <f t="shared" si="20"/>
        <v>4.32</v>
      </c>
      <c r="BO24" s="61">
        <f t="shared" si="20"/>
        <v>2.7</v>
      </c>
      <c r="BP24" s="61">
        <f t="shared" si="20"/>
        <v>9.66</v>
      </c>
      <c r="BQ24" s="61">
        <f t="shared" si="20"/>
        <v>11.648</v>
      </c>
      <c r="BR24" s="61">
        <f t="shared" si="20"/>
        <v>30.372</v>
      </c>
      <c r="BS24" s="61">
        <f t="shared" si="20"/>
        <v>19.000000000000004</v>
      </c>
      <c r="BT24" s="61">
        <f t="shared" si="20"/>
        <v>48.800000000000004</v>
      </c>
      <c r="BU24" s="61">
        <f t="shared" si="21"/>
        <v>75.259513590844065</v>
      </c>
      <c r="BV24" s="61">
        <f t="shared" si="20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48.800000000000004</v>
      </c>
      <c r="I25" s="2">
        <f>H25/$H$28</f>
        <v>0.34857142857142859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24.009999999999994</v>
      </c>
      <c r="R25" s="3"/>
      <c r="S25" s="3"/>
      <c r="T25" s="56">
        <f>SUMIF($C$5:$C$18,$C25,$T$5:$T$18)</f>
        <v>22.904</v>
      </c>
      <c r="U25" s="3"/>
      <c r="V25" s="3"/>
      <c r="W25" s="56">
        <f>SUMIF($C$5:$C$18,$C25,$W$5:$W$18)</f>
        <v>0</v>
      </c>
      <c r="X25" s="55">
        <f t="shared" si="22"/>
        <v>0</v>
      </c>
      <c r="Y25" s="55">
        <f t="shared" si="23"/>
        <v>24.400000000000002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2"/>
      <c r="BJ25" s="2"/>
      <c r="BK25" s="3" t="s">
        <v>103</v>
      </c>
      <c r="BL25" s="61">
        <f t="shared" si="20"/>
        <v>0</v>
      </c>
      <c r="BM25" s="61">
        <f t="shared" si="20"/>
        <v>0.96</v>
      </c>
      <c r="BN25" s="61">
        <f t="shared" si="20"/>
        <v>0</v>
      </c>
      <c r="BO25" s="61">
        <f t="shared" si="20"/>
        <v>0</v>
      </c>
      <c r="BP25" s="61">
        <f t="shared" si="20"/>
        <v>8.9599999999999991</v>
      </c>
      <c r="BQ25" s="61">
        <f t="shared" si="20"/>
        <v>8.2519999999999989</v>
      </c>
      <c r="BR25" s="61">
        <f t="shared" si="20"/>
        <v>0</v>
      </c>
      <c r="BS25" s="61">
        <f t="shared" si="20"/>
        <v>0</v>
      </c>
      <c r="BT25" s="61">
        <f t="shared" si="20"/>
        <v>6</v>
      </c>
      <c r="BU25" s="61">
        <f t="shared" si="21"/>
        <v>9.2532188841201712</v>
      </c>
      <c r="BV25" s="61">
        <f t="shared" si="20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</v>
      </c>
      <c r="I26" s="2">
        <f>H26/$H$28</f>
        <v>4.2857142857142858E-2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3.9059999999999997</v>
      </c>
      <c r="R26" s="3"/>
      <c r="S26" s="3"/>
      <c r="T26" s="56">
        <f>SUMIF($C$5:$C$18,$C26,$T$5:$T$18)</f>
        <v>8.0640000000000001</v>
      </c>
      <c r="U26" s="3"/>
      <c r="V26" s="3"/>
      <c r="W26" s="56">
        <f>SUMIF($C$5:$C$18,$C26,$W$5:$W$18)</f>
        <v>0</v>
      </c>
      <c r="X26" s="55">
        <f t="shared" si="22"/>
        <v>0</v>
      </c>
      <c r="Y26" s="55">
        <f t="shared" si="23"/>
        <v>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2"/>
      <c r="BJ26" s="2"/>
      <c r="BK26" s="3"/>
      <c r="BL26" s="62"/>
      <c r="BM26" s="63"/>
      <c r="BN26" s="63"/>
      <c r="BO26" s="63"/>
      <c r="BP26" s="63"/>
      <c r="BQ26" s="63"/>
      <c r="BR26" s="63"/>
      <c r="BS26" s="63"/>
      <c r="BT26" s="63"/>
      <c r="BU26" s="63"/>
      <c r="BV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57"/>
      <c r="X27" s="71"/>
      <c r="Y27" s="25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2"/>
      <c r="BJ27" s="2"/>
      <c r="BK27" s="3" t="s">
        <v>12</v>
      </c>
      <c r="BL27" s="65">
        <f t="shared" ref="BL27:BV27" si="24">SUM(BL22:BL26)</f>
        <v>1.24</v>
      </c>
      <c r="BM27" s="66">
        <f t="shared" si="24"/>
        <v>7.4399999999999995</v>
      </c>
      <c r="BN27" s="66">
        <f t="shared" si="24"/>
        <v>11.36</v>
      </c>
      <c r="BO27" s="66">
        <f t="shared" si="24"/>
        <v>7.17</v>
      </c>
      <c r="BP27" s="66">
        <f t="shared" si="24"/>
        <v>66.267999999999986</v>
      </c>
      <c r="BQ27" s="66">
        <f t="shared" si="24"/>
        <v>37.415999999999997</v>
      </c>
      <c r="BR27" s="66">
        <f t="shared" si="24"/>
        <v>57.547999999999995</v>
      </c>
      <c r="BS27" s="66">
        <f t="shared" si="24"/>
        <v>36.930000000000007</v>
      </c>
      <c r="BT27" s="66">
        <f t="shared" si="24"/>
        <v>69.900000000000006</v>
      </c>
      <c r="BU27" s="61">
        <f t="shared" si="21"/>
        <v>107.80000000000001</v>
      </c>
      <c r="BV27" s="66">
        <f t="shared" si="24"/>
        <v>70.100000000000009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140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54.47399999999999</v>
      </c>
      <c r="R28" s="3"/>
      <c r="S28" s="3"/>
      <c r="T28" s="56">
        <f>SUM(T23:T26)</f>
        <v>63.895999999999994</v>
      </c>
      <c r="U28" s="3"/>
      <c r="V28" s="3"/>
      <c r="W28" s="72">
        <f>SUM(W23:W26)</f>
        <v>0</v>
      </c>
      <c r="X28" s="73">
        <f>SUM(X23:X26)</f>
        <v>35.050000000000004</v>
      </c>
      <c r="Y28" s="73">
        <f>SUM(Y23:Y26)</f>
        <v>34.950000000000003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2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2"/>
      <c r="Y29" s="7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 t="s">
        <v>141</v>
      </c>
      <c r="BT29" s="3">
        <f>12.3+12.3+32.5+50.7</f>
        <v>107.80000000000001</v>
      </c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47" t="s">
        <v>82</v>
      </c>
      <c r="X30" s="48"/>
      <c r="Y30" s="7"/>
      <c r="AA30" s="37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>
        <f>BT29/BT27</f>
        <v>1.5422031473533619</v>
      </c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68">
        <f>W23+T23+Q23</f>
        <v>43.693999999999996</v>
      </c>
      <c r="X31" s="49"/>
      <c r="Y31" s="7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69">
        <f t="shared" ref="W32:W34" si="25">W24+T24+Q24</f>
        <v>15.791999999999998</v>
      </c>
      <c r="X32" s="49"/>
      <c r="Y32" s="7"/>
      <c r="AA32" s="37"/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7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69">
        <f t="shared" si="25"/>
        <v>46.913999999999994</v>
      </c>
      <c r="X33" s="49"/>
      <c r="Y33" s="7"/>
      <c r="AA33" s="37"/>
      <c r="AB33" s="3"/>
      <c r="AC33" s="3"/>
    </row>
    <row r="34" spans="9:67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69">
        <f t="shared" si="25"/>
        <v>11.969999999999999</v>
      </c>
      <c r="X34" s="49"/>
      <c r="Y34" s="7"/>
      <c r="AA34" s="37"/>
      <c r="AB34" s="3"/>
      <c r="AC34" s="3"/>
    </row>
    <row r="35" spans="9:67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70"/>
      <c r="X35" s="49"/>
      <c r="Y35" s="7"/>
      <c r="AA35" s="37"/>
      <c r="AB35" s="3"/>
      <c r="AC35" s="3"/>
      <c r="BO35" s="77"/>
    </row>
    <row r="36" spans="9:67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9"/>
      <c r="X36" s="54"/>
      <c r="Y36" s="10"/>
      <c r="AA36" s="37"/>
      <c r="AB36" s="3"/>
      <c r="AC36" s="3"/>
    </row>
    <row r="37" spans="9:67" x14ac:dyDescent="0.25">
      <c r="I37" s="2"/>
      <c r="J37" s="2"/>
      <c r="K37" s="2"/>
      <c r="L37" s="2"/>
      <c r="M37" s="2"/>
      <c r="AA37" s="3"/>
      <c r="AB37" s="3"/>
      <c r="AC37" s="3"/>
    </row>
  </sheetData>
  <mergeCells count="6">
    <mergeCell ref="BD3:BG3"/>
    <mergeCell ref="K23:M26"/>
    <mergeCell ref="AA3:AE3"/>
    <mergeCell ref="AI3:AL3"/>
    <mergeCell ref="AP3:AS3"/>
    <mergeCell ref="AW3:AZ3"/>
  </mergeCells>
  <conditionalFormatting sqref="I23:I26">
    <cfRule type="cellIs" dxfId="50" priority="2" operator="lessThan">
      <formula>0.03</formula>
    </cfRule>
  </conditionalFormatting>
  <conditionalFormatting sqref="I23:I28">
    <cfRule type="cellIs" dxfId="49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6"/>
  <sheetViews>
    <sheetView zoomScale="70" zoomScaleNormal="70" workbookViewId="0">
      <pane xSplit="2" ySplit="4" topLeftCell="BM20" activePane="bottomRight" state="frozen"/>
      <selection activeCell="X55" sqref="X55"/>
      <selection pane="topRight" activeCell="X55" sqref="X55"/>
      <selection pane="bottomLeft" activeCell="X55" sqref="X55"/>
      <selection pane="bottomRight" activeCell="BW31" sqref="BW31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119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Tabelle51218247127686111[[#This Row],[Height]]*Tabelle51218247127686111[[#This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Tabelle51218247127686111[[#This Row],[Height2]]*Tabelle51218247127686111[[#This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(1-$BQ$16)*Tabelle291521497383108[[#This Row],[North2]]+(1-$BR$16)*Tabelle291521497383108[[#This Row],[East2]]+(1-$BS$16)*Tabelle291521497383108[[#This Row],[South2]]+(1-$BT$16)*Tabelle291521497383108[[#This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IF(Tabelle181420387282107[[#This Row],[(f)loor/(c )eiling]]="c",Tabelle181420387282107[[#This Row],[Total Area size '[m^2']]],0)</f>
        <v>45.6</v>
      </c>
      <c r="Z5" s="42">
        <f>IF(Tabelle181420387282107[[#This Row],[(f)loor/(c )eiling]]="f",Tabelle181420387282107[[#This Row],[Total Area size '[m^2']]],0)</f>
        <v>0</v>
      </c>
      <c r="AA5" s="5"/>
      <c r="AB5" s="2">
        <v>0</v>
      </c>
      <c r="AC5" s="2">
        <v>0</v>
      </c>
      <c r="AD5" s="2">
        <v>1</v>
      </c>
      <c r="AE5" s="2">
        <v>0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1</v>
      </c>
      <c r="AK5" s="2">
        <v>0</v>
      </c>
      <c r="AL5" s="2">
        <v>0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1</v>
      </c>
      <c r="AQ5" s="2">
        <v>0</v>
      </c>
      <c r="AR5" s="2">
        <v>0</v>
      </c>
      <c r="AS5" s="2">
        <v>0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Tabelle31016225107484109[[#This Row],[North]]*$AH5+AK5*$AO5+AR5*$AV5+AY5*$BC5+BF5*$BJ5</f>
        <v>5.16</v>
      </c>
      <c r="BN5" s="2">
        <f t="shared" ref="BN5:BN13" si="12">AC5*$AH5+AJ5*$AO5+AQ5*$AV5+AX5*$BC5+BE5*$BJ5</f>
        <v>8.7100000000000009</v>
      </c>
      <c r="BO5" s="2">
        <f t="shared" ref="BO5:BO13" si="13">AB5*$AH5+AI5*$AO5+AP5*$AV5+AW5*$BC5+BD5*$BJ5</f>
        <v>0</v>
      </c>
      <c r="BP5" s="2">
        <f t="shared" ref="BP5:BP13" si="14">AE5*$AH5+AL5*$AO5+AS5*$AV5+AZ5*$BC5+BG5*$BJ5</f>
        <v>0</v>
      </c>
      <c r="BQ5" s="6">
        <f>Tabelle31016225107484109[[#This Row],[North]]*$AF5*$AG5+AK5*$AM5*$AN5+AR5*$AT5*$AU5+AY5*$BA5*$BB5+BF5*$BH5*$BI5-BM5</f>
        <v>15.700000000000003</v>
      </c>
      <c r="BR5" s="2">
        <f t="shared" ref="BR5:BR13" si="15">AC5*$AF5*$AG5+AJ5*$AM5*$AN5+AQ5*$AT5*$AU5+AX5*$BA5*$BB5+BE5*$BH5*$BI5-BN5</f>
        <v>14.501999999999995</v>
      </c>
      <c r="BS5" s="2">
        <f t="shared" ref="BS5:BS13" si="16">AB5*$AF5*$AG5+AI5*$AM5*$AN5+AP5*$AT5*$AU5+AW5*$BA5*$BB5+BD5*$BH5*$BI5-BO5</f>
        <v>14.027999999999999</v>
      </c>
      <c r="BT5" s="7">
        <f t="shared" ref="BT5:BT13" si="17">AE5*$AF5*$AG5+AL5*$AM5*$AN5+AS5*$AT5*$AU5+AZ5*$BA5*$BB5+BG5*$BH5*$BI5-BP5</f>
        <v>0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Tabelle51218247127686111[[#This Row],[Height]]*Tabelle51218247127686111[[#This Row],[Length]]</f>
        <v>3.9199999999999995</v>
      </c>
      <c r="R6" s="42">
        <f t="shared" si="1"/>
        <v>2.8</v>
      </c>
      <c r="S6" s="3">
        <v>3.26</v>
      </c>
      <c r="T6" s="40">
        <f>Tabelle51218247127686111[[#This Row],[Height2]]*Tabelle51218247127686111[[#This Row],[Length3]]</f>
        <v>9.1279999999999983</v>
      </c>
      <c r="U6" s="42">
        <f t="shared" si="3"/>
        <v>2.8</v>
      </c>
      <c r="V6" s="3">
        <v>0</v>
      </c>
      <c r="W6" s="3">
        <f>(1-$BQ$16)*Tabelle291521497383108[[#This Row],[North2]]+(1-$BR$16)*Tabelle291521497383108[[#This Row],[East2]]+(1-$BS$16)*Tabelle291521497383108[[#This Row],[South2]]+(1-$BT$16)*Tabelle291521497383108[[#This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IF(Tabelle181420387282107[[#This Row],[(f)loor/(c )eiling]]="c",Tabelle181420387282107[[#This Row],[Total Area size '[m^2']]],0)</f>
        <v>12.7</v>
      </c>
      <c r="Z6" s="42">
        <f>IF(Tabelle181420387282107[[#This Row],[(f)loor/(c )eiling]]="f",Tabelle181420387282107[[#This Row],[Total Area size '[m^2']]],0)</f>
        <v>0</v>
      </c>
      <c r="AA6" s="5"/>
      <c r="AB6" s="2">
        <v>0</v>
      </c>
      <c r="AC6" s="2">
        <v>0</v>
      </c>
      <c r="AD6" s="2">
        <v>1</v>
      </c>
      <c r="AE6" s="2">
        <v>0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0</v>
      </c>
      <c r="AJ6" s="3">
        <v>0</v>
      </c>
      <c r="AK6" s="2">
        <v>0</v>
      </c>
      <c r="AL6" s="2">
        <v>1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Tabelle31016225107484109[[#This Row],[North]]*$AH6+AK6*$AO6+AR6*$AV6+AY6*$BC6+BF6*$BJ6</f>
        <v>1.44</v>
      </c>
      <c r="BN6" s="2">
        <f t="shared" si="12"/>
        <v>0</v>
      </c>
      <c r="BO6" s="2">
        <f t="shared" si="13"/>
        <v>0</v>
      </c>
      <c r="BP6" s="2">
        <f t="shared" si="14"/>
        <v>2.2200000000000002</v>
      </c>
      <c r="BQ6" s="6">
        <f>Tabelle31016225107484109[[#This Row],[North]]*$AF6*$AG6+AK6*$AM6*$AN6+AR6*$AT6*$AU6+AY6*$BA6*$BB6+BF6*$BH6*$BI6-BM6</f>
        <v>9.34</v>
      </c>
      <c r="BR6" s="2">
        <f t="shared" si="15"/>
        <v>0</v>
      </c>
      <c r="BS6" s="2">
        <f t="shared" si="16"/>
        <v>0</v>
      </c>
      <c r="BT6" s="7">
        <f t="shared" si="17"/>
        <v>10.211999999999998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Tabelle51218247127686111[[#This Row],[Height]]*Tabelle51218247127686111[[#This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Tabelle51218247127686111[[#This Row],[Height2]]*Tabelle51218247127686111[[#This Row],[Length3]]</f>
        <v>3.78</v>
      </c>
      <c r="U7" s="42">
        <f t="shared" si="3"/>
        <v>2.8</v>
      </c>
      <c r="V7" s="3">
        <v>0</v>
      </c>
      <c r="W7" s="3">
        <f>(1-$BQ$16)*Tabelle291521497383108[[#This Row],[North2]]+(1-$BR$16)*Tabelle291521497383108[[#This Row],[East2]]+(1-$BS$16)*Tabelle291521497383108[[#This Row],[South2]]+(1-$BT$16)*Tabelle291521497383108[[#This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IF(Tabelle181420387282107[[#This Row],[(f)loor/(c )eiling]]="c",Tabelle181420387282107[[#This Row],[Total Area size '[m^2']]],0)</f>
        <v>0</v>
      </c>
      <c r="Z7" s="42">
        <f>IF(Tabelle181420387282107[[#This Row],[(f)loor/(c )eiling]]="f",Tabelle181420387282107[[#This Row],[Total Area size '[m^2']]],0)</f>
        <v>12.5</v>
      </c>
      <c r="AA7" s="5"/>
      <c r="AB7" s="2">
        <v>0</v>
      </c>
      <c r="AC7" s="2">
        <v>0</v>
      </c>
      <c r="AD7" s="2">
        <v>1</v>
      </c>
      <c r="AE7" s="2">
        <v>0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0</v>
      </c>
      <c r="AJ7" s="2">
        <v>0</v>
      </c>
      <c r="AK7" s="2">
        <v>0</v>
      </c>
      <c r="AL7" s="2">
        <v>1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Tabelle31016225107484109[[#This Row],[North]]*$AH7+AK7*$AO7+AR7*$AV7+AY7*$BC7+BF7*$BJ7</f>
        <v>2.88</v>
      </c>
      <c r="BN7" s="2">
        <f t="shared" si="12"/>
        <v>0</v>
      </c>
      <c r="BO7" s="2">
        <f t="shared" si="13"/>
        <v>0</v>
      </c>
      <c r="BP7" s="2">
        <f t="shared" si="14"/>
        <v>0</v>
      </c>
      <c r="BQ7" s="6">
        <f>Tabelle31016225107484109[[#This Row],[North]]*$AF7*$AG7+AK7*$AM7*$AN7+AR7*$AT7*$AU7+AY7*$BA7*$BB7+BF7*$BH7*$BI7-BM7</f>
        <v>10.98</v>
      </c>
      <c r="BR7" s="2">
        <f t="shared" si="15"/>
        <v>0</v>
      </c>
      <c r="BS7" s="2">
        <f t="shared" si="16"/>
        <v>0</v>
      </c>
      <c r="BT7" s="7">
        <f t="shared" si="17"/>
        <v>12.068000000000001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Tabelle51218247127686111[[#This Row],[Height]]*Tabelle51218247127686111[[#This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Tabelle51218247127686111[[#This Row],[Height2]]*Tabelle51218247127686111[[#This Row],[Length3]]</f>
        <v>3.78</v>
      </c>
      <c r="U8" s="42">
        <f t="shared" si="3"/>
        <v>2.8</v>
      </c>
      <c r="V8" s="3">
        <v>0</v>
      </c>
      <c r="W8" s="3">
        <f>(1-$BQ$16)*Tabelle291521497383108[[#This Row],[North2]]+(1-$BR$16)*Tabelle291521497383108[[#This Row],[East2]]+(1-$BS$16)*Tabelle291521497383108[[#This Row],[South2]]+(1-$BT$16)*Tabelle291521497383108[[#This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IF(Tabelle181420387282107[[#This Row],[(f)loor/(c )eiling]]="c",Tabelle181420387282107[[#This Row],[Total Area size '[m^2']]],0)</f>
        <v>0</v>
      </c>
      <c r="Z8" s="42">
        <f>IF(Tabelle181420387282107[[#This Row],[(f)loor/(c )eiling]]="f",Tabelle181420387282107[[#This Row],[Total Area size '[m^2']]],0)</f>
        <v>18</v>
      </c>
      <c r="AA8" s="5"/>
      <c r="AB8" s="2">
        <v>0</v>
      </c>
      <c r="AC8" s="2">
        <v>0</v>
      </c>
      <c r="AD8" s="2">
        <v>1</v>
      </c>
      <c r="AE8" s="2">
        <v>0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1</v>
      </c>
      <c r="AK8" s="2">
        <v>0</v>
      </c>
      <c r="AL8" s="2">
        <v>0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Tabelle31016225107484109[[#This Row],[North]]*$AH8+AK8*$AO8+AR8*$AV8+AY8*$BC8+BF8*$BJ8</f>
        <v>2.88</v>
      </c>
      <c r="BN8" s="2">
        <f t="shared" si="12"/>
        <v>0</v>
      </c>
      <c r="BO8" s="2">
        <f t="shared" si="13"/>
        <v>0</v>
      </c>
      <c r="BP8" s="2">
        <f t="shared" si="14"/>
        <v>0</v>
      </c>
      <c r="BQ8" s="6">
        <f>Tabelle31016225107484109[[#This Row],[North]]*$AF8*$AG8+AK8*$AM8*$AN8+AR8*$AT8*$AU8+AY8*$BA8*$BB8+BF8*$BH8*$BI8-BM8</f>
        <v>14.899999999999999</v>
      </c>
      <c r="BR8" s="2">
        <f t="shared" si="15"/>
        <v>12.068000000000001</v>
      </c>
      <c r="BS8" s="2">
        <f t="shared" si="16"/>
        <v>0</v>
      </c>
      <c r="BT8" s="7">
        <f t="shared" si="17"/>
        <v>0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Tabelle51218247127686111[[#This Row],[Height]]*Tabelle51218247127686111[[#This Row],[Length]]</f>
        <v>10.555999999999999</v>
      </c>
      <c r="R9" s="42">
        <f t="shared" si="1"/>
        <v>2.8</v>
      </c>
      <c r="S9" s="3">
        <v>3.75</v>
      </c>
      <c r="T9" s="40">
        <f>Tabelle51218247127686111[[#This Row],[Height2]]*Tabelle51218247127686111[[#This Row],[Length3]]</f>
        <v>10.5</v>
      </c>
      <c r="U9" s="42">
        <f t="shared" si="3"/>
        <v>2.8</v>
      </c>
      <c r="V9" s="3">
        <v>0</v>
      </c>
      <c r="W9" s="3">
        <f>(1-$BQ$16)*Tabelle291521497383108[[#This Row],[North2]]+(1-$BR$16)*Tabelle291521497383108[[#This Row],[East2]]+(1-$BS$16)*Tabelle291521497383108[[#This Row],[South2]]+(1-$BT$16)*Tabelle291521497383108[[#This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IF(Tabelle181420387282107[[#This Row],[(f)loor/(c )eiling]]="c",Tabelle181420387282107[[#This Row],[Total Area size '[m^2']]],0)</f>
        <v>0</v>
      </c>
      <c r="Z9" s="42">
        <f>IF(Tabelle181420387282107[[#This Row],[(f)loor/(c )eiling]]="f",Tabelle181420387282107[[#This Row],[Total Area size '[m^2']]],0)</f>
        <v>12.1</v>
      </c>
      <c r="AA9" s="5"/>
      <c r="AB9" s="2">
        <v>0</v>
      </c>
      <c r="AC9" s="2">
        <v>1</v>
      </c>
      <c r="AD9" s="2">
        <v>0</v>
      </c>
      <c r="AE9" s="2">
        <v>0</v>
      </c>
      <c r="AF9" s="42">
        <f t="shared" si="4"/>
        <v>2.8</v>
      </c>
      <c r="AG9" s="2">
        <f>0.07+3.77+0.14</f>
        <v>3.98</v>
      </c>
      <c r="AH9" s="44">
        <v>2</v>
      </c>
      <c r="AI9" s="6">
        <v>1</v>
      </c>
      <c r="AJ9" s="2">
        <v>0</v>
      </c>
      <c r="AK9" s="2">
        <v>0</v>
      </c>
      <c r="AL9" s="2">
        <v>0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Tabelle31016225107484109[[#This Row],[North]]*$AH9+AK9*$AO9+AR9*$AV9+AY9*$BC9+BF9*$BJ9</f>
        <v>0</v>
      </c>
      <c r="BN9" s="2">
        <f t="shared" si="12"/>
        <v>2</v>
      </c>
      <c r="BO9" s="2">
        <f t="shared" si="13"/>
        <v>0</v>
      </c>
      <c r="BP9" s="2">
        <f t="shared" si="14"/>
        <v>0</v>
      </c>
      <c r="BQ9" s="6">
        <f>Tabelle31016225107484109[[#This Row],[North]]*$AF9*$AG9+AK9*$AM9*$AN9+AR9*$AT9*$AU9+AY9*$BA9*$BB9+BF9*$BH9*$BI9-BM9</f>
        <v>0</v>
      </c>
      <c r="BR9" s="2">
        <f t="shared" si="15"/>
        <v>9.1440000000000001</v>
      </c>
      <c r="BS9" s="2">
        <f t="shared" si="16"/>
        <v>14.028</v>
      </c>
      <c r="BT9" s="7">
        <f t="shared" si="17"/>
        <v>0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Tabelle51218247127686111[[#This Row],[Height]]*Tabelle51218247127686111[[#This Row],[Length]]</f>
        <v>6.6639999999999997</v>
      </c>
      <c r="R10" s="42">
        <f t="shared" si="1"/>
        <v>2.8</v>
      </c>
      <c r="S10" s="3">
        <v>3.75</v>
      </c>
      <c r="T10" s="40">
        <f>Tabelle51218247127686111[[#This Row],[Height2]]*Tabelle51218247127686111[[#This Row],[Length3]]</f>
        <v>10.5</v>
      </c>
      <c r="U10" s="42">
        <f t="shared" si="3"/>
        <v>2.8</v>
      </c>
      <c r="V10" s="3">
        <v>0</v>
      </c>
      <c r="W10" s="3">
        <f>(1-$BQ$16)*Tabelle291521497383108[[#This Row],[North2]]+(1-$BR$16)*Tabelle291521497383108[[#This Row],[East2]]+(1-$BS$16)*Tabelle291521497383108[[#This Row],[South2]]+(1-$BT$16)*Tabelle291521497383108[[#This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IF(Tabelle181420387282107[[#This Row],[(f)loor/(c )eiling]]="c",Tabelle181420387282107[[#This Row],[Total Area size '[m^2']]],0)</f>
        <v>0</v>
      </c>
      <c r="Z10" s="42">
        <f>IF(Tabelle181420387282107[[#This Row],[(f)loor/(c )eiling]]="f",Tabelle181420387282107[[#This Row],[Total Area size '[m^2']]],0)</f>
        <v>6.9</v>
      </c>
      <c r="AA10" s="5"/>
      <c r="AB10" s="2">
        <v>0</v>
      </c>
      <c r="AC10" s="2">
        <v>0</v>
      </c>
      <c r="AD10" s="2">
        <v>0</v>
      </c>
      <c r="AE10" s="2">
        <v>1</v>
      </c>
      <c r="AF10" s="42">
        <f t="shared" si="4"/>
        <v>2.8</v>
      </c>
      <c r="AG10" s="2">
        <f>0.14+3.77+0.07</f>
        <v>3.98</v>
      </c>
      <c r="AH10" s="44">
        <v>1</v>
      </c>
      <c r="AI10" s="6">
        <v>1</v>
      </c>
      <c r="AJ10" s="2">
        <v>0</v>
      </c>
      <c r="AK10" s="3">
        <v>0</v>
      </c>
      <c r="AL10" s="2">
        <v>0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Tabelle31016225107484109[[#This Row],[North]]*$AH10+AK10*$AO10+AR10*$AV10+AY10*$BC10+BF10*$BJ10</f>
        <v>0</v>
      </c>
      <c r="BN10" s="2">
        <f t="shared" si="12"/>
        <v>0</v>
      </c>
      <c r="BO10" s="2">
        <f t="shared" si="13"/>
        <v>0</v>
      </c>
      <c r="BP10" s="2">
        <f t="shared" si="14"/>
        <v>1</v>
      </c>
      <c r="BQ10" s="6">
        <f>Tabelle31016225107484109[[#This Row],[North]]*$AF10*$AG10+AK10*$AM10*$AN10+AR10*$AT10*$AU10+AY10*$BA10*$BB10+BF10*$BH10*$BI10-BM10</f>
        <v>0</v>
      </c>
      <c r="BR10" s="2">
        <f t="shared" si="15"/>
        <v>0</v>
      </c>
      <c r="BS10" s="2">
        <f t="shared" si="16"/>
        <v>10.135999999999999</v>
      </c>
      <c r="BT10" s="7">
        <f t="shared" si="17"/>
        <v>10.144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Tabelle51218247127686111[[#This Row],[Height]]*Tabelle51218247127686111[[#This Row],[Length]]</f>
        <v>8.1760000000000002</v>
      </c>
      <c r="R11" s="42">
        <f t="shared" si="1"/>
        <v>2.8</v>
      </c>
      <c r="S11" s="3">
        <v>0</v>
      </c>
      <c r="T11" s="40">
        <f>Tabelle51218247127686111[[#This Row],[Height2]]*Tabelle51218247127686111[[#This Row],[Length3]]</f>
        <v>0</v>
      </c>
      <c r="U11" s="42">
        <f t="shared" si="3"/>
        <v>2.8</v>
      </c>
      <c r="V11" s="3">
        <v>0</v>
      </c>
      <c r="W11" s="3">
        <f>(1-$BQ$16)*Tabelle291521497383108[[#This Row],[North2]]+(1-$BR$16)*Tabelle291521497383108[[#This Row],[East2]]+(1-$BS$16)*Tabelle291521497383108[[#This Row],[South2]]+(1-$BT$16)*Tabelle291521497383108[[#This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IF(Tabelle181420387282107[[#This Row],[(f)loor/(c )eiling]]="c",Tabelle181420387282107[[#This Row],[Total Area size '[m^2']]],0)</f>
        <v>1.8</v>
      </c>
      <c r="Z11" s="42">
        <f>IF(Tabelle181420387282107[[#This Row],[(f)loor/(c )eiling]]="f",Tabelle181420387282107[[#This Row],[Total Area size '[m^2']]],0)</f>
        <v>0</v>
      </c>
      <c r="AA11" s="5"/>
      <c r="AB11" s="2">
        <v>0</v>
      </c>
      <c r="AC11" s="2">
        <v>0</v>
      </c>
      <c r="AD11" s="2">
        <v>0</v>
      </c>
      <c r="AE11" s="2">
        <v>1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1</v>
      </c>
      <c r="AJ11" s="2">
        <v>0</v>
      </c>
      <c r="AK11" s="2">
        <v>0</v>
      </c>
      <c r="AL11" s="2">
        <v>0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Tabelle31016225107484109[[#This Row],[North]]*$AH11+AK11*$AO11+AR11*$AV11+AY11*$BC11+BF11*$BJ11</f>
        <v>0</v>
      </c>
      <c r="BN11" s="2">
        <f t="shared" si="12"/>
        <v>0</v>
      </c>
      <c r="BO11" s="2">
        <f t="shared" si="13"/>
        <v>0</v>
      </c>
      <c r="BP11" s="2">
        <f t="shared" si="14"/>
        <v>0.64</v>
      </c>
      <c r="BQ11" s="6">
        <f>Tabelle31016225107484109[[#This Row],[North]]*$AF11*$AG11+AK11*$AM11*$AN11+AR11*$AT11*$AU11+AY11*$BA11*$BB11+BF11*$BH11*$BI11-BM11</f>
        <v>0</v>
      </c>
      <c r="BR11" s="2">
        <f t="shared" si="15"/>
        <v>0</v>
      </c>
      <c r="BS11" s="2">
        <f t="shared" si="16"/>
        <v>3.5419999999999994</v>
      </c>
      <c r="BT11" s="7">
        <f t="shared" si="17"/>
        <v>5.5200000000000005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Tabelle51218247127686111[[#This Row],[Height]]*Tabelle51218247127686111[[#This Row],[Length]]</f>
        <v>14.391999999999998</v>
      </c>
      <c r="R12" s="42">
        <f t="shared" si="1"/>
        <v>2.8</v>
      </c>
      <c r="S12" s="3">
        <v>0</v>
      </c>
      <c r="T12" s="40">
        <f>Tabelle51218247127686111[[#This Row],[Height2]]*Tabelle51218247127686111[[#This Row],[Length3]]</f>
        <v>0</v>
      </c>
      <c r="U12" s="42">
        <f t="shared" si="3"/>
        <v>2.8</v>
      </c>
      <c r="V12" s="3">
        <v>0</v>
      </c>
      <c r="W12" s="3">
        <f>(1-$BQ$16)*Tabelle291521497383108[[#This Row],[North2]]+(1-$BR$16)*Tabelle291521497383108[[#This Row],[East2]]+(1-$BS$16)*Tabelle291521497383108[[#This Row],[South2]]+(1-$BT$16)*Tabelle291521497383108[[#This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IF(Tabelle181420387282107[[#This Row],[(f)loor/(c )eiling]]="c",Tabelle181420387282107[[#This Row],[Total Area size '[m^2']]],0)</f>
        <v>12</v>
      </c>
      <c r="Z12" s="42">
        <f>IF(Tabelle181420387282107[[#This Row],[(f)loor/(c )eiling]]="f",Tabelle181420387282107[[#This Row],[Total Area size '[m^2']]],0)</f>
        <v>0</v>
      </c>
      <c r="AA12" s="5"/>
      <c r="AB12" s="2">
        <v>0</v>
      </c>
      <c r="AC12" s="2">
        <v>0</v>
      </c>
      <c r="AD12" s="2">
        <v>0</v>
      </c>
      <c r="AE12" s="2">
        <v>1</v>
      </c>
      <c r="AF12" s="42">
        <f t="shared" si="4"/>
        <v>2.8</v>
      </c>
      <c r="AG12" s="2">
        <f>0.9+0.75</f>
        <v>1.65</v>
      </c>
      <c r="AH12" s="44">
        <v>0</v>
      </c>
      <c r="AI12" s="6">
        <v>1</v>
      </c>
      <c r="AJ12" s="2">
        <v>0</v>
      </c>
      <c r="AK12" s="2">
        <v>0</v>
      </c>
      <c r="AL12" s="2">
        <v>0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Tabelle31016225107484109[[#This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Tabelle31016225107484109[[#This Row],[North]]*$AF12*$AG12+AK12*$AM12*$AN12+AR12*$AT12*$AU12+AY12*$BA12*$BB12+BF12*$BH12*$BI12-BM12</f>
        <v>0</v>
      </c>
      <c r="BR12" s="2">
        <f t="shared" si="15"/>
        <v>0</v>
      </c>
      <c r="BS12" s="2">
        <f t="shared" si="16"/>
        <v>7.4759999999999991</v>
      </c>
      <c r="BT12" s="7">
        <f t="shared" si="17"/>
        <v>4.6199999999999992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Tabelle51218247127686111[[#This Row],[Height]]*Tabelle51218247127686111[[#This Row],[Length]]</f>
        <v>17.64</v>
      </c>
      <c r="R13" s="42">
        <f t="shared" si="1"/>
        <v>2.8</v>
      </c>
      <c r="S13" s="33">
        <v>0</v>
      </c>
      <c r="T13" s="40">
        <f>Tabelle51218247127686111[[#This Row],[Height2]]*Tabelle51218247127686111[[#This Row],[Length3]]</f>
        <v>0</v>
      </c>
      <c r="U13" s="42">
        <f t="shared" si="3"/>
        <v>2.8</v>
      </c>
      <c r="V13" s="3">
        <v>0</v>
      </c>
      <c r="W13" s="3">
        <f>(1-$BQ$16)*Tabelle291521497383108[[#This Row],[North2]]+(1-$BR$16)*Tabelle291521497383108[[#This Row],[East2]]+(1-$BS$16)*Tabelle291521497383108[[#This Row],[South2]]+(1-$BT$16)*Tabelle291521497383108[[#This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IF(Tabelle181420387282107[[#This Row],[(f)loor/(c )eiling]]="c",Tabelle181420387282107[[#This Row],[Total Area size '[m^2']]],0)</f>
        <v>4.5</v>
      </c>
      <c r="Z13" s="42">
        <f>IF(Tabelle181420387282107[[#This Row],[(f)loor/(c )eiling]]="f",Tabelle181420387282107[[#This Row],[Total Area size '[m^2']]],0)</f>
        <v>0</v>
      </c>
      <c r="AA13" s="5"/>
      <c r="AB13" s="2">
        <v>1</v>
      </c>
      <c r="AC13" s="2">
        <v>0</v>
      </c>
      <c r="AD13" s="2">
        <v>0</v>
      </c>
      <c r="AE13" s="2">
        <v>0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Tabelle31016225107484109[[#This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Tabelle31016225107484109[[#This Row],[North]]*$AF13*$AG13+AK13*$AM13*$AN13+AR13*$AT13*$AU13+AY13*$BA13*$BB13+BF13*$BH13*$BI13-BM13</f>
        <v>0</v>
      </c>
      <c r="BR13" s="2">
        <f t="shared" si="15"/>
        <v>0</v>
      </c>
      <c r="BS13" s="2">
        <f t="shared" si="16"/>
        <v>6.5940000000000012</v>
      </c>
      <c r="BT13" s="7">
        <f t="shared" si="17"/>
        <v>0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Tabelle51218247127686111[[#This Row],[Height]]*Tabelle51218247127686111[[#This Row],[Length]]</f>
        <v>0</v>
      </c>
      <c r="R14" s="42">
        <f t="shared" si="1"/>
        <v>2.8</v>
      </c>
      <c r="S14" s="3">
        <v>0</v>
      </c>
      <c r="T14" s="40">
        <f>Tabelle51218247127686111[[#This Row],[Height2]]*Tabelle51218247127686111[[#This Row],[Length3]]</f>
        <v>0</v>
      </c>
      <c r="U14" s="42">
        <f t="shared" si="3"/>
        <v>2.8</v>
      </c>
      <c r="V14" s="3">
        <v>0</v>
      </c>
      <c r="W14" s="3">
        <f>(1-$BQ$16)*Tabelle291521497383108[[#This Row],[North2]]+(1-$BR$16)*Tabelle291521497383108[[#This Row],[East2]]+(1-$BS$16)*Tabelle291521497383108[[#This Row],[South2]]+(1-$BT$16)*Tabelle291521497383108[[#This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IF(Tabelle181420387282107[[#This Row],[(f)loor/(c )eiling]]="c",Tabelle181420387282107[[#This Row],[Total Area size '[m^2']]],0)</f>
        <v>0</v>
      </c>
      <c r="Z14" s="42">
        <f>IF(Tabelle181420387282107[[#This Row],[(f)loor/(c )eiling]]="f",Tabelle181420387282107[[#This Row],[Total Area size '[m^2']]],0)</f>
        <v>7.7</v>
      </c>
      <c r="AA14" s="5"/>
      <c r="AB14" s="2">
        <v>1</v>
      </c>
      <c r="AC14" s="2">
        <v>0</v>
      </c>
      <c r="AD14" s="2">
        <v>0</v>
      </c>
      <c r="AE14" s="2">
        <v>0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Tabelle31016225107484109[[#This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Tabelle31016225107484109[[#This Row],[North]]*$AF14*$AG14+AK14*$AM14*$AN14+AR14*$AT14*$AU14+AY14*$BA14*$BB14+BF14*$BH14*$BI14-BM14</f>
        <v>0</v>
      </c>
      <c r="BR14" s="2">
        <f t="shared" ref="BR14" si="21">AC14*$AF14*$AG14+AJ14*$AM14*$AN14+AQ14*$AT14*$AU14+AX14*$BA14*$BB14+BE14*$BH14*$BI14-BN14</f>
        <v>0</v>
      </c>
      <c r="BS14" s="2">
        <f t="shared" ref="BS14" si="22">AB14*$AF14*$AG14+AI14*$AM14*$AN14+AP14*$AT14*$AU14+AW14*$BA14*$BB14+BD14*$BH14*$BI14-BO14</f>
        <v>7.4759999999999991</v>
      </c>
      <c r="BT14" s="7">
        <f t="shared" ref="BT14" si="23">AE14*$AF14*$AG14+AL14*$AM14*$AN14+AS14*$AT14*$AU14+AZ14*$BA14*$BB14+BG14*$BH14*$BI14-BP14</f>
        <v>0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>
        <f>Tabelle5121824712[[#This Row],[Height22]]*Tabelle5121824712[[#This Row],[Length33]]+Tabelle5121824712[[#This Row],[Length34]]/2</f>
        <v>0</v>
      </c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24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>
        <f>Tabelle5121824712[[#This Row],[Height22]]*Tabelle5121824712[[#This Row],[Length33]]+Tabelle5121824712[[#This Row],[Length34]]/2</f>
        <v>0</v>
      </c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1</v>
      </c>
      <c r="BR16" s="2">
        <v>1</v>
      </c>
      <c r="BS16" s="2">
        <v>0</v>
      </c>
      <c r="BT16" s="2">
        <v>1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24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>
        <f>Tabelle5121824712[[#This Row],[Height22]]*Tabelle5121824712[[#This Row],[Length33]]+Tabelle5121824712[[#This Row],[Length34]]/2</f>
        <v>0</v>
      </c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>
        <f>Tabelle5121824712[[#This Row],[Height22]]*Tabelle5121824712[[#This Row],[Length33]]+Tabelle5121824712[[#This Row],[Length34]]/2</f>
        <v>0</v>
      </c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6.6</v>
      </c>
      <c r="BN22" s="61">
        <f t="shared" ref="BN22:BP25" si="25">SUMIF($C$5:$C$18,$BL22,BN$5:BN$18)</f>
        <v>8.7100000000000009</v>
      </c>
      <c r="BO22" s="61">
        <f t="shared" si="25"/>
        <v>0</v>
      </c>
      <c r="BP22" s="61">
        <f t="shared" si="25"/>
        <v>2.2200000000000002</v>
      </c>
      <c r="BQ22" s="61">
        <f t="shared" ref="BQ22:BT25" si="26">SUMIF($C$5:$C$18,$BL22,BQ$5:BQ$18)*BQ$16</f>
        <v>25.040000000000003</v>
      </c>
      <c r="BR22" s="61">
        <f t="shared" si="26"/>
        <v>14.501999999999995</v>
      </c>
      <c r="BS22" s="61">
        <f t="shared" si="26"/>
        <v>0</v>
      </c>
      <c r="BT22" s="61">
        <f t="shared" si="26"/>
        <v>10.211999999999998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25"/>
        <v>0</v>
      </c>
      <c r="BO23" s="61">
        <f t="shared" si="25"/>
        <v>0</v>
      </c>
      <c r="BP23" s="61">
        <f t="shared" si="25"/>
        <v>0.64</v>
      </c>
      <c r="BQ23" s="61">
        <f t="shared" si="26"/>
        <v>0</v>
      </c>
      <c r="BR23" s="61">
        <f t="shared" si="26"/>
        <v>0</v>
      </c>
      <c r="BS23" s="61">
        <f t="shared" si="26"/>
        <v>0</v>
      </c>
      <c r="BT23" s="61">
        <f t="shared" si="26"/>
        <v>10.14</v>
      </c>
      <c r="BU23" s="61">
        <f t="shared" ref="BU23:BU25" si="27">SUMIF($C$5:$C$18,$BL23,BU$5:BU$18)</f>
        <v>7.7</v>
      </c>
      <c r="BV23" s="61">
        <f t="shared" ref="BV23:BV25" si="28">BU23*$BU$30</f>
        <v>15.238461538461538</v>
      </c>
      <c r="BW23" s="61">
        <f t="shared" ref="BW23:BW25" si="29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30">SUMIF($C$5:$C$18,$C24,$Y$5:$Y$18)/$G$2</f>
        <v>9.15</v>
      </c>
      <c r="Z24" s="55">
        <f t="shared" ref="Z24:Z26" si="31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5.76</v>
      </c>
      <c r="BN24" s="61">
        <f t="shared" si="25"/>
        <v>2</v>
      </c>
      <c r="BO24" s="61">
        <f t="shared" si="25"/>
        <v>0</v>
      </c>
      <c r="BP24" s="61">
        <f t="shared" si="25"/>
        <v>0</v>
      </c>
      <c r="BQ24" s="61">
        <f t="shared" si="26"/>
        <v>25.88</v>
      </c>
      <c r="BR24" s="61">
        <f t="shared" si="26"/>
        <v>21.212000000000003</v>
      </c>
      <c r="BS24" s="61">
        <f t="shared" si="26"/>
        <v>0</v>
      </c>
      <c r="BT24" s="61">
        <f t="shared" si="26"/>
        <v>12.068000000000001</v>
      </c>
      <c r="BU24" s="61">
        <f t="shared" si="27"/>
        <v>42.6</v>
      </c>
      <c r="BV24" s="61">
        <f t="shared" si="28"/>
        <v>84.306293706293701</v>
      </c>
      <c r="BW24" s="61">
        <f t="shared" si="29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30"/>
        <v>0</v>
      </c>
      <c r="Z25" s="55">
        <f t="shared" si="31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25"/>
        <v>0</v>
      </c>
      <c r="BO25" s="61">
        <f t="shared" si="25"/>
        <v>0</v>
      </c>
      <c r="BP25" s="61">
        <f t="shared" si="25"/>
        <v>1</v>
      </c>
      <c r="BQ25" s="61">
        <f t="shared" si="26"/>
        <v>0</v>
      </c>
      <c r="BR25" s="61">
        <f t="shared" si="26"/>
        <v>0</v>
      </c>
      <c r="BS25" s="61">
        <f t="shared" si="26"/>
        <v>0</v>
      </c>
      <c r="BT25" s="61">
        <f t="shared" si="26"/>
        <v>10.144</v>
      </c>
      <c r="BU25" s="61">
        <f t="shared" si="27"/>
        <v>6.9</v>
      </c>
      <c r="BV25" s="61">
        <f t="shared" si="28"/>
        <v>13.655244755244755</v>
      </c>
      <c r="BW25" s="61">
        <f t="shared" si="29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30"/>
        <v>0</v>
      </c>
      <c r="Z26" s="55">
        <f t="shared" si="31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32">SUM(BM22:BM26)</f>
        <v>12.36</v>
      </c>
      <c r="BN27" s="66">
        <f t="shared" si="32"/>
        <v>10.71</v>
      </c>
      <c r="BO27" s="66">
        <f t="shared" si="32"/>
        <v>0</v>
      </c>
      <c r="BP27" s="66">
        <f t="shared" si="32"/>
        <v>3.8600000000000003</v>
      </c>
      <c r="BQ27" s="66">
        <f t="shared" si="32"/>
        <v>50.92</v>
      </c>
      <c r="BR27" s="66">
        <f t="shared" si="32"/>
        <v>35.713999999999999</v>
      </c>
      <c r="BS27" s="66">
        <f t="shared" si="32"/>
        <v>0</v>
      </c>
      <c r="BT27" s="66">
        <f t="shared" si="32"/>
        <v>42.564</v>
      </c>
      <c r="BU27" s="66">
        <f t="shared" si="32"/>
        <v>57.2</v>
      </c>
      <c r="BV27" s="66">
        <f t="shared" si="32"/>
        <v>113.19999999999999</v>
      </c>
      <c r="BW27" s="66">
        <f t="shared" si="32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33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33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33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  <row r="46" spans="9:68" x14ac:dyDescent="0.25">
      <c r="V46" t="s">
        <v>130</v>
      </c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32" priority="2" operator="lessThan">
      <formula>0.03</formula>
    </cfRule>
  </conditionalFormatting>
  <conditionalFormatting sqref="I23:I28">
    <cfRule type="cellIs" dxfId="31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zoomScale="70" zoomScaleNormal="70" workbookViewId="0">
      <pane xSplit="2" ySplit="4" topLeftCell="BN17" activePane="bottomRight" state="frozen"/>
      <selection activeCell="X55" sqref="X55"/>
      <selection pane="topRight" activeCell="X55" sqref="X55"/>
      <selection pane="bottomLeft" activeCell="X55" sqref="X55"/>
      <selection pane="bottomRight" activeCell="BY30" sqref="BY30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5" width="12.85546875" customWidth="1"/>
    <col min="76" max="76" width="18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120</v>
      </c>
      <c r="D2" s="19"/>
      <c r="E2" s="19">
        <v>2014</v>
      </c>
      <c r="G2" s="19">
        <v>3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5"/>
      <c r="AI3" s="75"/>
      <c r="AJ3" s="20"/>
      <c r="AK3" s="88" t="s">
        <v>66</v>
      </c>
      <c r="AL3" s="89"/>
      <c r="AM3" s="89"/>
      <c r="AN3" s="89"/>
      <c r="AO3" s="75"/>
      <c r="AP3" s="75"/>
      <c r="AQ3" s="20"/>
      <c r="AR3" s="90" t="s">
        <v>67</v>
      </c>
      <c r="AS3" s="90"/>
      <c r="AT3" s="90"/>
      <c r="AU3" s="90"/>
      <c r="AV3" s="76"/>
      <c r="AW3" s="76"/>
      <c r="AX3" s="76"/>
      <c r="AY3" s="90" t="s">
        <v>68</v>
      </c>
      <c r="AZ3" s="90"/>
      <c r="BA3" s="90"/>
      <c r="BB3" s="90"/>
      <c r="BC3" s="76"/>
      <c r="BD3" s="76"/>
      <c r="BE3" s="76"/>
      <c r="BF3" s="85" t="s">
        <v>69</v>
      </c>
      <c r="BG3" s="85"/>
      <c r="BH3" s="85"/>
      <c r="BI3" s="85"/>
      <c r="BJ3" s="76"/>
      <c r="BK3" s="76"/>
      <c r="BL3" s="76"/>
      <c r="BM3" s="76"/>
      <c r="BN3" s="76"/>
      <c r="BO3" s="21" t="s">
        <v>28</v>
      </c>
      <c r="BP3" s="75"/>
      <c r="BQ3" s="75"/>
      <c r="BR3" s="75"/>
      <c r="BS3" s="22" t="s">
        <v>29</v>
      </c>
      <c r="BT3" s="75"/>
      <c r="BU3" s="75"/>
      <c r="BV3" s="22"/>
      <c r="BW3" s="22"/>
      <c r="BX3" s="22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2" t="s">
        <v>140</v>
      </c>
      <c r="BX4" s="91" t="s">
        <v>31</v>
      </c>
    </row>
    <row r="5" spans="1:77" x14ac:dyDescent="0.25">
      <c r="A5" s="40">
        <v>1</v>
      </c>
      <c r="B5" s="2" t="s">
        <v>93</v>
      </c>
      <c r="C5" s="2" t="s">
        <v>101</v>
      </c>
      <c r="D5" s="2"/>
      <c r="E5" s="37" t="s">
        <v>112</v>
      </c>
      <c r="F5" s="2"/>
      <c r="G5" s="37" t="s">
        <v>106</v>
      </c>
      <c r="H5" s="40">
        <v>32.4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f t="shared" ref="Q5:Q6" si="1">3.3-1.85</f>
        <v>1.4499999999999997</v>
      </c>
      <c r="R5" s="40">
        <f>Tabelle512182471251[[#This Row],[Height]]*Tabelle512182471251[[#This Row],[Length]]</f>
        <v>4.0599999999999987</v>
      </c>
      <c r="S5" s="42">
        <f t="shared" ref="S5:S16" si="2">$H$2</f>
        <v>2.8</v>
      </c>
      <c r="T5" s="3">
        <f t="shared" ref="T5" si="3">0.11+0.11+0.9+3.88</f>
        <v>5</v>
      </c>
      <c r="U5" s="40">
        <f>Tabelle512182471251[[#This Row],[Height2]]*Tabelle512182471251[[#This Row],[Length3]]</f>
        <v>14</v>
      </c>
      <c r="V5" s="42">
        <f t="shared" ref="V5:V16" si="4">$H$2</f>
        <v>2.8</v>
      </c>
      <c r="W5" s="3">
        <v>0</v>
      </c>
      <c r="X5" s="3">
        <f>(1-$BR$19)*Tabelle2915214948[[#This Row],[North2]]+(1-$BS$19)*Tabelle2915214948[[#This Row],[East2]]+(1-$BT$19)*Tabelle2915214948[[#This Row],[South2]]+(1-$BU$19)*Tabelle2915214948[[#This Row],[West2]]</f>
        <v>25.087999999999997</v>
      </c>
      <c r="Y5" s="40">
        <f>Tabelle512182471251[[#This Row],[Height22]]*Tabelle512182471251[[#This Row],[Length33]]+Tabelle512182471251[[#This Row],[Length332]]/2</f>
        <v>12.543999999999999</v>
      </c>
      <c r="Z5" s="42">
        <f>IF(Tabelle1814203847[[#This Row],[ceiling]]="c",Tabelle1814203847[[#This Row],[Total Area size '[m^2']]],0)</f>
        <v>32.4</v>
      </c>
      <c r="AA5" s="42">
        <f>IF(Tabelle1814203847[[#This Row],[floor]]="f",Tabelle1814203847[[#This Row],[Total Area size '[m^2']]],0)</f>
        <v>0</v>
      </c>
      <c r="AB5" s="5"/>
      <c r="AC5" s="2">
        <v>0</v>
      </c>
      <c r="AD5" s="2">
        <v>0</v>
      </c>
      <c r="AE5" s="2">
        <v>1</v>
      </c>
      <c r="AF5" s="2">
        <v>0</v>
      </c>
      <c r="AG5" s="42">
        <f t="shared" ref="AG5:AG16" si="5">$H$2</f>
        <v>2.8</v>
      </c>
      <c r="AH5" s="2">
        <v>4.0599999999999996</v>
      </c>
      <c r="AI5" s="44">
        <v>5.28</v>
      </c>
      <c r="AJ5" s="6">
        <v>0</v>
      </c>
      <c r="AK5" s="2">
        <v>1</v>
      </c>
      <c r="AL5" s="2">
        <v>0</v>
      </c>
      <c r="AM5" s="2">
        <v>0</v>
      </c>
      <c r="AN5" s="42">
        <f t="shared" ref="AN5:AN16" si="6">$H$2</f>
        <v>2.8</v>
      </c>
      <c r="AO5" s="2">
        <f t="shared" ref="AO5" si="7">8.78+0.18</f>
        <v>8.9599999999999991</v>
      </c>
      <c r="AP5" s="44">
        <v>0</v>
      </c>
      <c r="AQ5" s="6">
        <v>1</v>
      </c>
      <c r="AR5" s="2">
        <v>0</v>
      </c>
      <c r="AS5" s="2">
        <v>0</v>
      </c>
      <c r="AT5" s="2">
        <v>0</v>
      </c>
      <c r="AU5" s="42">
        <f t="shared" ref="AU5:AU14" si="8">$H$2</f>
        <v>2.8</v>
      </c>
      <c r="AV5" s="2">
        <f t="shared" ref="AV5" si="9">0.15+0.75+2.4+0.96</f>
        <v>4.26</v>
      </c>
      <c r="AW5" s="44">
        <v>2.88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Tabelle310162251049[[#This Row],[North]]*$AI5+AL5*$AP5+AS5*$AW5+AZ5*$BD5+BG5*$BK5</f>
        <v>5.28</v>
      </c>
      <c r="BO5" s="2">
        <f t="shared" ref="BO5:BO13" si="12">AD5*$AI5+AK5*$AP5+AR5*$AW5+AY5*$BD5+BF5*$BK5</f>
        <v>0</v>
      </c>
      <c r="BP5" s="2">
        <f t="shared" ref="BP5:BP13" si="13">AC5*$AI5+AJ5*$AP5+AQ5*$AW5+AX5*$BD5+BE5*$BK5</f>
        <v>2.88</v>
      </c>
      <c r="BQ5" s="2">
        <f t="shared" ref="BQ5:BQ13" si="14">AF5*$AI5+AM5*$AP5+AT5*$AW5+BA5*$BD5+BH5*$BK5</f>
        <v>0</v>
      </c>
      <c r="BR5" s="6">
        <f>Tabelle310162251049[[#This Row],[North]]*$AG5*$AH5+AL5*$AN5*$AO5+AS5*$AU5*$AV5+AZ5*$BB5*$BC5+BG5*$BI5*$BJ5-BN5</f>
        <v>6.0879999999999983</v>
      </c>
      <c r="BS5" s="2">
        <f t="shared" ref="BS5:BS13" si="15">AD5*$AG5*$AH5+AK5*$AN5*$AO5+AR5*$AU5*$AV5+AY5*$BB5*$BC5+BF5*$BI5*$BJ5-BO5</f>
        <v>25.087999999999997</v>
      </c>
      <c r="BT5" s="2">
        <f t="shared" ref="BT5:BT13" si="16">AC5*$AG5*$AH5+AJ5*$AN5*$AO5+AQ5*$AU5*$AV5+AX5*$BB5*$BC5+BE5*$BI5*$BJ5-BP5</f>
        <v>9.0479999999999983</v>
      </c>
      <c r="BU5" s="7">
        <f t="shared" ref="BU5:BU13" si="17">AF5*$AG5*$AH5+AM5*$AN5*$AO5+AT5*$AU5*$AV5+BA5*$BB5*$BC5+BH5*$BI5*$BJ5-BQ5</f>
        <v>0</v>
      </c>
      <c r="BV5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5" s="2"/>
      <c r="BX5" s="2">
        <f>IF(Tabelle1814203847[[#This Row],[(g)round/(r )oof2]]="G",Tabelle1814203847[[#This Row],[Total Area size '[m^2']]],IF(Tabelle1814203847[[#This Row],[(g)round/(r )oof2]]="B",Tabelle1814203847[[#This Row],[Total Area size '[m^2']]],0))</f>
        <v>32.4</v>
      </c>
    </row>
    <row r="6" spans="1:77" x14ac:dyDescent="0.25">
      <c r="A6" s="40">
        <v>2</v>
      </c>
      <c r="B6" s="2" t="s">
        <v>11</v>
      </c>
      <c r="C6" s="2" t="s">
        <v>101</v>
      </c>
      <c r="D6" s="2"/>
      <c r="E6" s="37" t="s">
        <v>112</v>
      </c>
      <c r="F6" s="2"/>
      <c r="G6" s="37" t="s">
        <v>106</v>
      </c>
      <c r="H6" s="40">
        <v>11.2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f t="shared" si="1"/>
        <v>1.4499999999999997</v>
      </c>
      <c r="R6" s="40">
        <f>Tabelle512182471251[[#This Row],[Height]]*Tabelle512182471251[[#This Row],[Length]]</f>
        <v>4.0599999999999987</v>
      </c>
      <c r="S6" s="42">
        <f t="shared" si="2"/>
        <v>2.8</v>
      </c>
      <c r="T6" s="3">
        <v>1.9</v>
      </c>
      <c r="U6" s="40">
        <f>Tabelle512182471251[[#This Row],[Height2]]*Tabelle512182471251[[#This Row],[Length3]]</f>
        <v>5.3199999999999994</v>
      </c>
      <c r="V6" s="42">
        <f t="shared" si="4"/>
        <v>2.8</v>
      </c>
      <c r="W6" s="3">
        <v>0</v>
      </c>
      <c r="X6" s="3">
        <f>(1-$BR$19)*Tabelle2915214948[[#This Row],[North2]]+(1-$BS$19)*Tabelle2915214948[[#This Row],[East2]]+(1-$BT$19)*Tabelle2915214948[[#This Row],[South2]]+(1-$BU$19)*Tabelle2915214948[[#This Row],[West2]]</f>
        <v>23.101999999999997</v>
      </c>
      <c r="Y6" s="40">
        <f>Tabelle512182471251[[#This Row],[Height22]]*Tabelle512182471251[[#This Row],[Length33]]+Tabelle512182471251[[#This Row],[Length332]]/2</f>
        <v>11.550999999999998</v>
      </c>
      <c r="Z6" s="42">
        <f>IF(Tabelle1814203847[[#This Row],[ceiling]]="c",Tabelle1814203847[[#This Row],[Total Area size '[m^2']]],0)</f>
        <v>11.2</v>
      </c>
      <c r="AA6" s="42">
        <f>IF(Tabelle1814203847[[#This Row],[floor]]="f",Tabelle1814203847[[#This Row],[Total Area size '[m^2']]],0)</f>
        <v>0</v>
      </c>
      <c r="AB6" s="5"/>
      <c r="AC6" s="2">
        <v>0</v>
      </c>
      <c r="AD6" s="2">
        <v>0</v>
      </c>
      <c r="AE6" s="2">
        <v>1</v>
      </c>
      <c r="AF6" s="2">
        <v>0</v>
      </c>
      <c r="AG6" s="42">
        <f t="shared" si="5"/>
        <v>2.8</v>
      </c>
      <c r="AH6" s="2">
        <v>2.38</v>
      </c>
      <c r="AI6" s="44">
        <v>0.63</v>
      </c>
      <c r="AJ6" s="6">
        <v>0</v>
      </c>
      <c r="AK6" s="3">
        <v>1</v>
      </c>
      <c r="AL6" s="2">
        <v>0</v>
      </c>
      <c r="AM6" s="2">
        <v>0</v>
      </c>
      <c r="AN6" s="42">
        <f t="shared" si="6"/>
        <v>2.8</v>
      </c>
      <c r="AO6" s="2">
        <f>2.6+0.18</f>
        <v>2.7800000000000002</v>
      </c>
      <c r="AP6" s="44">
        <v>2.2799999999999998</v>
      </c>
      <c r="AQ6" s="6">
        <v>0</v>
      </c>
      <c r="AR6" s="2">
        <v>0</v>
      </c>
      <c r="AS6" s="2">
        <v>0</v>
      </c>
      <c r="AT6" s="2">
        <v>1</v>
      </c>
      <c r="AU6" s="42">
        <f t="shared" si="8"/>
        <v>2.8</v>
      </c>
      <c r="AV6" s="2">
        <v>6.2850000000000001</v>
      </c>
      <c r="AW6" s="44">
        <v>0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Tabelle310162251049[[#This Row],[North]]*$AI6+AL6*$AP6+AS6*$AW6+AZ6*$BD6+BG6*$BK6</f>
        <v>0.63</v>
      </c>
      <c r="BO6" s="2">
        <f t="shared" si="12"/>
        <v>2.2799999999999998</v>
      </c>
      <c r="BP6" s="2">
        <f t="shared" si="13"/>
        <v>0</v>
      </c>
      <c r="BQ6" s="2">
        <f t="shared" si="14"/>
        <v>0</v>
      </c>
      <c r="BR6" s="6">
        <f>Tabelle310162251049[[#This Row],[North]]*$AG6*$AH6+AL6*$AN6*$AO6+AS6*$AU6*$AV6+AZ6*$BB6*$BC6+BG6*$BI6*$BJ6-BN6</f>
        <v>6.0339999999999998</v>
      </c>
      <c r="BS6" s="2">
        <f t="shared" si="15"/>
        <v>5.5039999999999996</v>
      </c>
      <c r="BT6" s="2">
        <f t="shared" si="16"/>
        <v>0</v>
      </c>
      <c r="BU6" s="7">
        <f t="shared" si="17"/>
        <v>17.597999999999999</v>
      </c>
      <c r="BV6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6" s="2"/>
      <c r="BX6" s="2">
        <f>IF(Tabelle1814203847[[#This Row],[(g)round/(r )oof2]]="G",Tabelle1814203847[[#This Row],[Total Area size '[m^2']]],IF(Tabelle1814203847[[#This Row],[(g)round/(r )oof2]]="B",Tabelle1814203847[[#This Row],[Total Area size '[m^2']]],0))</f>
        <v>11.2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/>
      <c r="H7" s="40">
        <v>17.399999999999999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f>3.9+3.3</f>
        <v>7.1999999999999993</v>
      </c>
      <c r="R7" s="40">
        <f>Tabelle512182471251[[#This Row],[Height]]*Tabelle512182471251[[#This Row],[Length]]</f>
        <v>20.159999999999997</v>
      </c>
      <c r="S7" s="42">
        <f t="shared" si="2"/>
        <v>2.8</v>
      </c>
      <c r="T7" s="3">
        <f>4.45-3.3</f>
        <v>1.1500000000000004</v>
      </c>
      <c r="U7" s="40">
        <f>Tabelle512182471251[[#This Row],[Height2]]*Tabelle512182471251[[#This Row],[Length3]]</f>
        <v>3.2200000000000006</v>
      </c>
      <c r="V7" s="42">
        <f t="shared" si="4"/>
        <v>2.8</v>
      </c>
      <c r="W7" s="3">
        <v>0</v>
      </c>
      <c r="X7" s="3">
        <f>(1-$BR$19)*Tabelle2915214948[[#This Row],[North2]]+(1-$BS$19)*Tabelle2915214948[[#This Row],[East2]]+(1-$BT$19)*Tabelle2915214948[[#This Row],[South2]]+(1-$BU$19)*Tabelle2915214948[[#This Row],[West2]]</f>
        <v>13.537999999999998</v>
      </c>
      <c r="Y7" s="40">
        <f>Tabelle512182471251[[#This Row],[Height22]]*Tabelle512182471251[[#This Row],[Length33]]+Tabelle512182471251[[#This Row],[Length332]]/2</f>
        <v>6.7689999999999992</v>
      </c>
      <c r="Z7" s="42">
        <f>IF(Tabelle1814203847[[#This Row],[ceiling]]="c",Tabelle1814203847[[#This Row],[Total Area size '[m^2']]],0)</f>
        <v>17.399999999999999</v>
      </c>
      <c r="AA7" s="42">
        <f>IF(Tabelle1814203847[[#This Row],[floor]]="f",Tabelle1814203847[[#This Row],[Total Area size '[m^2']]],0)</f>
        <v>17.399999999999999</v>
      </c>
      <c r="AB7" s="5"/>
      <c r="AC7" s="2">
        <v>0</v>
      </c>
      <c r="AD7" s="2">
        <v>0</v>
      </c>
      <c r="AE7" s="2">
        <v>1</v>
      </c>
      <c r="AF7" s="2">
        <v>0</v>
      </c>
      <c r="AG7" s="42">
        <f t="shared" si="5"/>
        <v>2.8</v>
      </c>
      <c r="AH7" s="3">
        <v>4.13</v>
      </c>
      <c r="AI7" s="44">
        <v>2.88</v>
      </c>
      <c r="AJ7" s="6">
        <v>0</v>
      </c>
      <c r="AK7" s="2">
        <v>1</v>
      </c>
      <c r="AL7" s="2">
        <v>0</v>
      </c>
      <c r="AM7" s="2">
        <v>0</v>
      </c>
      <c r="AN7" s="42">
        <f t="shared" si="6"/>
        <v>2.8</v>
      </c>
      <c r="AO7" s="2">
        <f>0.33+4.45+0.055</f>
        <v>4.835</v>
      </c>
      <c r="AP7" s="44">
        <v>0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Tabelle310162251049[[#This Row],[North]]*$AI7+AL7*$AP7+AS7*$AW7+AZ7*$BD7+BG7*$BK7</f>
        <v>2.88</v>
      </c>
      <c r="BO7" s="2">
        <f t="shared" si="12"/>
        <v>0</v>
      </c>
      <c r="BP7" s="2">
        <f t="shared" si="13"/>
        <v>0</v>
      </c>
      <c r="BQ7" s="2">
        <f t="shared" si="14"/>
        <v>0</v>
      </c>
      <c r="BR7" s="6">
        <f>Tabelle310162251049[[#This Row],[North]]*$AG7*$AH7+AL7*$AN7*$AO7+AS7*$AU7*$AV7+AZ7*$BB7*$BC7+BG7*$BI7*$BJ7-BN7</f>
        <v>8.6839999999999975</v>
      </c>
      <c r="BS7" s="2">
        <f t="shared" si="15"/>
        <v>13.537999999999998</v>
      </c>
      <c r="BT7" s="2">
        <f t="shared" si="16"/>
        <v>0</v>
      </c>
      <c r="BU7" s="7">
        <f t="shared" si="17"/>
        <v>0</v>
      </c>
      <c r="BV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7" s="2"/>
      <c r="BX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/>
      <c r="H8" s="40">
        <v>14.6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3.9</f>
        <v>3.9</v>
      </c>
      <c r="R8" s="40">
        <f>Tabelle512182471251[[#This Row],[Height]]*Tabelle512182471251[[#This Row],[Length]]</f>
        <v>10.92</v>
      </c>
      <c r="S8" s="42">
        <f t="shared" si="2"/>
        <v>2.8</v>
      </c>
      <c r="T8" s="3">
        <f>3.74+0.11</f>
        <v>3.85</v>
      </c>
      <c r="U8" s="40">
        <f>Tabelle512182471251[[#This Row],[Height2]]*Tabelle512182471251[[#This Row],[Length3]]</f>
        <v>10.78</v>
      </c>
      <c r="V8" s="42">
        <f t="shared" si="4"/>
        <v>2.8</v>
      </c>
      <c r="W8" s="3">
        <v>0</v>
      </c>
      <c r="X8" s="3">
        <f>(1-$BR$19)*Tabelle2915214948[[#This Row],[North2]]+(1-$BS$19)*Tabelle2915214948[[#This Row],[East2]]+(1-$BT$19)*Tabelle2915214948[[#This Row],[South2]]+(1-$BU$19)*Tabelle2915214948[[#This Row],[West2]]</f>
        <v>11.045999999999999</v>
      </c>
      <c r="Y8" s="40">
        <f>Tabelle512182471251[[#This Row],[Height22]]*Tabelle512182471251[[#This Row],[Length33]]+Tabelle512182471251[[#This Row],[Length332]]/2</f>
        <v>5.5229999999999997</v>
      </c>
      <c r="Z8" s="42">
        <f>IF(Tabelle1814203847[[#This Row],[ceiling]]="c",Tabelle1814203847[[#This Row],[Total Area size '[m^2']]],0)</f>
        <v>14.6</v>
      </c>
      <c r="AA8" s="42">
        <f>IF(Tabelle1814203847[[#This Row],[floor]]="f",Tabelle1814203847[[#This Row],[Total Area size '[m^2']]],0)</f>
        <v>14.6</v>
      </c>
      <c r="AB8" s="5"/>
      <c r="AC8" s="2">
        <v>0</v>
      </c>
      <c r="AD8" s="2">
        <v>1</v>
      </c>
      <c r="AE8" s="2">
        <v>0</v>
      </c>
      <c r="AF8" s="2">
        <v>0</v>
      </c>
      <c r="AG8" s="42">
        <f t="shared" si="5"/>
        <v>2.8</v>
      </c>
      <c r="AH8" s="2">
        <f>0.055+3.74+0.15</f>
        <v>3.9450000000000003</v>
      </c>
      <c r="AI8" s="44">
        <v>0</v>
      </c>
      <c r="AJ8" s="6">
        <v>1</v>
      </c>
      <c r="AK8" s="2">
        <v>0</v>
      </c>
      <c r="AL8" s="2">
        <v>0</v>
      </c>
      <c r="AM8" s="2">
        <v>0</v>
      </c>
      <c r="AN8" s="42">
        <f t="shared" si="6"/>
        <v>2.8</v>
      </c>
      <c r="AO8" s="2">
        <f>0.15+0.75+2.4+0.75+0.105</f>
        <v>4.1550000000000002</v>
      </c>
      <c r="AP8" s="44">
        <v>2.88</v>
      </c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Tabelle310162251049[[#This Row],[North]]*$AI8+AL8*$AP8+AS8*$AW8+AZ8*$BD8+BG8*$BK8</f>
        <v>0</v>
      </c>
      <c r="BO8" s="2">
        <f t="shared" si="12"/>
        <v>0</v>
      </c>
      <c r="BP8" s="2">
        <f t="shared" si="13"/>
        <v>2.88</v>
      </c>
      <c r="BQ8" s="2">
        <f t="shared" si="14"/>
        <v>0</v>
      </c>
      <c r="BR8" s="6">
        <f>Tabelle310162251049[[#This Row],[North]]*$AG8*$AH8+AL8*$AN8*$AO8+AS8*$AU8*$AV8+AZ8*$BB8*$BC8+BG8*$BI8*$BJ8-BN8</f>
        <v>0</v>
      </c>
      <c r="BS8" s="2">
        <f t="shared" si="15"/>
        <v>11.045999999999999</v>
      </c>
      <c r="BT8" s="2">
        <f t="shared" si="16"/>
        <v>8.7540000000000013</v>
      </c>
      <c r="BU8" s="7">
        <f t="shared" si="17"/>
        <v>0</v>
      </c>
      <c r="BV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8" s="2"/>
      <c r="BX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/>
      <c r="F9" s="2"/>
      <c r="G9" s="37" t="s">
        <v>107</v>
      </c>
      <c r="H9" s="40">
        <v>16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3.9</v>
      </c>
      <c r="R9" s="40">
        <f>Tabelle512182471251[[#This Row],[Height]]*Tabelle512182471251[[#This Row],[Length]]</f>
        <v>10.92</v>
      </c>
      <c r="S9" s="42">
        <f t="shared" si="2"/>
        <v>2.8</v>
      </c>
      <c r="T9" s="3">
        <f>4.99+0.11</f>
        <v>5.1000000000000005</v>
      </c>
      <c r="U9" s="40">
        <f>Tabelle512182471251[[#This Row],[Height2]]*Tabelle512182471251[[#This Row],[Length3]]</f>
        <v>14.280000000000001</v>
      </c>
      <c r="V9" s="42">
        <f t="shared" si="4"/>
        <v>2.8</v>
      </c>
      <c r="W9" s="3">
        <v>0</v>
      </c>
      <c r="X9" s="3">
        <f>(1-$BR$19)*Tabelle2915214948[[#This Row],[North2]]+(1-$BS$19)*Tabelle2915214948[[#This Row],[East2]]+(1-$BT$19)*Tabelle2915214948[[#This Row],[South2]]+(1-$BU$19)*Tabelle2915214948[[#This Row],[West2]]</f>
        <v>15.049999999999999</v>
      </c>
      <c r="Y9" s="40">
        <f>Tabelle512182471251[[#This Row],[Height22]]*Tabelle512182471251[[#This Row],[Length33]]+Tabelle512182471251[[#This Row],[Length332]]/2</f>
        <v>7.5249999999999995</v>
      </c>
      <c r="Z9" s="42">
        <f>IF(Tabelle1814203847[[#This Row],[ceiling]]="c",Tabelle1814203847[[#This Row],[Total Area size '[m^2']]],0)</f>
        <v>0</v>
      </c>
      <c r="AA9" s="42">
        <f>IF(Tabelle1814203847[[#This Row],[floor]]="f",Tabelle1814203847[[#This Row],[Total Area size '[m^2']]],0)</f>
        <v>16</v>
      </c>
      <c r="AB9" s="5"/>
      <c r="AC9" s="2">
        <v>0</v>
      </c>
      <c r="AD9" s="2">
        <v>1</v>
      </c>
      <c r="AE9" s="2">
        <v>0</v>
      </c>
      <c r="AF9" s="2">
        <v>0</v>
      </c>
      <c r="AG9" s="42">
        <f t="shared" si="5"/>
        <v>2.8</v>
      </c>
      <c r="AH9" s="2">
        <f>0.055+4.99+0.33</f>
        <v>5.375</v>
      </c>
      <c r="AI9" s="44">
        <v>0</v>
      </c>
      <c r="AJ9" s="6">
        <v>1</v>
      </c>
      <c r="AK9" s="2">
        <v>0</v>
      </c>
      <c r="AL9" s="2">
        <v>0</v>
      </c>
      <c r="AM9" s="2">
        <v>0</v>
      </c>
      <c r="AN9" s="42">
        <f t="shared" si="6"/>
        <v>2.8</v>
      </c>
      <c r="AO9" s="2">
        <f>0.15+0.59+2.4+0.91+0.08</f>
        <v>4.13</v>
      </c>
      <c r="AP9" s="44">
        <v>2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Tabelle310162251049[[#This Row],[North]]*$AI9+AL9*$AP9+AS9*$AW9+AZ9*$BD9+BG9*$BK9</f>
        <v>0</v>
      </c>
      <c r="BO9" s="2">
        <f t="shared" si="12"/>
        <v>0</v>
      </c>
      <c r="BP9" s="2">
        <f t="shared" si="13"/>
        <v>2</v>
      </c>
      <c r="BQ9" s="2">
        <f t="shared" si="14"/>
        <v>0</v>
      </c>
      <c r="BR9" s="6">
        <f>Tabelle310162251049[[#This Row],[North]]*$AG9*$AH9+AL9*$AN9*$AO9+AS9*$AU9*$AV9+AZ9*$BB9*$BC9+BG9*$BI9*$BJ9-BN9</f>
        <v>0</v>
      </c>
      <c r="BS9" s="2">
        <f t="shared" si="15"/>
        <v>15.049999999999999</v>
      </c>
      <c r="BT9" s="2">
        <f t="shared" si="16"/>
        <v>9.5639999999999983</v>
      </c>
      <c r="BU9" s="7">
        <f t="shared" si="17"/>
        <v>0</v>
      </c>
      <c r="BV9" s="2">
        <f>IF(Tabelle1814203847[[#This Row],[(g)round/(r )oof2]]="R",Tabelle1814203847[[#This Row],[Total Area size '[m^2']]],IF(Tabelle1814203847[[#This Row],[(g)round/(r )oof2]]="B",Tabelle1814203847[[#This Row],[Total Area size '[m^2']]],0))</f>
        <v>16</v>
      </c>
      <c r="BW9" s="2"/>
      <c r="BX9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/>
      <c r="H10" s="40">
        <v>6.3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v>3.3</v>
      </c>
      <c r="R10" s="40">
        <f>Tabelle512182471251[[#This Row],[Height]]*Tabelle512182471251[[#This Row],[Length]]</f>
        <v>9.2399999999999984</v>
      </c>
      <c r="S10" s="42">
        <f t="shared" si="2"/>
        <v>2.8</v>
      </c>
      <c r="T10" s="3">
        <v>1.9</v>
      </c>
      <c r="U10" s="40">
        <f>Tabelle512182471251[[#This Row],[Height2]]*Tabelle512182471251[[#This Row],[Length3]]</f>
        <v>5.3199999999999994</v>
      </c>
      <c r="V10" s="42">
        <f t="shared" si="4"/>
        <v>2.8</v>
      </c>
      <c r="W10" s="3">
        <v>0</v>
      </c>
      <c r="X10" s="3">
        <f>(1-$BR$19)*Tabelle2915214948[[#This Row],[North2]]+(1-$BS$19)*Tabelle2915214948[[#This Row],[East2]]+(1-$BT$19)*Tabelle2915214948[[#This Row],[South2]]+(1-$BU$19)*Tabelle2915214948[[#This Row],[West2]]</f>
        <v>10.318</v>
      </c>
      <c r="Y10" s="40">
        <f>Tabelle512182471251[[#This Row],[Height22]]*Tabelle512182471251[[#This Row],[Length33]]+Tabelle512182471251[[#This Row],[Length332]]/2</f>
        <v>5.1589999999999998</v>
      </c>
      <c r="Z10" s="42">
        <f>IF(Tabelle1814203847[[#This Row],[ceiling]]="c",Tabelle1814203847[[#This Row],[Total Area size '[m^2']]],0)</f>
        <v>6.3</v>
      </c>
      <c r="AA10" s="42">
        <f>IF(Tabelle1814203847[[#This Row],[floor]]="f",Tabelle1814203847[[#This Row],[Total Area size '[m^2']]],0)</f>
        <v>6.3</v>
      </c>
      <c r="AB10" s="5"/>
      <c r="AC10" s="2">
        <v>0</v>
      </c>
      <c r="AD10" s="2">
        <v>0</v>
      </c>
      <c r="AE10" s="2">
        <v>1</v>
      </c>
      <c r="AF10" s="2">
        <v>0</v>
      </c>
      <c r="AG10" s="42">
        <f t="shared" si="5"/>
        <v>2.8</v>
      </c>
      <c r="AH10" s="2">
        <v>2.13</v>
      </c>
      <c r="AI10" s="44">
        <v>0.96</v>
      </c>
      <c r="AJ10" s="6">
        <v>0</v>
      </c>
      <c r="AK10" s="2">
        <v>0</v>
      </c>
      <c r="AL10" s="3">
        <v>0</v>
      </c>
      <c r="AM10" s="2">
        <v>1</v>
      </c>
      <c r="AN10" s="42">
        <f t="shared" si="6"/>
        <v>2.8</v>
      </c>
      <c r="AO10" s="3">
        <v>3.6850000000000001</v>
      </c>
      <c r="AP10" s="44">
        <v>0</v>
      </c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Tabelle310162251049[[#This Row],[North]]*$AI10+AL10*$AP10+AS10*$AW10+AZ10*$BD10+BG10*$BK10</f>
        <v>0.96</v>
      </c>
      <c r="BO10" s="2">
        <f t="shared" si="12"/>
        <v>0</v>
      </c>
      <c r="BP10" s="2">
        <f t="shared" si="13"/>
        <v>0</v>
      </c>
      <c r="BQ10" s="2">
        <f t="shared" si="14"/>
        <v>0</v>
      </c>
      <c r="BR10" s="6">
        <f>Tabelle310162251049[[#This Row],[North]]*$AG10*$AH10+AL10*$AN10*$AO10+AS10*$AU10*$AV10+AZ10*$BB10*$BC10+BG10*$BI10*$BJ10-BN10</f>
        <v>5.0039999999999996</v>
      </c>
      <c r="BS10" s="2">
        <f t="shared" si="15"/>
        <v>0</v>
      </c>
      <c r="BT10" s="2">
        <f t="shared" si="16"/>
        <v>0</v>
      </c>
      <c r="BU10" s="7">
        <f t="shared" si="17"/>
        <v>10.318</v>
      </c>
      <c r="BV10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0" s="2"/>
      <c r="BX10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1" spans="1:77" x14ac:dyDescent="0.25">
      <c r="A11" s="40">
        <v>7</v>
      </c>
      <c r="B11" s="2" t="s">
        <v>99</v>
      </c>
      <c r="C11" s="2" t="s">
        <v>10</v>
      </c>
      <c r="D11" s="2"/>
      <c r="E11" s="37" t="s">
        <v>112</v>
      </c>
      <c r="F11" s="2"/>
      <c r="G11" s="37" t="s">
        <v>106</v>
      </c>
      <c r="H11" s="40">
        <v>1.7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1.9</f>
        <v>1.9</v>
      </c>
      <c r="R11" s="40">
        <f>Tabelle512182471251[[#This Row],[Height]]*Tabelle512182471251[[#This Row],[Length]]</f>
        <v>5.3199999999999994</v>
      </c>
      <c r="S11" s="42">
        <f t="shared" si="2"/>
        <v>2.8</v>
      </c>
      <c r="T11" s="3">
        <v>0</v>
      </c>
      <c r="U11" s="40">
        <f>Tabelle512182471251[[#This Row],[Height2]]*Tabelle512182471251[[#This Row],[Length3]]</f>
        <v>0</v>
      </c>
      <c r="V11" s="42">
        <f t="shared" si="4"/>
        <v>2.8</v>
      </c>
      <c r="W11" s="3">
        <v>0</v>
      </c>
      <c r="X11" s="3">
        <f>(1-$BR$19)*Tabelle2915214948[[#This Row],[North2]]+(1-$BS$19)*Tabelle2915214948[[#This Row],[East2]]+(1-$BT$19)*Tabelle2915214948[[#This Row],[South2]]+(1-$BU$19)*Tabelle2915214948[[#This Row],[West2]]</f>
        <v>2.8279999999999998</v>
      </c>
      <c r="Y11" s="40">
        <f>Tabelle512182471251[[#This Row],[Height22]]*Tabelle512182471251[[#This Row],[Length33]]+Tabelle512182471251[[#This Row],[Length332]]/2</f>
        <v>1.4139999999999999</v>
      </c>
      <c r="Z11" s="42">
        <f>IF(Tabelle1814203847[[#This Row],[ceiling]]="c",Tabelle1814203847[[#This Row],[Total Area size '[m^2']]],0)</f>
        <v>1.7</v>
      </c>
      <c r="AA11" s="42">
        <f>IF(Tabelle1814203847[[#This Row],[floor]]="f",Tabelle1814203847[[#This Row],[Total Area size '[m^2']]],0)</f>
        <v>0</v>
      </c>
      <c r="AB11" s="5"/>
      <c r="AC11" s="2">
        <v>0</v>
      </c>
      <c r="AD11" s="2">
        <v>0</v>
      </c>
      <c r="AE11" s="2">
        <v>0</v>
      </c>
      <c r="AF11" s="2">
        <v>1</v>
      </c>
      <c r="AG11" s="42">
        <f t="shared" si="5"/>
        <v>2.8</v>
      </c>
      <c r="AH11" s="2">
        <v>1.01</v>
      </c>
      <c r="AI11" s="44">
        <v>0</v>
      </c>
      <c r="AJ11" s="6"/>
      <c r="AK11" s="2"/>
      <c r="AL11" s="2"/>
      <c r="AM11" s="2"/>
      <c r="AN11" s="42">
        <f t="shared" si="6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0</v>
      </c>
      <c r="BU11" s="7">
        <f t="shared" si="17"/>
        <v>2.8279999999999998</v>
      </c>
      <c r="BV11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1" s="2"/>
      <c r="BX11" s="2">
        <f>IF(Tabelle1814203847[[#This Row],[(g)round/(r )oof2]]="G",Tabelle1814203847[[#This Row],[Total Area size '[m^2']]],IF(Tabelle1814203847[[#This Row],[(g)round/(r )oof2]]="B",Tabelle1814203847[[#This Row],[Total Area size '[m^2']]],0))</f>
        <v>1.7</v>
      </c>
    </row>
    <row r="12" spans="1:77" x14ac:dyDescent="0.25">
      <c r="A12" s="40">
        <v>8</v>
      </c>
      <c r="B12" s="2" t="s">
        <v>108</v>
      </c>
      <c r="C12" s="2" t="s">
        <v>10</v>
      </c>
      <c r="D12" s="2"/>
      <c r="E12" s="37" t="s">
        <v>112</v>
      </c>
      <c r="F12" s="2"/>
      <c r="G12" s="37" t="s">
        <v>106</v>
      </c>
      <c r="H12" s="40">
        <v>6.93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v>1.9</v>
      </c>
      <c r="R12" s="40">
        <f>Tabelle512182471251[[#This Row],[Height]]*Tabelle512182471251[[#This Row],[Length]]</f>
        <v>5.3199999999999994</v>
      </c>
      <c r="S12" s="42">
        <f t="shared" si="2"/>
        <v>2.8</v>
      </c>
      <c r="T12" s="3">
        <v>0</v>
      </c>
      <c r="U12" s="40">
        <f>Tabelle512182471251[[#This Row],[Height2]]*Tabelle512182471251[[#This Row],[Length3]]</f>
        <v>0</v>
      </c>
      <c r="V12" s="42">
        <f t="shared" si="4"/>
        <v>2.8</v>
      </c>
      <c r="W12" s="3">
        <v>0</v>
      </c>
      <c r="X12" s="3">
        <f>(1-$BR$19)*Tabelle2915214948[[#This Row],[North2]]+(1-$BS$19)*Tabelle2915214948[[#This Row],[East2]]+(1-$BT$19)*Tabelle2915214948[[#This Row],[South2]]+(1-$BU$19)*Tabelle2915214948[[#This Row],[West2]]</f>
        <v>11.941999999999998</v>
      </c>
      <c r="Y12" s="40">
        <f>Tabelle512182471251[[#This Row],[Height22]]*Tabelle512182471251[[#This Row],[Length33]]+Tabelle512182471251[[#This Row],[Length332]]/2</f>
        <v>5.9709999999999992</v>
      </c>
      <c r="Z12" s="42">
        <f>IF(Tabelle1814203847[[#This Row],[ceiling]]="c",Tabelle1814203847[[#This Row],[Total Area size '[m^2']]],0)</f>
        <v>6.93</v>
      </c>
      <c r="AA12" s="42">
        <f>IF(Tabelle1814203847[[#This Row],[floor]]="f",Tabelle1814203847[[#This Row],[Total Area size '[m^2']]],0)</f>
        <v>0</v>
      </c>
      <c r="AB12" s="5"/>
      <c r="AC12" s="2">
        <v>1</v>
      </c>
      <c r="AD12" s="2">
        <v>0</v>
      </c>
      <c r="AE12" s="2">
        <v>0</v>
      </c>
      <c r="AF12" s="2">
        <v>0</v>
      </c>
      <c r="AG12" s="42">
        <f t="shared" si="5"/>
        <v>2.8</v>
      </c>
      <c r="AH12" s="2">
        <f>0.15+0.95+0.9</f>
        <v>2</v>
      </c>
      <c r="AI12" s="44">
        <v>0</v>
      </c>
      <c r="AJ12" s="6">
        <v>0</v>
      </c>
      <c r="AK12" s="2">
        <v>0</v>
      </c>
      <c r="AL12" s="2">
        <v>0</v>
      </c>
      <c r="AM12" s="2">
        <v>1</v>
      </c>
      <c r="AN12" s="42">
        <f t="shared" si="6"/>
        <v>2.8</v>
      </c>
      <c r="AO12" s="2">
        <f>4.265</f>
        <v>4.2649999999999997</v>
      </c>
      <c r="AP12" s="44">
        <v>0</v>
      </c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Tabelle310162251049[[#This Row],[North]]*$AG12*$AH12+AL12*$AN12*$AO12+AS12*$AU12*$AV12+AZ12*$BB12*$BC12+BG12*$BI12*$BJ12-BN12</f>
        <v>0</v>
      </c>
      <c r="BS12" s="2">
        <f t="shared" si="15"/>
        <v>0</v>
      </c>
      <c r="BT12" s="2">
        <f t="shared" si="16"/>
        <v>5.6</v>
      </c>
      <c r="BU12" s="7">
        <f t="shared" si="17"/>
        <v>11.941999999999998</v>
      </c>
      <c r="BV12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2" s="2"/>
      <c r="BX12" s="2">
        <f>IF(Tabelle1814203847[[#This Row],[(g)round/(r )oof2]]="G",Tabelle1814203847[[#This Row],[Total Area size '[m^2']]],IF(Tabelle1814203847[[#This Row],[(g)round/(r )oof2]]="B",Tabelle1814203847[[#This Row],[Total Area size '[m^2']]],0))</f>
        <v>6.93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/>
      <c r="F13" s="2"/>
      <c r="G13" s="37" t="s">
        <v>107</v>
      </c>
      <c r="H13" s="40">
        <v>2.2000000000000002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v>1.9</v>
      </c>
      <c r="R13" s="40">
        <f>Tabelle512182471251[[#This Row],[Height]]*Tabelle512182471251[[#This Row],[Length]]</f>
        <v>5.3199999999999994</v>
      </c>
      <c r="S13" s="42">
        <f t="shared" si="2"/>
        <v>2.8</v>
      </c>
      <c r="T13" s="33">
        <v>0</v>
      </c>
      <c r="U13" s="40">
        <f>Tabelle512182471251[[#This Row],[Height2]]*Tabelle512182471251[[#This Row],[Length3]]</f>
        <v>0</v>
      </c>
      <c r="V13" s="42">
        <f t="shared" si="4"/>
        <v>2.8</v>
      </c>
      <c r="W13" s="3">
        <v>0</v>
      </c>
      <c r="X13" s="3">
        <f>(1-$BR$19)*Tabelle2915214948[[#This Row],[North2]]+(1-$BS$19)*Tabelle2915214948[[#This Row],[East2]]+(1-$BT$19)*Tabelle2915214948[[#This Row],[South2]]+(1-$BU$19)*Tabelle2915214948[[#This Row],[West2]]</f>
        <v>6.8179999999999996</v>
      </c>
      <c r="Y13" s="40">
        <f>Tabelle512182471251[[#This Row],[Height22]]*Tabelle512182471251[[#This Row],[Length33]]+Tabelle512182471251[[#This Row],[Length332]]/2</f>
        <v>3.4089999999999998</v>
      </c>
      <c r="Z13" s="42">
        <f>IF(Tabelle1814203847[[#This Row],[ceiling]]="c",Tabelle1814203847[[#This Row],[Total Area size '[m^2']]],0)</f>
        <v>0</v>
      </c>
      <c r="AA13" s="42">
        <f>IF(Tabelle1814203847[[#This Row],[floor]]="f",Tabelle1814203847[[#This Row],[Total Area size '[m^2']]],0)</f>
        <v>2.2000000000000002</v>
      </c>
      <c r="AB13" s="5"/>
      <c r="AC13" s="2">
        <v>0</v>
      </c>
      <c r="AD13" s="2">
        <v>0</v>
      </c>
      <c r="AE13" s="2">
        <v>1</v>
      </c>
      <c r="AF13" s="2">
        <v>0</v>
      </c>
      <c r="AG13" s="42">
        <f t="shared" si="5"/>
        <v>2.8</v>
      </c>
      <c r="AH13" s="2">
        <f>0.15+1.9+0.08</f>
        <v>2.13</v>
      </c>
      <c r="AI13" s="44">
        <v>1</v>
      </c>
      <c r="AJ13" s="6">
        <v>0</v>
      </c>
      <c r="AK13" s="2">
        <v>0</v>
      </c>
      <c r="AL13" s="2">
        <v>0</v>
      </c>
      <c r="AM13" s="2">
        <v>1</v>
      </c>
      <c r="AN13" s="42">
        <f t="shared" si="6"/>
        <v>2.8</v>
      </c>
      <c r="AO13" s="2">
        <f>0.33+2.05+0.055</f>
        <v>2.4350000000000001</v>
      </c>
      <c r="AP13" s="44">
        <v>0</v>
      </c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Tabelle310162251049[[#This Row],[North]]*$AI13+AL13*$AP13+AS13*$AW13+AZ13*$BD13+BG13*$BK13</f>
        <v>1</v>
      </c>
      <c r="BO13" s="2">
        <f t="shared" si="12"/>
        <v>0</v>
      </c>
      <c r="BP13" s="2">
        <f t="shared" si="13"/>
        <v>0</v>
      </c>
      <c r="BQ13" s="2">
        <f t="shared" si="14"/>
        <v>0</v>
      </c>
      <c r="BR13" s="6">
        <f>Tabelle310162251049[[#This Row],[North]]*$AG13*$AH13+AL13*$AN13*$AO13+AS13*$AU13*$AV13+AZ13*$BB13*$BC13+BG13*$BI13*$BJ13-BN13</f>
        <v>4.9639999999999995</v>
      </c>
      <c r="BS13" s="2">
        <f t="shared" si="15"/>
        <v>0</v>
      </c>
      <c r="BT13" s="2">
        <f t="shared" si="16"/>
        <v>0</v>
      </c>
      <c r="BU13" s="7">
        <f t="shared" si="17"/>
        <v>6.8179999999999996</v>
      </c>
      <c r="BV13" s="2">
        <f>IF(Tabelle1814203847[[#This Row],[(g)round/(r )oof2]]="R",Tabelle1814203847[[#This Row],[Total Area size '[m^2']]],IF(Tabelle1814203847[[#This Row],[(g)round/(r )oof2]]="B",Tabelle1814203847[[#This Row],[Total Area size '[m^2']]],0))</f>
        <v>2.2000000000000002</v>
      </c>
      <c r="BW13" s="2"/>
      <c r="BX13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4" spans="1:77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112</v>
      </c>
      <c r="F14" s="2"/>
      <c r="G14" s="37"/>
      <c r="H14" s="40">
        <v>6.93</v>
      </c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>
        <v>0</v>
      </c>
      <c r="R14" s="40">
        <f>Tabelle512182471251[[#This Row],[Height]]*Tabelle512182471251[[#This Row],[Length]]</f>
        <v>0</v>
      </c>
      <c r="S14" s="42">
        <f t="shared" si="2"/>
        <v>2.8</v>
      </c>
      <c r="T14" s="3">
        <v>0</v>
      </c>
      <c r="U14" s="40">
        <f>Tabelle512182471251[[#This Row],[Height2]]*Tabelle512182471251[[#This Row],[Length3]]</f>
        <v>0</v>
      </c>
      <c r="V14" s="42">
        <f t="shared" si="4"/>
        <v>2.8</v>
      </c>
      <c r="W14" s="3">
        <v>0</v>
      </c>
      <c r="X14" s="3">
        <f>(1-$BR$19)*Tabelle2915214948[[#This Row],[North2]]+(1-$BS$19)*Tabelle2915214948[[#This Row],[East2]]+(1-$BT$19)*Tabelle2915214948[[#This Row],[South2]]+(1-$BU$19)*Tabelle2915214948[[#This Row],[West2]]</f>
        <v>14.77</v>
      </c>
      <c r="Y14" s="40">
        <f>Tabelle512182471251[[#This Row],[Height22]]*Tabelle512182471251[[#This Row],[Length33]]+Tabelle512182471251[[#This Row],[Length332]]/2</f>
        <v>7.3849999999999998</v>
      </c>
      <c r="Z14" s="42">
        <f>IF(Tabelle1814203847[[#This Row],[ceiling]]="c",Tabelle1814203847[[#This Row],[Total Area size '[m^2']]],0)</f>
        <v>6.93</v>
      </c>
      <c r="AA14" s="42">
        <f>IF(Tabelle1814203847[[#This Row],[floor]]="f",Tabelle1814203847[[#This Row],[Total Area size '[m^2']]],0)</f>
        <v>6.93</v>
      </c>
      <c r="AB14" s="5"/>
      <c r="AC14" s="2">
        <v>1</v>
      </c>
      <c r="AD14" s="2">
        <v>0</v>
      </c>
      <c r="AE14" s="2">
        <v>0</v>
      </c>
      <c r="AF14" s="2">
        <v>0</v>
      </c>
      <c r="AG14" s="42">
        <f t="shared" si="5"/>
        <v>2.8</v>
      </c>
      <c r="AH14" s="2">
        <f>0.15+0.95+0.9</f>
        <v>2</v>
      </c>
      <c r="AI14" s="44">
        <v>1.08</v>
      </c>
      <c r="AJ14" s="6">
        <v>0</v>
      </c>
      <c r="AK14" s="2">
        <v>0</v>
      </c>
      <c r="AL14" s="2">
        <v>0</v>
      </c>
      <c r="AM14" s="2">
        <v>1</v>
      </c>
      <c r="AN14" s="42">
        <f t="shared" si="6"/>
        <v>2.8</v>
      </c>
      <c r="AO14" s="2">
        <f>5.275</f>
        <v>5.2750000000000004</v>
      </c>
      <c r="AP14" s="44">
        <v>0</v>
      </c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Tabelle310162251049[[#This Row],[North]]*$AI14+AL14*$AP14+AS14*$AW14+AZ14*$BD14+BG14*$BK14</f>
        <v>0</v>
      </c>
      <c r="BO14" s="2">
        <f t="shared" ref="BO14:BO16" si="18">AD14*$AI14+AK14*$AP14+AR14*$AW14+AY14*$BD14+BF14*$BK14</f>
        <v>0</v>
      </c>
      <c r="BP14" s="2">
        <f t="shared" ref="BP14:BP16" si="19">AC14*$AI14+AJ14*$AP14+AQ14*$AW14+AX14*$BD14+BE14*$BK14</f>
        <v>1.08</v>
      </c>
      <c r="BQ14" s="2">
        <f t="shared" ref="BQ14:BQ16" si="20">AF14*$AI14+AM14*$AP14+AT14*$AW14+BA14*$BD14+BH14*$BK14</f>
        <v>0</v>
      </c>
      <c r="BR14" s="6">
        <f>Tabelle310162251049[[#This Row],[North]]*$AG14*$AH14+AL14*$AN14*$AO14+AS14*$AU14*$AV14+AZ14*$BB14*$BC14+BG14*$BI14*$BJ14-BN14</f>
        <v>0</v>
      </c>
      <c r="BS14" s="2">
        <f t="shared" ref="BS14:BS16" si="21">AD14*$AG14*$AH14+AK14*$AN14*$AO14+AR14*$AU14*$AV14+AY14*$BB14*$BC14+BF14*$BI14*$BJ14-BO14</f>
        <v>0</v>
      </c>
      <c r="BT14" s="2">
        <f t="shared" ref="BT14:BT16" si="22">AC14*$AG14*$AH14+AJ14*$AN14*$AO14+AQ14*$AU14*$AV14+AX14*$BB14*$BC14+BE14*$BI14*$BJ14-BP14</f>
        <v>4.5199999999999996</v>
      </c>
      <c r="BU14" s="7">
        <f t="shared" ref="BU14:BU16" si="23">AF14*$AG14*$AH14+AM14*$AN14*$AO14+AT14*$AU14*$AV14+BA14*$BB14*$BC14+BH14*$BI14*$BJ14-BQ14</f>
        <v>14.77</v>
      </c>
      <c r="BV14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4" s="2"/>
      <c r="BX14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5" spans="1:77" x14ac:dyDescent="0.25">
      <c r="A15" s="40">
        <v>11</v>
      </c>
      <c r="B15" s="2" t="s">
        <v>97</v>
      </c>
      <c r="C15" s="2" t="s">
        <v>101</v>
      </c>
      <c r="D15" s="2" t="s">
        <v>113</v>
      </c>
      <c r="E15" s="37"/>
      <c r="F15" s="2"/>
      <c r="G15" s="2" t="s">
        <v>107</v>
      </c>
      <c r="H15" s="40">
        <v>9</v>
      </c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>
        <f>3.9+2.05</f>
        <v>5.9499999999999993</v>
      </c>
      <c r="R15" s="40">
        <f>Tabelle512182471251[[#This Row],[Height]]*Tabelle512182471251[[#This Row],[Length]]</f>
        <v>16.659999999999997</v>
      </c>
      <c r="S15" s="42">
        <f t="shared" si="2"/>
        <v>2.8</v>
      </c>
      <c r="T15" s="3">
        <v>1.04</v>
      </c>
      <c r="U15" s="40">
        <f>Tabelle512182471251[[#This Row],[Height2]]*Tabelle512182471251[[#This Row],[Length3]]</f>
        <v>2.9119999999999999</v>
      </c>
      <c r="V15" s="42">
        <f t="shared" si="4"/>
        <v>2.8</v>
      </c>
      <c r="W15" s="3">
        <v>0</v>
      </c>
      <c r="X15" s="3">
        <f>(1-$BR$19)*Tabelle2915214948[[#This Row],[North2]]+(1-$BS$19)*Tabelle2915214948[[#This Row],[East2]]+(1-$BT$19)*Tabelle2915214948[[#This Row],[South2]]+(1-$BU$19)*Tabelle2915214948[[#This Row],[West2]]</f>
        <v>10.038</v>
      </c>
      <c r="Y15" s="40">
        <f>Tabelle512182471251[[#This Row],[Height22]]*Tabelle512182471251[[#This Row],[Length33]]+Tabelle512182471251[[#This Row],[Length332]]/2</f>
        <v>5.0190000000000001</v>
      </c>
      <c r="Z15" s="42">
        <f>IF(Tabelle1814203847[[#This Row],[ceiling]]="c",Tabelle1814203847[[#This Row],[Total Area size '[m^2']]],0)</f>
        <v>0</v>
      </c>
      <c r="AA15" s="42">
        <f>IF(Tabelle1814203847[[#This Row],[floor]]="f",Tabelle1814203847[[#This Row],[Total Area size '[m^2']]],0)</f>
        <v>9</v>
      </c>
      <c r="AB15" s="5"/>
      <c r="AC15" s="2">
        <v>0</v>
      </c>
      <c r="AD15" s="2">
        <v>0</v>
      </c>
      <c r="AE15" s="2">
        <v>1</v>
      </c>
      <c r="AF15" s="2">
        <v>0</v>
      </c>
      <c r="AG15" s="42">
        <f t="shared" si="5"/>
        <v>2.8</v>
      </c>
      <c r="AH15" s="2">
        <f>0.15+0.59+2.4+0.91+0.08</f>
        <v>4.13</v>
      </c>
      <c r="AI15" s="44">
        <v>2</v>
      </c>
      <c r="AJ15" s="6">
        <v>0</v>
      </c>
      <c r="AK15" s="2">
        <v>1</v>
      </c>
      <c r="AL15" s="2">
        <v>0</v>
      </c>
      <c r="AM15" s="2">
        <v>0</v>
      </c>
      <c r="AN15" s="42">
        <f t="shared" si="6"/>
        <v>2.8</v>
      </c>
      <c r="AO15" s="2">
        <f>0.33+3.2+0.055</f>
        <v>3.5850000000000004</v>
      </c>
      <c r="AP15" s="44">
        <v>0</v>
      </c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Tabelle310162251049[[#This Row],[North]]*$AI15+AL15*$AP15+AS15*$AW15+AZ15*$BD15+BG15*$BK15</f>
        <v>2</v>
      </c>
      <c r="BO15" s="2">
        <f t="shared" si="18"/>
        <v>0</v>
      </c>
      <c r="BP15" s="2">
        <f t="shared" si="19"/>
        <v>0</v>
      </c>
      <c r="BQ15" s="2">
        <f t="shared" si="20"/>
        <v>0</v>
      </c>
      <c r="BR15" s="6">
        <f>Tabelle310162251049[[#This Row],[North]]*$AG15*$AH15+AL15*$AN15*$AO15+AS15*$AU15*$AV15+AZ15*$BB15*$BC15+BG15*$BI15*$BJ15-BN15</f>
        <v>9.5639999999999983</v>
      </c>
      <c r="BS15" s="2">
        <f t="shared" si="21"/>
        <v>10.038</v>
      </c>
      <c r="BT15" s="2">
        <f t="shared" si="22"/>
        <v>0</v>
      </c>
      <c r="BU15" s="7">
        <f t="shared" si="23"/>
        <v>0</v>
      </c>
      <c r="BV15" s="2">
        <f>IF(Tabelle1814203847[[#This Row],[(g)round/(r )oof2]]="R",Tabelle1814203847[[#This Row],[Total Area size '[m^2']]],IF(Tabelle1814203847[[#This Row],[(g)round/(r )oof2]]="B",Tabelle1814203847[[#This Row],[Total Area size '[m^2']]],0))</f>
        <v>9</v>
      </c>
      <c r="BW15" s="2"/>
      <c r="BX15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6" spans="1:77" x14ac:dyDescent="0.25">
      <c r="A16" s="40">
        <v>12</v>
      </c>
      <c r="B16" s="2" t="s">
        <v>122</v>
      </c>
      <c r="C16" s="2" t="s">
        <v>10</v>
      </c>
      <c r="D16" s="2" t="s">
        <v>113</v>
      </c>
      <c r="E16" s="2"/>
      <c r="F16" s="2"/>
      <c r="G16" s="2" t="s">
        <v>107</v>
      </c>
      <c r="H16" s="40">
        <v>6.93</v>
      </c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>
        <v>1.9</v>
      </c>
      <c r="R16" s="40">
        <f>Tabelle512182471251[[#This Row],[Height]]*Tabelle512182471251[[#This Row],[Length]]</f>
        <v>5.3199999999999994</v>
      </c>
      <c r="S16" s="42">
        <f t="shared" si="2"/>
        <v>2.8</v>
      </c>
      <c r="T16" s="3">
        <v>0</v>
      </c>
      <c r="U16" s="40">
        <f>Tabelle512182471251[[#This Row],[Height2]]*Tabelle512182471251[[#This Row],[Length3]]</f>
        <v>0</v>
      </c>
      <c r="V16" s="42">
        <f t="shared" si="4"/>
        <v>2.8</v>
      </c>
      <c r="W16" s="3">
        <v>0</v>
      </c>
      <c r="X16" s="3">
        <f>(1-$BR$19)*Tabelle2915214948[[#This Row],[North2]]+(1-$BS$19)*Tabelle2915214948[[#This Row],[East2]]+(1-$BT$19)*Tabelle2915214948[[#This Row],[South2]]+(1-$BU$19)*Tabelle2915214948[[#This Row],[West2]]</f>
        <v>18.269999999999996</v>
      </c>
      <c r="Y16" s="40">
        <f>Tabelle512182471251[[#This Row],[Height22]]*Tabelle512182471251[[#This Row],[Length33]]+Tabelle512182471251[[#This Row],[Length332]]/2</f>
        <v>9.134999999999998</v>
      </c>
      <c r="Z16" s="42">
        <f>IF(Tabelle1814203847[[#This Row],[ceiling]]="c",Tabelle1814203847[[#This Row],[Total Area size '[m^2']]],0)</f>
        <v>0</v>
      </c>
      <c r="AA16" s="42">
        <f>IF(Tabelle1814203847[[#This Row],[floor]]="f",Tabelle1814203847[[#This Row],[Total Area size '[m^2']]],0)</f>
        <v>6.93</v>
      </c>
      <c r="AB16" s="5"/>
      <c r="AC16" s="2">
        <v>1</v>
      </c>
      <c r="AD16" s="2">
        <v>0</v>
      </c>
      <c r="AE16" s="2">
        <v>0</v>
      </c>
      <c r="AF16" s="2">
        <v>0</v>
      </c>
      <c r="AG16" s="42">
        <f t="shared" si="5"/>
        <v>2.8</v>
      </c>
      <c r="AH16" s="3">
        <f>0.15+1.9+0.08</f>
        <v>2.13</v>
      </c>
      <c r="AI16" s="44">
        <v>1</v>
      </c>
      <c r="AJ16" s="6">
        <v>0</v>
      </c>
      <c r="AK16" s="2">
        <v>0</v>
      </c>
      <c r="AL16" s="2">
        <v>0</v>
      </c>
      <c r="AM16" s="2">
        <v>1</v>
      </c>
      <c r="AN16" s="42">
        <f t="shared" si="6"/>
        <v>2.8</v>
      </c>
      <c r="AO16" s="2">
        <f>0.33+6.14+0.055</f>
        <v>6.5249999999999995</v>
      </c>
      <c r="AP16" s="44">
        <v>0</v>
      </c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Tabelle310162251049[[#This Row],[North]]*$AI16+AL16*$AP16+AS16*$AW16+AZ16*$BD16+BG16*$BK16</f>
        <v>0</v>
      </c>
      <c r="BO16" s="2">
        <f t="shared" si="18"/>
        <v>0</v>
      </c>
      <c r="BP16" s="2">
        <f t="shared" si="19"/>
        <v>1</v>
      </c>
      <c r="BQ16" s="2">
        <f t="shared" si="20"/>
        <v>0</v>
      </c>
      <c r="BR16" s="6">
        <f>Tabelle310162251049[[#This Row],[North]]*$AG16*$AH16+AL16*$AN16*$AO16+AS16*$AU16*$AV16+AZ16*$BB16*$BC16+BG16*$BI16*$BJ16-BN16</f>
        <v>0</v>
      </c>
      <c r="BS16" s="2">
        <f t="shared" si="21"/>
        <v>0</v>
      </c>
      <c r="BT16" s="2">
        <f t="shared" si="22"/>
        <v>4.9639999999999995</v>
      </c>
      <c r="BU16" s="7">
        <f t="shared" si="23"/>
        <v>18.269999999999996</v>
      </c>
      <c r="BV16" s="2">
        <f>IF(Tabelle1814203847[[#This Row],[(g)round/(r )oof2]]="R",Tabelle1814203847[[#This Row],[Total Area size '[m^2']]],IF(Tabelle1814203847[[#This Row],[(g)round/(r )oof2]]="B",Tabelle1814203847[[#This Row],[Total Area size '[m^2']]],0))</f>
        <v>6.93</v>
      </c>
      <c r="BW16" s="2"/>
      <c r="BX16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24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7" s="2"/>
      <c r="BX1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8" s="2"/>
      <c r="BX1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1</v>
      </c>
      <c r="BS19" s="2">
        <v>0</v>
      </c>
      <c r="BT19" s="2">
        <v>1</v>
      </c>
      <c r="BU19" s="7">
        <v>0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7.91</v>
      </c>
      <c r="BO22" s="61">
        <f t="shared" ref="BO22:BQ25" si="25">SUMIF($C$5:$C$18,$BM22,BO$5:BO$18)</f>
        <v>2.2799999999999998</v>
      </c>
      <c r="BP22" s="61">
        <f t="shared" si="25"/>
        <v>2.88</v>
      </c>
      <c r="BQ22" s="61">
        <f t="shared" si="25"/>
        <v>0</v>
      </c>
      <c r="BR22" s="61">
        <f>SUMIF($C$5:$C$18,$BM22,BR$5:BR$18)*BR$19</f>
        <v>21.685999999999996</v>
      </c>
      <c r="BS22" s="61">
        <f t="shared" ref="BS22:BX22" si="26">SUMIF($C$5:$C$18,$BM22,BS$5:BS$18)*BS$19</f>
        <v>0</v>
      </c>
      <c r="BT22" s="61">
        <f t="shared" si="26"/>
        <v>9.0479999999999983</v>
      </c>
      <c r="BU22" s="61">
        <f t="shared" si="26"/>
        <v>0</v>
      </c>
      <c r="BV22" s="61">
        <f>SUMIF($C$5:$C$18,$BM22,BV$5:BV$18)</f>
        <v>9</v>
      </c>
      <c r="BW22" s="61">
        <f>BV22*$BV$30</f>
        <v>19.170817462642841</v>
      </c>
      <c r="BX22" s="61">
        <f>SUMIF($C$5:$C$18,$BM22,BX$5:BX$19)</f>
        <v>43.599999999999994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52.599999999999994</v>
      </c>
      <c r="I23" s="12">
        <f>H23/$H$28</f>
        <v>0.39972642298046956</v>
      </c>
      <c r="J23" s="1"/>
      <c r="K23" s="86" t="s">
        <v>86</v>
      </c>
      <c r="L23" s="86"/>
      <c r="M23" s="87"/>
      <c r="N23" s="74"/>
      <c r="O23" s="3"/>
      <c r="P23" s="33"/>
      <c r="Q23" s="3"/>
      <c r="R23" s="55">
        <f>SUMIF($C$5:$C$18,C23,$R$5:$R$18)/2</f>
        <v>12.389999999999997</v>
      </c>
      <c r="S23" s="3"/>
      <c r="T23" s="3"/>
      <c r="U23" s="55">
        <f>SUMIF($C$5:$C$18,$C23,$U$5:$U$18)</f>
        <v>22.231999999999999</v>
      </c>
      <c r="V23" s="3"/>
      <c r="W23" s="3"/>
      <c r="X23" s="3"/>
      <c r="Y23" s="55">
        <f>SUMIF($C$5:$C$18,$C23,$Y$5:$Y$18)</f>
        <v>29.113999999999997</v>
      </c>
      <c r="Z23" s="55">
        <f>SUMIF($C$5:$C$18,$C23,$Z$5:$Z$18)/2</f>
        <v>21.799999999999997</v>
      </c>
      <c r="AA23" s="55">
        <f>SUMIF($C$5:$C$18,$C23,$AA$5:$AA$18)/2</f>
        <v>4.5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1</v>
      </c>
      <c r="BO23" s="61">
        <f t="shared" si="25"/>
        <v>0</v>
      </c>
      <c r="BP23" s="61">
        <f t="shared" si="25"/>
        <v>2.08</v>
      </c>
      <c r="BQ23" s="61">
        <f t="shared" si="25"/>
        <v>0</v>
      </c>
      <c r="BR23" s="61">
        <f t="shared" ref="BR23:BX25" si="27">SUMIF($C$5:$C$18,$BM23,BR$5:BR$18)*BR$19</f>
        <v>4.9639999999999995</v>
      </c>
      <c r="BS23" s="61">
        <f t="shared" si="27"/>
        <v>0</v>
      </c>
      <c r="BT23" s="61">
        <f t="shared" si="27"/>
        <v>15.084</v>
      </c>
      <c r="BU23" s="61">
        <f t="shared" si="27"/>
        <v>0</v>
      </c>
      <c r="BV23" s="61">
        <f t="shared" ref="BV23:BV25" si="28">SUMIF($C$5:$C$18,$BM23,BV$5:BV$18)</f>
        <v>9.129999999999999</v>
      </c>
      <c r="BW23" s="61">
        <f t="shared" ref="BW23:BW25" si="29">BV23*$BV$30</f>
        <v>19.447729270436568</v>
      </c>
      <c r="BX23" s="61">
        <f>SUMIF($C$5:$C$18,$BM23,BX$5:BX$18)</f>
        <v>8.629999999999999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24.689999999999998</v>
      </c>
      <c r="I24" s="2">
        <f>H24/$H$28</f>
        <v>0.18762823922790484</v>
      </c>
      <c r="J24" s="1"/>
      <c r="K24" s="86"/>
      <c r="L24" s="86"/>
      <c r="M24" s="87"/>
      <c r="N24" s="74"/>
      <c r="O24" s="3"/>
      <c r="P24" s="33"/>
      <c r="Q24" s="3"/>
      <c r="R24" s="56">
        <f>SUMIF($C$5:$C$18,C24,$R$5:$R$18)/2</f>
        <v>10.639999999999999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27.313999999999997</v>
      </c>
      <c r="Z24" s="55">
        <f t="shared" ref="Z24:Z26" si="30">SUMIF($C$5:$C$18,$C24,$Z$5:$Z$18)/2</f>
        <v>7.7799999999999994</v>
      </c>
      <c r="AA24" s="55">
        <f t="shared" ref="AA24:AA26" si="31">SUMIF($C$5:$C$18,$C24,$AA$5:$AA$18)/2</f>
        <v>8.0299999999999994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2.88</v>
      </c>
      <c r="BO24" s="61">
        <f t="shared" si="25"/>
        <v>0</v>
      </c>
      <c r="BP24" s="61">
        <f t="shared" si="25"/>
        <v>4.88</v>
      </c>
      <c r="BQ24" s="61">
        <f t="shared" si="25"/>
        <v>0</v>
      </c>
      <c r="BR24" s="61">
        <f t="shared" si="27"/>
        <v>8.6839999999999975</v>
      </c>
      <c r="BS24" s="61">
        <f t="shared" si="27"/>
        <v>0</v>
      </c>
      <c r="BT24" s="61">
        <f t="shared" si="27"/>
        <v>18.317999999999998</v>
      </c>
      <c r="BU24" s="61">
        <f t="shared" si="27"/>
        <v>0</v>
      </c>
      <c r="BV24" s="61">
        <f t="shared" si="28"/>
        <v>16</v>
      </c>
      <c r="BW24" s="61">
        <f t="shared" si="29"/>
        <v>34.081453266920605</v>
      </c>
      <c r="BX24" s="61">
        <f>SUMIF($C$5:$C$18,$BM24,BX$5:BX$18)</f>
        <v>0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</v>
      </c>
      <c r="I25" s="2">
        <f>H25/$H$28</f>
        <v>0.36476935937381261</v>
      </c>
      <c r="J25" s="1"/>
      <c r="K25" s="86"/>
      <c r="L25" s="86"/>
      <c r="M25" s="87"/>
      <c r="N25" s="74"/>
      <c r="O25" s="3"/>
      <c r="P25" s="33"/>
      <c r="Q25" s="3"/>
      <c r="R25" s="56">
        <f>SUMIF($C$5:$C$18,C25,$R$5:$R$18)/2</f>
        <v>21</v>
      </c>
      <c r="S25" s="3"/>
      <c r="T25" s="3"/>
      <c r="U25" s="56">
        <f>SUMIF($C$5:$C$18,$C25,$U$5:$U$18)</f>
        <v>28.28</v>
      </c>
      <c r="V25" s="3"/>
      <c r="W25" s="3"/>
      <c r="X25" s="3"/>
      <c r="Y25" s="56">
        <f>SUMIF($C$5:$C$18,$C25,$Y$5:$Y$18)</f>
        <v>19.816999999999997</v>
      </c>
      <c r="Z25" s="55">
        <f t="shared" si="30"/>
        <v>16</v>
      </c>
      <c r="AA25" s="55">
        <f t="shared" si="31"/>
        <v>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0.96</v>
      </c>
      <c r="BO25" s="61">
        <f t="shared" si="25"/>
        <v>0</v>
      </c>
      <c r="BP25" s="61">
        <f t="shared" si="25"/>
        <v>0</v>
      </c>
      <c r="BQ25" s="61">
        <f t="shared" si="25"/>
        <v>0</v>
      </c>
      <c r="BR25" s="61">
        <f t="shared" si="27"/>
        <v>5.0039999999999996</v>
      </c>
      <c r="BS25" s="61">
        <f t="shared" si="27"/>
        <v>0</v>
      </c>
      <c r="BT25" s="61">
        <f t="shared" si="27"/>
        <v>0</v>
      </c>
      <c r="BU25" s="61">
        <f t="shared" si="27"/>
        <v>0</v>
      </c>
      <c r="BV25" s="61">
        <f t="shared" si="28"/>
        <v>0</v>
      </c>
      <c r="BW25" s="61">
        <f t="shared" si="29"/>
        <v>0</v>
      </c>
      <c r="BX25" s="61">
        <f>SUMIF($C$5:$C$18,$BM25,BX$5:BX$18)</f>
        <v>0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6.3</v>
      </c>
      <c r="I26" s="2">
        <f>H26/$H$28</f>
        <v>4.7875978417812902E-2</v>
      </c>
      <c r="J26" s="1"/>
      <c r="K26" s="86"/>
      <c r="L26" s="86"/>
      <c r="M26" s="87"/>
      <c r="N26" s="74"/>
      <c r="O26" s="3"/>
      <c r="P26" s="33"/>
      <c r="Q26" s="3"/>
      <c r="R26" s="56">
        <f>SUMIF($C$5:$C$18,C26,$R$5:$R$18)/2</f>
        <v>4.6199999999999992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5.1589999999999998</v>
      </c>
      <c r="Z26" s="55">
        <f t="shared" si="30"/>
        <v>3.15</v>
      </c>
      <c r="AA26" s="55">
        <f t="shared" si="31"/>
        <v>3.15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/>
      <c r="BW26" s="63"/>
      <c r="BX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X27" si="32">SUM(BN22:BN26)</f>
        <v>12.75</v>
      </c>
      <c r="BO27" s="66">
        <f t="shared" si="32"/>
        <v>2.2799999999999998</v>
      </c>
      <c r="BP27" s="66">
        <f t="shared" si="32"/>
        <v>9.84</v>
      </c>
      <c r="BQ27" s="66">
        <f t="shared" si="32"/>
        <v>0</v>
      </c>
      <c r="BR27" s="66">
        <f t="shared" si="32"/>
        <v>40.337999999999987</v>
      </c>
      <c r="BS27" s="66">
        <f t="shared" si="32"/>
        <v>0</v>
      </c>
      <c r="BT27" s="66">
        <f t="shared" si="32"/>
        <v>42.449999999999996</v>
      </c>
      <c r="BU27" s="66">
        <f t="shared" si="32"/>
        <v>0</v>
      </c>
      <c r="BV27" s="66">
        <f t="shared" si="32"/>
        <v>34.129999999999995</v>
      </c>
      <c r="BW27" s="66">
        <f t="shared" si="32"/>
        <v>72.700000000000017</v>
      </c>
      <c r="BX27" s="66">
        <f t="shared" si="32"/>
        <v>52.22999999999999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131.59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48.649999999999991</v>
      </c>
      <c r="S28" s="3"/>
      <c r="T28" s="3"/>
      <c r="U28" s="56">
        <f>SUM(U23:U26)</f>
        <v>55.832000000000001</v>
      </c>
      <c r="V28" s="3"/>
      <c r="W28" s="3"/>
      <c r="X28" s="3"/>
      <c r="Y28" s="72">
        <f>SUM(Y23:Y26)</f>
        <v>81.403999999999996</v>
      </c>
      <c r="Z28" s="73">
        <f>SUM(Z23:Z26)</f>
        <v>48.73</v>
      </c>
      <c r="AA28" s="73">
        <f>SUM(AA23:AA26)</f>
        <v>39.68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>
        <v>72.7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f>BV29/BV27</f>
        <v>2.1300908291825378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63.73599999999999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33">Y24+U24+R24</f>
        <v>37.953999999999994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33"/>
        <v>69.096999999999994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33"/>
        <v>15.098999999999998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0.52578582000140961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30" priority="2" operator="lessThan">
      <formula>0.03</formula>
    </cfRule>
  </conditionalFormatting>
  <conditionalFormatting sqref="I23:I28">
    <cfRule type="cellIs" dxfId="29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zoomScale="70" zoomScaleNormal="70" workbookViewId="0">
      <pane xSplit="2" ySplit="4" topLeftCell="BN17" activePane="bottomRight" state="frozen"/>
      <selection activeCell="X55" sqref="X55"/>
      <selection pane="topRight" activeCell="X55" sqref="X55"/>
      <selection pane="bottomLeft" activeCell="X55" sqref="X55"/>
      <selection pane="bottomRight" activeCell="BV1" sqref="BV1:BX1048576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5" width="12.85546875" customWidth="1"/>
    <col min="76" max="76" width="18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123</v>
      </c>
      <c r="D2" s="19"/>
      <c r="E2" s="19">
        <v>2014</v>
      </c>
      <c r="G2" s="19">
        <v>3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9"/>
      <c r="AI3" s="79"/>
      <c r="AJ3" s="20"/>
      <c r="AK3" s="88" t="s">
        <v>66</v>
      </c>
      <c r="AL3" s="89"/>
      <c r="AM3" s="89"/>
      <c r="AN3" s="89"/>
      <c r="AO3" s="79"/>
      <c r="AP3" s="79"/>
      <c r="AQ3" s="20"/>
      <c r="AR3" s="90" t="s">
        <v>67</v>
      </c>
      <c r="AS3" s="90"/>
      <c r="AT3" s="90"/>
      <c r="AU3" s="90"/>
      <c r="AV3" s="80"/>
      <c r="AW3" s="80"/>
      <c r="AX3" s="80"/>
      <c r="AY3" s="90" t="s">
        <v>68</v>
      </c>
      <c r="AZ3" s="90"/>
      <c r="BA3" s="90"/>
      <c r="BB3" s="90"/>
      <c r="BC3" s="80"/>
      <c r="BD3" s="80"/>
      <c r="BE3" s="80"/>
      <c r="BF3" s="85" t="s">
        <v>69</v>
      </c>
      <c r="BG3" s="85"/>
      <c r="BH3" s="85"/>
      <c r="BI3" s="85"/>
      <c r="BJ3" s="80"/>
      <c r="BK3" s="80"/>
      <c r="BL3" s="80"/>
      <c r="BM3" s="80"/>
      <c r="BN3" s="80"/>
      <c r="BO3" s="21" t="s">
        <v>28</v>
      </c>
      <c r="BP3" s="79"/>
      <c r="BQ3" s="79"/>
      <c r="BR3" s="79"/>
      <c r="BS3" s="22" t="s">
        <v>29</v>
      </c>
      <c r="BT3" s="79"/>
      <c r="BU3" s="79"/>
      <c r="BV3" s="22"/>
      <c r="BW3" s="22"/>
      <c r="BX3" s="22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2" t="s">
        <v>140</v>
      </c>
      <c r="BX4" s="91" t="s">
        <v>31</v>
      </c>
    </row>
    <row r="5" spans="1:77" x14ac:dyDescent="0.25">
      <c r="A5" s="40">
        <v>1</v>
      </c>
      <c r="B5" s="2" t="s">
        <v>93</v>
      </c>
      <c r="C5" s="2" t="s">
        <v>101</v>
      </c>
      <c r="D5" s="2"/>
      <c r="E5" s="37" t="s">
        <v>112</v>
      </c>
      <c r="F5" s="2"/>
      <c r="G5" s="37" t="s">
        <v>106</v>
      </c>
      <c r="H5" s="40">
        <v>32.4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f t="shared" ref="Q5:Q6" si="1">3.3-1.85</f>
        <v>1.4499999999999997</v>
      </c>
      <c r="R5" s="40">
        <f>Tabelle51218247125116[[#This Row],[Height]]*Tabelle51218247125116[[#This Row],[Length]]</f>
        <v>4.0599999999999987</v>
      </c>
      <c r="S5" s="42">
        <f t="shared" ref="S5:S16" si="2">$H$2</f>
        <v>2.8</v>
      </c>
      <c r="T5" s="3">
        <f t="shared" ref="T5" si="3">0.11+0.11+0.9+3.88</f>
        <v>5</v>
      </c>
      <c r="U5" s="40">
        <f>Tabelle51218247125116[[#This Row],[Height2]]*Tabelle51218247125116[[#This Row],[Length3]]</f>
        <v>14</v>
      </c>
      <c r="V5" s="42">
        <f t="shared" ref="V5:V16" si="4">$H$2</f>
        <v>2.8</v>
      </c>
      <c r="W5" s="3">
        <v>0</v>
      </c>
      <c r="X5" s="3">
        <f>(1-$BR$19)*Tabelle291521494813[[#This Row],[North2]]+(1-$BS$19)*Tabelle291521494813[[#This Row],[East2]]+(1-$BT$19)*Tabelle291521494813[[#This Row],[South2]]+(1-$BU$19)*Tabelle291521494813[[#This Row],[West2]]</f>
        <v>25.087999999999997</v>
      </c>
      <c r="Y5" s="40">
        <f>Tabelle51218247125116[[#This Row],[Height22]]*Tabelle51218247125116[[#This Row],[Length33]]+Tabelle51218247125116[[#This Row],[Length332]]/2</f>
        <v>12.543999999999999</v>
      </c>
      <c r="Z5" s="42">
        <f>IF(Tabelle18142038472[[#This Row],[ceiling]]="c",Tabelle18142038472[[#This Row],[Total Area size '[m^2']]],0)</f>
        <v>32.4</v>
      </c>
      <c r="AA5" s="42">
        <f>IF(Tabelle18142038472[[#This Row],[floor]]="f",Tabelle18142038472[[#This Row],[Total Area size '[m^2']]],0)</f>
        <v>0</v>
      </c>
      <c r="AB5" s="5"/>
      <c r="AC5" s="2">
        <v>0</v>
      </c>
      <c r="AD5" s="2">
        <v>0</v>
      </c>
      <c r="AE5" s="2">
        <v>1</v>
      </c>
      <c r="AF5" s="2">
        <v>0</v>
      </c>
      <c r="AG5" s="42">
        <f t="shared" ref="AG5:AG16" si="5">$H$2</f>
        <v>2.8</v>
      </c>
      <c r="AH5" s="2">
        <v>4.0599999999999996</v>
      </c>
      <c r="AI5" s="44">
        <v>5.28</v>
      </c>
      <c r="AJ5" s="6">
        <v>0</v>
      </c>
      <c r="AK5" s="2">
        <v>1</v>
      </c>
      <c r="AL5" s="2">
        <v>0</v>
      </c>
      <c r="AM5" s="2">
        <v>0</v>
      </c>
      <c r="AN5" s="42">
        <f t="shared" ref="AN5:AN16" si="6">$H$2</f>
        <v>2.8</v>
      </c>
      <c r="AO5" s="2">
        <f t="shared" ref="AO5" si="7">8.78+0.18</f>
        <v>8.9599999999999991</v>
      </c>
      <c r="AP5" s="44">
        <v>0</v>
      </c>
      <c r="AQ5" s="6">
        <v>1</v>
      </c>
      <c r="AR5" s="2">
        <v>0</v>
      </c>
      <c r="AS5" s="2">
        <v>0</v>
      </c>
      <c r="AT5" s="2">
        <v>0</v>
      </c>
      <c r="AU5" s="42">
        <f t="shared" ref="AU5:AU14" si="8">$H$2</f>
        <v>2.8</v>
      </c>
      <c r="AV5" s="2">
        <f t="shared" ref="AV5" si="9">0.15+0.75+2.4+0.96</f>
        <v>4.26</v>
      </c>
      <c r="AW5" s="44">
        <v>2.88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Tabelle31016225104914[[#This Row],[North]]*$AI5+AL5*$AP5+AS5*$AW5+AZ5*$BD5+BG5*$BK5</f>
        <v>5.28</v>
      </c>
      <c r="BO5" s="2">
        <f t="shared" ref="BO5:BO16" si="12">AD5*$AI5+AK5*$AP5+AR5*$AW5+AY5*$BD5+BF5*$BK5</f>
        <v>0</v>
      </c>
      <c r="BP5" s="2">
        <f t="shared" ref="BP5:BP16" si="13">AC5*$AI5+AJ5*$AP5+AQ5*$AW5+AX5*$BD5+BE5*$BK5</f>
        <v>2.88</v>
      </c>
      <c r="BQ5" s="2">
        <f t="shared" ref="BQ5:BQ16" si="14">AF5*$AI5+AM5*$AP5+AT5*$AW5+BA5*$BD5+BH5*$BK5</f>
        <v>0</v>
      </c>
      <c r="BR5" s="6">
        <f>Tabelle31016225104914[[#This Row],[North]]*$AG5*$AH5+AL5*$AN5*$AO5+AS5*$AU5*$AV5+AZ5*$BB5*$BC5+BG5*$BI5*$BJ5-BN5</f>
        <v>6.0879999999999983</v>
      </c>
      <c r="BS5" s="2">
        <f t="shared" ref="BS5:BS16" si="15">AD5*$AG5*$AH5+AK5*$AN5*$AO5+AR5*$AU5*$AV5+AY5*$BB5*$BC5+BF5*$BI5*$BJ5-BO5</f>
        <v>25.087999999999997</v>
      </c>
      <c r="BT5" s="2">
        <f t="shared" ref="BT5:BT16" si="16">AC5*$AG5*$AH5+AJ5*$AN5*$AO5+AQ5*$AU5*$AV5+AX5*$BB5*$BC5+BE5*$BI5*$BJ5-BP5</f>
        <v>9.0479999999999983</v>
      </c>
      <c r="BU5" s="7">
        <f t="shared" ref="BU5:BU16" si="17">AF5*$AG5*$AH5+AM5*$AN5*$AO5+AT5*$AU5*$AV5+BA5*$BB5*$BC5+BH5*$BI5*$BJ5-BQ5</f>
        <v>0</v>
      </c>
      <c r="BV5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5" s="2"/>
      <c r="BX5" s="2">
        <f>IF(Tabelle1814203847[[#This Row],[(g)round/(r )oof2]]="G",Tabelle1814203847[[#This Row],[Total Area size '[m^2']]],IF(Tabelle1814203847[[#This Row],[(g)round/(r )oof2]]="B",Tabelle1814203847[[#This Row],[Total Area size '[m^2']]],0))</f>
        <v>32.4</v>
      </c>
    </row>
    <row r="6" spans="1:77" x14ac:dyDescent="0.25">
      <c r="A6" s="40">
        <v>2</v>
      </c>
      <c r="B6" s="2" t="s">
        <v>11</v>
      </c>
      <c r="C6" s="2" t="s">
        <v>101</v>
      </c>
      <c r="D6" s="2"/>
      <c r="E6" s="37" t="s">
        <v>112</v>
      </c>
      <c r="F6" s="2"/>
      <c r="G6" s="37" t="s">
        <v>106</v>
      </c>
      <c r="H6" s="40">
        <v>11.2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f t="shared" si="1"/>
        <v>1.4499999999999997</v>
      </c>
      <c r="R6" s="40">
        <f>Tabelle51218247125116[[#This Row],[Height]]*Tabelle51218247125116[[#This Row],[Length]]</f>
        <v>4.0599999999999987</v>
      </c>
      <c r="S6" s="42">
        <f t="shared" si="2"/>
        <v>2.8</v>
      </c>
      <c r="T6" s="3">
        <v>1.9</v>
      </c>
      <c r="U6" s="40">
        <f>Tabelle51218247125116[[#This Row],[Height2]]*Tabelle51218247125116[[#This Row],[Length3]]</f>
        <v>5.3199999999999994</v>
      </c>
      <c r="V6" s="42">
        <f t="shared" si="4"/>
        <v>2.8</v>
      </c>
      <c r="W6" s="3">
        <v>0</v>
      </c>
      <c r="X6" s="3">
        <f>(1-$BR$19)*Tabelle291521494813[[#This Row],[North2]]+(1-$BS$19)*Tabelle291521494813[[#This Row],[East2]]+(1-$BT$19)*Tabelle291521494813[[#This Row],[South2]]+(1-$BU$19)*Tabelle291521494813[[#This Row],[West2]]</f>
        <v>23.101999999999997</v>
      </c>
      <c r="Y6" s="40">
        <f>Tabelle51218247125116[[#This Row],[Height22]]*Tabelle51218247125116[[#This Row],[Length33]]+Tabelle51218247125116[[#This Row],[Length332]]/2</f>
        <v>11.550999999999998</v>
      </c>
      <c r="Z6" s="42">
        <f>IF(Tabelle18142038472[[#This Row],[ceiling]]="c",Tabelle18142038472[[#This Row],[Total Area size '[m^2']]],0)</f>
        <v>11.2</v>
      </c>
      <c r="AA6" s="42">
        <f>IF(Tabelle18142038472[[#This Row],[floor]]="f",Tabelle18142038472[[#This Row],[Total Area size '[m^2']]],0)</f>
        <v>0</v>
      </c>
      <c r="AB6" s="5"/>
      <c r="AC6" s="2">
        <v>0</v>
      </c>
      <c r="AD6" s="2">
        <v>0</v>
      </c>
      <c r="AE6" s="2">
        <v>1</v>
      </c>
      <c r="AF6" s="2">
        <v>0</v>
      </c>
      <c r="AG6" s="42">
        <f t="shared" si="5"/>
        <v>2.8</v>
      </c>
      <c r="AH6" s="2">
        <v>2.38</v>
      </c>
      <c r="AI6" s="44">
        <v>0.63</v>
      </c>
      <c r="AJ6" s="6">
        <v>0</v>
      </c>
      <c r="AK6" s="3">
        <v>1</v>
      </c>
      <c r="AL6" s="2">
        <v>0</v>
      </c>
      <c r="AM6" s="2">
        <v>0</v>
      </c>
      <c r="AN6" s="42">
        <f t="shared" si="6"/>
        <v>2.8</v>
      </c>
      <c r="AO6" s="2">
        <f>2.6+0.18</f>
        <v>2.7800000000000002</v>
      </c>
      <c r="AP6" s="44">
        <v>2.2799999999999998</v>
      </c>
      <c r="AQ6" s="6">
        <v>0</v>
      </c>
      <c r="AR6" s="2">
        <v>0</v>
      </c>
      <c r="AS6" s="2">
        <v>0</v>
      </c>
      <c r="AT6" s="2">
        <v>1</v>
      </c>
      <c r="AU6" s="42">
        <f t="shared" si="8"/>
        <v>2.8</v>
      </c>
      <c r="AV6" s="2">
        <v>6.2850000000000001</v>
      </c>
      <c r="AW6" s="44">
        <v>0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Tabelle31016225104914[[#This Row],[North]]*$AI6+AL6*$AP6+AS6*$AW6+AZ6*$BD6+BG6*$BK6</f>
        <v>0.63</v>
      </c>
      <c r="BO6" s="2">
        <f t="shared" si="12"/>
        <v>2.2799999999999998</v>
      </c>
      <c r="BP6" s="2">
        <f t="shared" si="13"/>
        <v>0</v>
      </c>
      <c r="BQ6" s="2">
        <f t="shared" si="14"/>
        <v>0</v>
      </c>
      <c r="BR6" s="6">
        <f>Tabelle31016225104914[[#This Row],[North]]*$AG6*$AH6+AL6*$AN6*$AO6+AS6*$AU6*$AV6+AZ6*$BB6*$BC6+BG6*$BI6*$BJ6-BN6</f>
        <v>6.0339999999999998</v>
      </c>
      <c r="BS6" s="2">
        <f t="shared" si="15"/>
        <v>5.5039999999999996</v>
      </c>
      <c r="BT6" s="2">
        <f t="shared" si="16"/>
        <v>0</v>
      </c>
      <c r="BU6" s="7">
        <f t="shared" si="17"/>
        <v>17.597999999999999</v>
      </c>
      <c r="BV6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6" s="2"/>
      <c r="BX6" s="2">
        <f>IF(Tabelle1814203847[[#This Row],[(g)round/(r )oof2]]="G",Tabelle1814203847[[#This Row],[Total Area size '[m^2']]],IF(Tabelle1814203847[[#This Row],[(g)round/(r )oof2]]="B",Tabelle1814203847[[#This Row],[Total Area size '[m^2']]],0))</f>
        <v>11.2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/>
      <c r="H7" s="40">
        <v>17.399999999999999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f>3.9+3.3</f>
        <v>7.1999999999999993</v>
      </c>
      <c r="R7" s="40">
        <f>Tabelle51218247125116[[#This Row],[Height]]*Tabelle51218247125116[[#This Row],[Length]]</f>
        <v>20.159999999999997</v>
      </c>
      <c r="S7" s="42">
        <f t="shared" si="2"/>
        <v>2.8</v>
      </c>
      <c r="T7" s="3">
        <f>4.45-3.3</f>
        <v>1.1500000000000004</v>
      </c>
      <c r="U7" s="40">
        <f>Tabelle51218247125116[[#This Row],[Height2]]*Tabelle51218247125116[[#This Row],[Length3]]</f>
        <v>3.2200000000000006</v>
      </c>
      <c r="V7" s="42">
        <f t="shared" si="4"/>
        <v>2.8</v>
      </c>
      <c r="W7" s="3">
        <v>0</v>
      </c>
      <c r="X7" s="3">
        <f>(1-$BR$19)*Tabelle291521494813[[#This Row],[North2]]+(1-$BS$19)*Tabelle291521494813[[#This Row],[East2]]+(1-$BT$19)*Tabelle291521494813[[#This Row],[South2]]+(1-$BU$19)*Tabelle291521494813[[#This Row],[West2]]</f>
        <v>13.537999999999998</v>
      </c>
      <c r="Y7" s="40">
        <f>Tabelle51218247125116[[#This Row],[Height22]]*Tabelle51218247125116[[#This Row],[Length33]]+Tabelle51218247125116[[#This Row],[Length332]]/2</f>
        <v>6.7689999999999992</v>
      </c>
      <c r="Z7" s="42">
        <f>IF(Tabelle18142038472[[#This Row],[ceiling]]="c",Tabelle18142038472[[#This Row],[Total Area size '[m^2']]],0)</f>
        <v>17.399999999999999</v>
      </c>
      <c r="AA7" s="42">
        <f>IF(Tabelle18142038472[[#This Row],[floor]]="f",Tabelle18142038472[[#This Row],[Total Area size '[m^2']]],0)</f>
        <v>17.399999999999999</v>
      </c>
      <c r="AB7" s="5"/>
      <c r="AC7" s="2">
        <v>0</v>
      </c>
      <c r="AD7" s="2">
        <v>0</v>
      </c>
      <c r="AE7" s="2">
        <v>1</v>
      </c>
      <c r="AF7" s="2">
        <v>0</v>
      </c>
      <c r="AG7" s="42">
        <f t="shared" si="5"/>
        <v>2.8</v>
      </c>
      <c r="AH7" s="3">
        <v>4.13</v>
      </c>
      <c r="AI7" s="44">
        <v>2.88</v>
      </c>
      <c r="AJ7" s="6">
        <v>0</v>
      </c>
      <c r="AK7" s="2">
        <v>1</v>
      </c>
      <c r="AL7" s="2">
        <v>0</v>
      </c>
      <c r="AM7" s="2">
        <v>0</v>
      </c>
      <c r="AN7" s="42">
        <f t="shared" si="6"/>
        <v>2.8</v>
      </c>
      <c r="AO7" s="2">
        <f>0.33+4.45+0.055</f>
        <v>4.835</v>
      </c>
      <c r="AP7" s="44">
        <v>0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Tabelle31016225104914[[#This Row],[North]]*$AI7+AL7*$AP7+AS7*$AW7+AZ7*$BD7+BG7*$BK7</f>
        <v>2.88</v>
      </c>
      <c r="BO7" s="2">
        <f t="shared" si="12"/>
        <v>0</v>
      </c>
      <c r="BP7" s="2">
        <f t="shared" si="13"/>
        <v>0</v>
      </c>
      <c r="BQ7" s="2">
        <f t="shared" si="14"/>
        <v>0</v>
      </c>
      <c r="BR7" s="6">
        <f>Tabelle31016225104914[[#This Row],[North]]*$AG7*$AH7+AL7*$AN7*$AO7+AS7*$AU7*$AV7+AZ7*$BB7*$BC7+BG7*$BI7*$BJ7-BN7</f>
        <v>8.6839999999999975</v>
      </c>
      <c r="BS7" s="2">
        <f t="shared" si="15"/>
        <v>13.537999999999998</v>
      </c>
      <c r="BT7" s="2">
        <f t="shared" si="16"/>
        <v>0</v>
      </c>
      <c r="BU7" s="7">
        <f t="shared" si="17"/>
        <v>0</v>
      </c>
      <c r="BV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7" s="2"/>
      <c r="BX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/>
      <c r="H8" s="40">
        <v>14.6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3.9</f>
        <v>3.9</v>
      </c>
      <c r="R8" s="40">
        <f>Tabelle51218247125116[[#This Row],[Height]]*Tabelle51218247125116[[#This Row],[Length]]</f>
        <v>10.92</v>
      </c>
      <c r="S8" s="42">
        <f t="shared" si="2"/>
        <v>2.8</v>
      </c>
      <c r="T8" s="3">
        <f>3.74+0.11</f>
        <v>3.85</v>
      </c>
      <c r="U8" s="40">
        <f>Tabelle51218247125116[[#This Row],[Height2]]*Tabelle51218247125116[[#This Row],[Length3]]</f>
        <v>10.78</v>
      </c>
      <c r="V8" s="42">
        <f t="shared" si="4"/>
        <v>2.8</v>
      </c>
      <c r="W8" s="3">
        <v>0</v>
      </c>
      <c r="X8" s="3">
        <f>(1-$BR$19)*Tabelle291521494813[[#This Row],[North2]]+(1-$BS$19)*Tabelle291521494813[[#This Row],[East2]]+(1-$BT$19)*Tabelle291521494813[[#This Row],[South2]]+(1-$BU$19)*Tabelle291521494813[[#This Row],[West2]]</f>
        <v>11.045999999999999</v>
      </c>
      <c r="Y8" s="40">
        <f>Tabelle51218247125116[[#This Row],[Height22]]*Tabelle51218247125116[[#This Row],[Length33]]+Tabelle51218247125116[[#This Row],[Length332]]/2</f>
        <v>5.5229999999999997</v>
      </c>
      <c r="Z8" s="42">
        <f>IF(Tabelle18142038472[[#This Row],[ceiling]]="c",Tabelle18142038472[[#This Row],[Total Area size '[m^2']]],0)</f>
        <v>14.6</v>
      </c>
      <c r="AA8" s="42">
        <f>IF(Tabelle18142038472[[#This Row],[floor]]="f",Tabelle18142038472[[#This Row],[Total Area size '[m^2']]],0)</f>
        <v>14.6</v>
      </c>
      <c r="AB8" s="5"/>
      <c r="AC8" s="2">
        <v>0</v>
      </c>
      <c r="AD8" s="2">
        <v>1</v>
      </c>
      <c r="AE8" s="2">
        <v>0</v>
      </c>
      <c r="AF8" s="2">
        <v>0</v>
      </c>
      <c r="AG8" s="42">
        <f t="shared" si="5"/>
        <v>2.8</v>
      </c>
      <c r="AH8" s="2">
        <f>0.055+3.74+0.15</f>
        <v>3.9450000000000003</v>
      </c>
      <c r="AI8" s="44">
        <v>0</v>
      </c>
      <c r="AJ8" s="6">
        <v>1</v>
      </c>
      <c r="AK8" s="2">
        <v>0</v>
      </c>
      <c r="AL8" s="2">
        <v>0</v>
      </c>
      <c r="AM8" s="2">
        <v>0</v>
      </c>
      <c r="AN8" s="42">
        <f t="shared" si="6"/>
        <v>2.8</v>
      </c>
      <c r="AO8" s="2">
        <f>0.15+0.75+2.4+0.75+0.105</f>
        <v>4.1550000000000002</v>
      </c>
      <c r="AP8" s="44">
        <v>2.88</v>
      </c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Tabelle31016225104914[[#This Row],[North]]*$AI8+AL8*$AP8+AS8*$AW8+AZ8*$BD8+BG8*$BK8</f>
        <v>0</v>
      </c>
      <c r="BO8" s="2">
        <f t="shared" si="12"/>
        <v>0</v>
      </c>
      <c r="BP8" s="2">
        <f t="shared" si="13"/>
        <v>2.88</v>
      </c>
      <c r="BQ8" s="2">
        <f t="shared" si="14"/>
        <v>0</v>
      </c>
      <c r="BR8" s="6">
        <f>Tabelle31016225104914[[#This Row],[North]]*$AG8*$AH8+AL8*$AN8*$AO8+AS8*$AU8*$AV8+AZ8*$BB8*$BC8+BG8*$BI8*$BJ8-BN8</f>
        <v>0</v>
      </c>
      <c r="BS8" s="2">
        <f t="shared" si="15"/>
        <v>11.045999999999999</v>
      </c>
      <c r="BT8" s="2">
        <f t="shared" si="16"/>
        <v>8.7540000000000013</v>
      </c>
      <c r="BU8" s="7">
        <f t="shared" si="17"/>
        <v>0</v>
      </c>
      <c r="BV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8" s="2"/>
      <c r="BX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/>
      <c r="F9" s="2"/>
      <c r="G9" s="37" t="s">
        <v>107</v>
      </c>
      <c r="H9" s="40">
        <v>16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3.9</v>
      </c>
      <c r="R9" s="40">
        <f>Tabelle51218247125116[[#This Row],[Height]]*Tabelle51218247125116[[#This Row],[Length]]</f>
        <v>10.92</v>
      </c>
      <c r="S9" s="42">
        <f t="shared" si="2"/>
        <v>2.8</v>
      </c>
      <c r="T9" s="3">
        <f>4.99+0.11</f>
        <v>5.1000000000000005</v>
      </c>
      <c r="U9" s="40">
        <f>Tabelle51218247125116[[#This Row],[Height2]]*Tabelle51218247125116[[#This Row],[Length3]]</f>
        <v>14.280000000000001</v>
      </c>
      <c r="V9" s="42">
        <f t="shared" si="4"/>
        <v>2.8</v>
      </c>
      <c r="W9" s="3">
        <v>0</v>
      </c>
      <c r="X9" s="3">
        <f>(1-$BR$19)*Tabelle291521494813[[#This Row],[North2]]+(1-$BS$19)*Tabelle291521494813[[#This Row],[East2]]+(1-$BT$19)*Tabelle291521494813[[#This Row],[South2]]+(1-$BU$19)*Tabelle291521494813[[#This Row],[West2]]</f>
        <v>15.049999999999999</v>
      </c>
      <c r="Y9" s="40">
        <f>Tabelle51218247125116[[#This Row],[Height22]]*Tabelle51218247125116[[#This Row],[Length33]]+Tabelle51218247125116[[#This Row],[Length332]]/2</f>
        <v>7.5249999999999995</v>
      </c>
      <c r="Z9" s="42">
        <f>IF(Tabelle18142038472[[#This Row],[ceiling]]="c",Tabelle18142038472[[#This Row],[Total Area size '[m^2']]],0)</f>
        <v>0</v>
      </c>
      <c r="AA9" s="42">
        <f>IF(Tabelle18142038472[[#This Row],[floor]]="f",Tabelle18142038472[[#This Row],[Total Area size '[m^2']]],0)</f>
        <v>16</v>
      </c>
      <c r="AB9" s="5"/>
      <c r="AC9" s="2">
        <v>0</v>
      </c>
      <c r="AD9" s="2">
        <v>1</v>
      </c>
      <c r="AE9" s="2">
        <v>0</v>
      </c>
      <c r="AF9" s="2">
        <v>0</v>
      </c>
      <c r="AG9" s="42">
        <f t="shared" si="5"/>
        <v>2.8</v>
      </c>
      <c r="AH9" s="2">
        <f>0.055+4.99+0.33</f>
        <v>5.375</v>
      </c>
      <c r="AI9" s="44">
        <v>0</v>
      </c>
      <c r="AJ9" s="6">
        <v>1</v>
      </c>
      <c r="AK9" s="2">
        <v>0</v>
      </c>
      <c r="AL9" s="2">
        <v>0</v>
      </c>
      <c r="AM9" s="2">
        <v>0</v>
      </c>
      <c r="AN9" s="42">
        <f t="shared" si="6"/>
        <v>2.8</v>
      </c>
      <c r="AO9" s="2">
        <f>0.15+0.59+2.4+0.91+0.08</f>
        <v>4.13</v>
      </c>
      <c r="AP9" s="44">
        <v>2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Tabelle31016225104914[[#This Row],[North]]*$AI9+AL9*$AP9+AS9*$AW9+AZ9*$BD9+BG9*$BK9</f>
        <v>0</v>
      </c>
      <c r="BO9" s="2">
        <f t="shared" si="12"/>
        <v>0</v>
      </c>
      <c r="BP9" s="2">
        <f t="shared" si="13"/>
        <v>2</v>
      </c>
      <c r="BQ9" s="2">
        <f t="shared" si="14"/>
        <v>0</v>
      </c>
      <c r="BR9" s="6">
        <f>Tabelle31016225104914[[#This Row],[North]]*$AG9*$AH9+AL9*$AN9*$AO9+AS9*$AU9*$AV9+AZ9*$BB9*$BC9+BG9*$BI9*$BJ9-BN9</f>
        <v>0</v>
      </c>
      <c r="BS9" s="2">
        <f t="shared" si="15"/>
        <v>15.049999999999999</v>
      </c>
      <c r="BT9" s="2">
        <f t="shared" si="16"/>
        <v>9.5639999999999983</v>
      </c>
      <c r="BU9" s="7">
        <f t="shared" si="17"/>
        <v>0</v>
      </c>
      <c r="BV9" s="2">
        <f>IF(Tabelle1814203847[[#This Row],[(g)round/(r )oof2]]="R",Tabelle1814203847[[#This Row],[Total Area size '[m^2']]],IF(Tabelle1814203847[[#This Row],[(g)round/(r )oof2]]="B",Tabelle1814203847[[#This Row],[Total Area size '[m^2']]],0))</f>
        <v>16</v>
      </c>
      <c r="BW9" s="2"/>
      <c r="BX9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/>
      <c r="H10" s="40">
        <v>6.3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v>3.3</v>
      </c>
      <c r="R10" s="40">
        <f>Tabelle51218247125116[[#This Row],[Height]]*Tabelle51218247125116[[#This Row],[Length]]</f>
        <v>9.2399999999999984</v>
      </c>
      <c r="S10" s="42">
        <f t="shared" si="2"/>
        <v>2.8</v>
      </c>
      <c r="T10" s="3">
        <v>1.9</v>
      </c>
      <c r="U10" s="40">
        <f>Tabelle51218247125116[[#This Row],[Height2]]*Tabelle51218247125116[[#This Row],[Length3]]</f>
        <v>5.3199999999999994</v>
      </c>
      <c r="V10" s="42">
        <f t="shared" si="4"/>
        <v>2.8</v>
      </c>
      <c r="W10" s="3">
        <v>0</v>
      </c>
      <c r="X10" s="3">
        <f>(1-$BR$19)*Tabelle291521494813[[#This Row],[North2]]+(1-$BS$19)*Tabelle291521494813[[#This Row],[East2]]+(1-$BT$19)*Tabelle291521494813[[#This Row],[South2]]+(1-$BU$19)*Tabelle291521494813[[#This Row],[West2]]</f>
        <v>10.318</v>
      </c>
      <c r="Y10" s="40">
        <f>Tabelle51218247125116[[#This Row],[Height22]]*Tabelle51218247125116[[#This Row],[Length33]]+Tabelle51218247125116[[#This Row],[Length332]]/2</f>
        <v>5.1589999999999998</v>
      </c>
      <c r="Z10" s="42">
        <f>IF(Tabelle18142038472[[#This Row],[ceiling]]="c",Tabelle18142038472[[#This Row],[Total Area size '[m^2']]],0)</f>
        <v>6.3</v>
      </c>
      <c r="AA10" s="42">
        <f>IF(Tabelle18142038472[[#This Row],[floor]]="f",Tabelle18142038472[[#This Row],[Total Area size '[m^2']]],0)</f>
        <v>6.3</v>
      </c>
      <c r="AB10" s="5"/>
      <c r="AC10" s="2">
        <v>0</v>
      </c>
      <c r="AD10" s="2">
        <v>0</v>
      </c>
      <c r="AE10" s="2">
        <v>1</v>
      </c>
      <c r="AF10" s="2">
        <v>0</v>
      </c>
      <c r="AG10" s="42">
        <f t="shared" si="5"/>
        <v>2.8</v>
      </c>
      <c r="AH10" s="2">
        <v>2.13</v>
      </c>
      <c r="AI10" s="44">
        <v>0.96</v>
      </c>
      <c r="AJ10" s="6">
        <v>0</v>
      </c>
      <c r="AK10" s="2">
        <v>0</v>
      </c>
      <c r="AL10" s="3">
        <v>0</v>
      </c>
      <c r="AM10" s="2">
        <v>1</v>
      </c>
      <c r="AN10" s="42">
        <f t="shared" si="6"/>
        <v>2.8</v>
      </c>
      <c r="AO10" s="3">
        <v>3.6850000000000001</v>
      </c>
      <c r="AP10" s="44">
        <v>0</v>
      </c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Tabelle31016225104914[[#This Row],[North]]*$AI10+AL10*$AP10+AS10*$AW10+AZ10*$BD10+BG10*$BK10</f>
        <v>0.96</v>
      </c>
      <c r="BO10" s="2">
        <f t="shared" si="12"/>
        <v>0</v>
      </c>
      <c r="BP10" s="2">
        <f t="shared" si="13"/>
        <v>0</v>
      </c>
      <c r="BQ10" s="2">
        <f t="shared" si="14"/>
        <v>0</v>
      </c>
      <c r="BR10" s="6">
        <f>Tabelle31016225104914[[#This Row],[North]]*$AG10*$AH10+AL10*$AN10*$AO10+AS10*$AU10*$AV10+AZ10*$BB10*$BC10+BG10*$BI10*$BJ10-BN10</f>
        <v>5.0039999999999996</v>
      </c>
      <c r="BS10" s="2">
        <f t="shared" si="15"/>
        <v>0</v>
      </c>
      <c r="BT10" s="2">
        <f t="shared" si="16"/>
        <v>0</v>
      </c>
      <c r="BU10" s="7">
        <f t="shared" si="17"/>
        <v>10.318</v>
      </c>
      <c r="BV10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0" s="2"/>
      <c r="BX10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1" spans="1:77" x14ac:dyDescent="0.25">
      <c r="A11" s="40">
        <v>7</v>
      </c>
      <c r="B11" s="2" t="s">
        <v>99</v>
      </c>
      <c r="C11" s="2" t="s">
        <v>10</v>
      </c>
      <c r="D11" s="2"/>
      <c r="E11" s="37" t="s">
        <v>112</v>
      </c>
      <c r="F11" s="2"/>
      <c r="G11" s="37" t="s">
        <v>106</v>
      </c>
      <c r="H11" s="40">
        <v>1.7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1.9</f>
        <v>1.9</v>
      </c>
      <c r="R11" s="40">
        <f>Tabelle51218247125116[[#This Row],[Height]]*Tabelle51218247125116[[#This Row],[Length]]</f>
        <v>5.3199999999999994</v>
      </c>
      <c r="S11" s="42">
        <f t="shared" si="2"/>
        <v>2.8</v>
      </c>
      <c r="T11" s="3">
        <v>0</v>
      </c>
      <c r="U11" s="40">
        <f>Tabelle51218247125116[[#This Row],[Height2]]*Tabelle51218247125116[[#This Row],[Length3]]</f>
        <v>0</v>
      </c>
      <c r="V11" s="42">
        <f t="shared" si="4"/>
        <v>2.8</v>
      </c>
      <c r="W11" s="3">
        <v>0</v>
      </c>
      <c r="X11" s="3">
        <f>(1-$BR$19)*Tabelle291521494813[[#This Row],[North2]]+(1-$BS$19)*Tabelle291521494813[[#This Row],[East2]]+(1-$BT$19)*Tabelle291521494813[[#This Row],[South2]]+(1-$BU$19)*Tabelle291521494813[[#This Row],[West2]]</f>
        <v>2.8279999999999998</v>
      </c>
      <c r="Y11" s="40">
        <f>Tabelle51218247125116[[#This Row],[Height22]]*Tabelle51218247125116[[#This Row],[Length33]]+Tabelle51218247125116[[#This Row],[Length332]]/2</f>
        <v>1.4139999999999999</v>
      </c>
      <c r="Z11" s="42">
        <f>IF(Tabelle18142038472[[#This Row],[ceiling]]="c",Tabelle18142038472[[#This Row],[Total Area size '[m^2']]],0)</f>
        <v>1.7</v>
      </c>
      <c r="AA11" s="42">
        <f>IF(Tabelle18142038472[[#This Row],[floor]]="f",Tabelle18142038472[[#This Row],[Total Area size '[m^2']]],0)</f>
        <v>0</v>
      </c>
      <c r="AB11" s="5"/>
      <c r="AC11" s="2">
        <v>0</v>
      </c>
      <c r="AD11" s="2">
        <v>0</v>
      </c>
      <c r="AE11" s="2">
        <v>0</v>
      </c>
      <c r="AF11" s="2">
        <v>1</v>
      </c>
      <c r="AG11" s="42">
        <f t="shared" si="5"/>
        <v>2.8</v>
      </c>
      <c r="AH11" s="2">
        <v>1.01</v>
      </c>
      <c r="AI11" s="44">
        <v>0</v>
      </c>
      <c r="AJ11" s="6"/>
      <c r="AK11" s="2"/>
      <c r="AL11" s="2"/>
      <c r="AM11" s="2"/>
      <c r="AN11" s="42">
        <f t="shared" si="6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Tabelle31016225104914[[#This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Tabelle31016225104914[[#This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0</v>
      </c>
      <c r="BU11" s="7">
        <f t="shared" si="17"/>
        <v>2.8279999999999998</v>
      </c>
      <c r="BV11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1" s="2"/>
      <c r="BX11" s="2">
        <f>IF(Tabelle1814203847[[#This Row],[(g)round/(r )oof2]]="G",Tabelle1814203847[[#This Row],[Total Area size '[m^2']]],IF(Tabelle1814203847[[#This Row],[(g)round/(r )oof2]]="B",Tabelle1814203847[[#This Row],[Total Area size '[m^2']]],0))</f>
        <v>1.7</v>
      </c>
    </row>
    <row r="12" spans="1:77" x14ac:dyDescent="0.25">
      <c r="A12" s="40">
        <v>8</v>
      </c>
      <c r="B12" s="2" t="s">
        <v>108</v>
      </c>
      <c r="C12" s="2" t="s">
        <v>10</v>
      </c>
      <c r="D12" s="2"/>
      <c r="E12" s="37" t="s">
        <v>112</v>
      </c>
      <c r="F12" s="2"/>
      <c r="G12" s="37" t="s">
        <v>106</v>
      </c>
      <c r="H12" s="40">
        <v>6.93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v>1.9</v>
      </c>
      <c r="R12" s="40">
        <f>Tabelle51218247125116[[#This Row],[Height]]*Tabelle51218247125116[[#This Row],[Length]]</f>
        <v>5.3199999999999994</v>
      </c>
      <c r="S12" s="42">
        <f t="shared" si="2"/>
        <v>2.8</v>
      </c>
      <c r="T12" s="3">
        <v>0</v>
      </c>
      <c r="U12" s="40">
        <f>Tabelle51218247125116[[#This Row],[Height2]]*Tabelle51218247125116[[#This Row],[Length3]]</f>
        <v>0</v>
      </c>
      <c r="V12" s="42">
        <f t="shared" si="4"/>
        <v>2.8</v>
      </c>
      <c r="W12" s="3">
        <v>0</v>
      </c>
      <c r="X12" s="3">
        <f>(1-$BR$19)*Tabelle291521494813[[#This Row],[North2]]+(1-$BS$19)*Tabelle291521494813[[#This Row],[East2]]+(1-$BT$19)*Tabelle291521494813[[#This Row],[South2]]+(1-$BU$19)*Tabelle291521494813[[#This Row],[West2]]</f>
        <v>11.941999999999998</v>
      </c>
      <c r="Y12" s="40">
        <f>Tabelle51218247125116[[#This Row],[Height22]]*Tabelle51218247125116[[#This Row],[Length33]]+Tabelle51218247125116[[#This Row],[Length332]]/2</f>
        <v>5.9709999999999992</v>
      </c>
      <c r="Z12" s="42">
        <f>IF(Tabelle18142038472[[#This Row],[ceiling]]="c",Tabelle18142038472[[#This Row],[Total Area size '[m^2']]],0)</f>
        <v>6.93</v>
      </c>
      <c r="AA12" s="42">
        <f>IF(Tabelle18142038472[[#This Row],[floor]]="f",Tabelle18142038472[[#This Row],[Total Area size '[m^2']]],0)</f>
        <v>0</v>
      </c>
      <c r="AB12" s="5"/>
      <c r="AC12" s="2">
        <v>1</v>
      </c>
      <c r="AD12" s="2">
        <v>0</v>
      </c>
      <c r="AE12" s="2">
        <v>0</v>
      </c>
      <c r="AF12" s="2">
        <v>0</v>
      </c>
      <c r="AG12" s="42">
        <f t="shared" si="5"/>
        <v>2.8</v>
      </c>
      <c r="AH12" s="2">
        <f>0.15+0.95+0.9</f>
        <v>2</v>
      </c>
      <c r="AI12" s="44">
        <v>0</v>
      </c>
      <c r="AJ12" s="6">
        <v>0</v>
      </c>
      <c r="AK12" s="2">
        <v>0</v>
      </c>
      <c r="AL12" s="2">
        <v>0</v>
      </c>
      <c r="AM12" s="2">
        <v>1</v>
      </c>
      <c r="AN12" s="42">
        <f t="shared" si="6"/>
        <v>2.8</v>
      </c>
      <c r="AO12" s="2">
        <f>4.265</f>
        <v>4.2649999999999997</v>
      </c>
      <c r="AP12" s="44">
        <v>0</v>
      </c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Tabelle31016225104914[[#This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Tabelle31016225104914[[#This Row],[North]]*$AG12*$AH12+AL12*$AN12*$AO12+AS12*$AU12*$AV12+AZ12*$BB12*$BC12+BG12*$BI12*$BJ12-BN12</f>
        <v>0</v>
      </c>
      <c r="BS12" s="2">
        <f t="shared" si="15"/>
        <v>0</v>
      </c>
      <c r="BT12" s="2">
        <f t="shared" si="16"/>
        <v>5.6</v>
      </c>
      <c r="BU12" s="7">
        <f t="shared" si="17"/>
        <v>11.941999999999998</v>
      </c>
      <c r="BV12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2" s="2"/>
      <c r="BX12" s="2">
        <f>IF(Tabelle1814203847[[#This Row],[(g)round/(r )oof2]]="G",Tabelle1814203847[[#This Row],[Total Area size '[m^2']]],IF(Tabelle1814203847[[#This Row],[(g)round/(r )oof2]]="B",Tabelle1814203847[[#This Row],[Total Area size '[m^2']]],0))</f>
        <v>6.93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/>
      <c r="F13" s="2"/>
      <c r="G13" s="37" t="s">
        <v>107</v>
      </c>
      <c r="H13" s="40">
        <v>2.2000000000000002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v>1.9</v>
      </c>
      <c r="R13" s="40">
        <f>Tabelle51218247125116[[#This Row],[Height]]*Tabelle51218247125116[[#This Row],[Length]]</f>
        <v>5.3199999999999994</v>
      </c>
      <c r="S13" s="42">
        <f t="shared" si="2"/>
        <v>2.8</v>
      </c>
      <c r="T13" s="33">
        <v>0</v>
      </c>
      <c r="U13" s="40">
        <f>Tabelle51218247125116[[#This Row],[Height2]]*Tabelle51218247125116[[#This Row],[Length3]]</f>
        <v>0</v>
      </c>
      <c r="V13" s="42">
        <f t="shared" si="4"/>
        <v>2.8</v>
      </c>
      <c r="W13" s="3">
        <v>0</v>
      </c>
      <c r="X13" s="3">
        <f>(1-$BR$19)*Tabelle291521494813[[#This Row],[North2]]+(1-$BS$19)*Tabelle291521494813[[#This Row],[East2]]+(1-$BT$19)*Tabelle291521494813[[#This Row],[South2]]+(1-$BU$19)*Tabelle291521494813[[#This Row],[West2]]</f>
        <v>6.8179999999999996</v>
      </c>
      <c r="Y13" s="40">
        <f>Tabelle51218247125116[[#This Row],[Height22]]*Tabelle51218247125116[[#This Row],[Length33]]+Tabelle51218247125116[[#This Row],[Length332]]/2</f>
        <v>3.4089999999999998</v>
      </c>
      <c r="Z13" s="42">
        <f>IF(Tabelle18142038472[[#This Row],[ceiling]]="c",Tabelle18142038472[[#This Row],[Total Area size '[m^2']]],0)</f>
        <v>0</v>
      </c>
      <c r="AA13" s="42">
        <f>IF(Tabelle18142038472[[#This Row],[floor]]="f",Tabelle18142038472[[#This Row],[Total Area size '[m^2']]],0)</f>
        <v>2.2000000000000002</v>
      </c>
      <c r="AB13" s="5"/>
      <c r="AC13" s="2">
        <v>0</v>
      </c>
      <c r="AD13" s="2">
        <v>0</v>
      </c>
      <c r="AE13" s="2">
        <v>1</v>
      </c>
      <c r="AF13" s="2">
        <v>0</v>
      </c>
      <c r="AG13" s="42">
        <f t="shared" si="5"/>
        <v>2.8</v>
      </c>
      <c r="AH13" s="2">
        <f>0.15+1.9+0.08</f>
        <v>2.13</v>
      </c>
      <c r="AI13" s="44">
        <v>1</v>
      </c>
      <c r="AJ13" s="6">
        <v>0</v>
      </c>
      <c r="AK13" s="2">
        <v>0</v>
      </c>
      <c r="AL13" s="2">
        <v>0</v>
      </c>
      <c r="AM13" s="2">
        <v>1</v>
      </c>
      <c r="AN13" s="42">
        <f t="shared" si="6"/>
        <v>2.8</v>
      </c>
      <c r="AO13" s="2">
        <f>0.33+2.05+0.055</f>
        <v>2.4350000000000001</v>
      </c>
      <c r="AP13" s="44">
        <v>0</v>
      </c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Tabelle31016225104914[[#This Row],[North]]*$AI13+AL13*$AP13+AS13*$AW13+AZ13*$BD13+BG13*$BK13</f>
        <v>1</v>
      </c>
      <c r="BO13" s="2">
        <f t="shared" si="12"/>
        <v>0</v>
      </c>
      <c r="BP13" s="2">
        <f t="shared" si="13"/>
        <v>0</v>
      </c>
      <c r="BQ13" s="2">
        <f t="shared" si="14"/>
        <v>0</v>
      </c>
      <c r="BR13" s="6">
        <f>Tabelle31016225104914[[#This Row],[North]]*$AG13*$AH13+AL13*$AN13*$AO13+AS13*$AU13*$AV13+AZ13*$BB13*$BC13+BG13*$BI13*$BJ13-BN13</f>
        <v>4.9639999999999995</v>
      </c>
      <c r="BS13" s="2">
        <f t="shared" si="15"/>
        <v>0</v>
      </c>
      <c r="BT13" s="2">
        <f t="shared" si="16"/>
        <v>0</v>
      </c>
      <c r="BU13" s="7">
        <f t="shared" si="17"/>
        <v>6.8179999999999996</v>
      </c>
      <c r="BV13" s="2">
        <f>IF(Tabelle1814203847[[#This Row],[(g)round/(r )oof2]]="R",Tabelle1814203847[[#This Row],[Total Area size '[m^2']]],IF(Tabelle1814203847[[#This Row],[(g)round/(r )oof2]]="B",Tabelle1814203847[[#This Row],[Total Area size '[m^2']]],0))</f>
        <v>2.2000000000000002</v>
      </c>
      <c r="BW13" s="2"/>
      <c r="BX13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4" spans="1:77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112</v>
      </c>
      <c r="F14" s="2"/>
      <c r="G14" s="37"/>
      <c r="H14" s="40">
        <v>6.93</v>
      </c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>
        <v>0</v>
      </c>
      <c r="R14" s="40">
        <f>Tabelle51218247125116[[#This Row],[Height]]*Tabelle51218247125116[[#This Row],[Length]]</f>
        <v>0</v>
      </c>
      <c r="S14" s="42">
        <f t="shared" si="2"/>
        <v>2.8</v>
      </c>
      <c r="T14" s="3">
        <v>0</v>
      </c>
      <c r="U14" s="40">
        <f>Tabelle51218247125116[[#This Row],[Height2]]*Tabelle51218247125116[[#This Row],[Length3]]</f>
        <v>0</v>
      </c>
      <c r="V14" s="42">
        <f t="shared" si="4"/>
        <v>2.8</v>
      </c>
      <c r="W14" s="3">
        <v>0</v>
      </c>
      <c r="X14" s="3">
        <f>(1-$BR$19)*Tabelle291521494813[[#This Row],[North2]]+(1-$BS$19)*Tabelle291521494813[[#This Row],[East2]]+(1-$BT$19)*Tabelle291521494813[[#This Row],[South2]]+(1-$BU$19)*Tabelle291521494813[[#This Row],[West2]]</f>
        <v>14.77</v>
      </c>
      <c r="Y14" s="40">
        <f>Tabelle51218247125116[[#This Row],[Height22]]*Tabelle51218247125116[[#This Row],[Length33]]+Tabelle51218247125116[[#This Row],[Length332]]/2</f>
        <v>7.3849999999999998</v>
      </c>
      <c r="Z14" s="42">
        <f>IF(Tabelle18142038472[[#This Row],[ceiling]]="c",Tabelle18142038472[[#This Row],[Total Area size '[m^2']]],0)</f>
        <v>6.93</v>
      </c>
      <c r="AA14" s="42">
        <f>IF(Tabelle18142038472[[#This Row],[floor]]="f",Tabelle18142038472[[#This Row],[Total Area size '[m^2']]],0)</f>
        <v>6.93</v>
      </c>
      <c r="AB14" s="5"/>
      <c r="AC14" s="2">
        <v>1</v>
      </c>
      <c r="AD14" s="2">
        <v>0</v>
      </c>
      <c r="AE14" s="2">
        <v>0</v>
      </c>
      <c r="AF14" s="2">
        <v>0</v>
      </c>
      <c r="AG14" s="42">
        <f t="shared" si="5"/>
        <v>2.8</v>
      </c>
      <c r="AH14" s="2">
        <f>0.15+0.95+0.9</f>
        <v>2</v>
      </c>
      <c r="AI14" s="44">
        <v>1.08</v>
      </c>
      <c r="AJ14" s="6">
        <v>0</v>
      </c>
      <c r="AK14" s="2">
        <v>0</v>
      </c>
      <c r="AL14" s="2">
        <v>0</v>
      </c>
      <c r="AM14" s="2">
        <v>1</v>
      </c>
      <c r="AN14" s="42">
        <f t="shared" si="6"/>
        <v>2.8</v>
      </c>
      <c r="AO14" s="2">
        <f>5.275</f>
        <v>5.2750000000000004</v>
      </c>
      <c r="AP14" s="44">
        <v>0</v>
      </c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Tabelle31016225104914[[#This Row],[North]]*$AI14+AL14*$AP14+AS14*$AW14+AZ14*$BD14+BG14*$BK14</f>
        <v>0</v>
      </c>
      <c r="BO14" s="2">
        <f t="shared" si="12"/>
        <v>0</v>
      </c>
      <c r="BP14" s="2">
        <f t="shared" si="13"/>
        <v>1.08</v>
      </c>
      <c r="BQ14" s="2">
        <f t="shared" si="14"/>
        <v>0</v>
      </c>
      <c r="BR14" s="6">
        <f>Tabelle31016225104914[[#This Row],[North]]*$AG14*$AH14+AL14*$AN14*$AO14+AS14*$AU14*$AV14+AZ14*$BB14*$BC14+BG14*$BI14*$BJ14-BN14</f>
        <v>0</v>
      </c>
      <c r="BS14" s="2">
        <f t="shared" si="15"/>
        <v>0</v>
      </c>
      <c r="BT14" s="2">
        <f t="shared" si="16"/>
        <v>4.5199999999999996</v>
      </c>
      <c r="BU14" s="7">
        <f t="shared" si="17"/>
        <v>14.77</v>
      </c>
      <c r="BV14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4" s="2"/>
      <c r="BX14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5" spans="1:77" x14ac:dyDescent="0.25">
      <c r="A15" s="40">
        <v>11</v>
      </c>
      <c r="B15" s="2" t="s">
        <v>97</v>
      </c>
      <c r="C15" s="2" t="s">
        <v>101</v>
      </c>
      <c r="D15" s="2" t="s">
        <v>113</v>
      </c>
      <c r="E15" s="37"/>
      <c r="F15" s="2"/>
      <c r="G15" s="2" t="s">
        <v>107</v>
      </c>
      <c r="H15" s="40">
        <v>9</v>
      </c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>
        <f>3.9+2.05</f>
        <v>5.9499999999999993</v>
      </c>
      <c r="R15" s="40">
        <f>Tabelle51218247125116[[#This Row],[Height]]*Tabelle51218247125116[[#This Row],[Length]]</f>
        <v>16.659999999999997</v>
      </c>
      <c r="S15" s="42">
        <f t="shared" si="2"/>
        <v>2.8</v>
      </c>
      <c r="T15" s="3">
        <v>1.04</v>
      </c>
      <c r="U15" s="40">
        <f>Tabelle51218247125116[[#This Row],[Height2]]*Tabelle51218247125116[[#This Row],[Length3]]</f>
        <v>2.9119999999999999</v>
      </c>
      <c r="V15" s="42">
        <f t="shared" si="4"/>
        <v>2.8</v>
      </c>
      <c r="W15" s="3">
        <v>0</v>
      </c>
      <c r="X15" s="3">
        <f>(1-$BR$19)*Tabelle291521494813[[#This Row],[North2]]+(1-$BS$19)*Tabelle291521494813[[#This Row],[East2]]+(1-$BT$19)*Tabelle291521494813[[#This Row],[South2]]+(1-$BU$19)*Tabelle291521494813[[#This Row],[West2]]</f>
        <v>10.038</v>
      </c>
      <c r="Y15" s="40">
        <f>Tabelle51218247125116[[#This Row],[Height22]]*Tabelle51218247125116[[#This Row],[Length33]]+Tabelle51218247125116[[#This Row],[Length332]]/2</f>
        <v>5.0190000000000001</v>
      </c>
      <c r="Z15" s="42">
        <f>IF(Tabelle18142038472[[#This Row],[ceiling]]="c",Tabelle18142038472[[#This Row],[Total Area size '[m^2']]],0)</f>
        <v>0</v>
      </c>
      <c r="AA15" s="42">
        <f>IF(Tabelle18142038472[[#This Row],[floor]]="f",Tabelle18142038472[[#This Row],[Total Area size '[m^2']]],0)</f>
        <v>9</v>
      </c>
      <c r="AB15" s="5"/>
      <c r="AC15" s="2">
        <v>0</v>
      </c>
      <c r="AD15" s="2">
        <v>0</v>
      </c>
      <c r="AE15" s="2">
        <v>1</v>
      </c>
      <c r="AF15" s="2">
        <v>0</v>
      </c>
      <c r="AG15" s="42">
        <f t="shared" si="5"/>
        <v>2.8</v>
      </c>
      <c r="AH15" s="2">
        <f>0.15+0.59+2.4+0.91+0.08</f>
        <v>4.13</v>
      </c>
      <c r="AI15" s="44">
        <v>2</v>
      </c>
      <c r="AJ15" s="6">
        <v>0</v>
      </c>
      <c r="AK15" s="2">
        <v>1</v>
      </c>
      <c r="AL15" s="2">
        <v>0</v>
      </c>
      <c r="AM15" s="2">
        <v>0</v>
      </c>
      <c r="AN15" s="42">
        <f t="shared" si="6"/>
        <v>2.8</v>
      </c>
      <c r="AO15" s="2">
        <f>0.33+3.2+0.055</f>
        <v>3.5850000000000004</v>
      </c>
      <c r="AP15" s="44">
        <v>0</v>
      </c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Tabelle31016225104914[[#This Row],[North]]*$AI15+AL15*$AP15+AS15*$AW15+AZ15*$BD15+BG15*$BK15</f>
        <v>2</v>
      </c>
      <c r="BO15" s="2">
        <f t="shared" si="12"/>
        <v>0</v>
      </c>
      <c r="BP15" s="2">
        <f t="shared" si="13"/>
        <v>0</v>
      </c>
      <c r="BQ15" s="2">
        <f t="shared" si="14"/>
        <v>0</v>
      </c>
      <c r="BR15" s="6">
        <f>Tabelle31016225104914[[#This Row],[North]]*$AG15*$AH15+AL15*$AN15*$AO15+AS15*$AU15*$AV15+AZ15*$BB15*$BC15+BG15*$BI15*$BJ15-BN15</f>
        <v>9.5639999999999983</v>
      </c>
      <c r="BS15" s="2">
        <f t="shared" si="15"/>
        <v>10.038</v>
      </c>
      <c r="BT15" s="2">
        <f t="shared" si="16"/>
        <v>0</v>
      </c>
      <c r="BU15" s="7">
        <f t="shared" si="17"/>
        <v>0</v>
      </c>
      <c r="BV15" s="2">
        <f>IF(Tabelle1814203847[[#This Row],[(g)round/(r )oof2]]="R",Tabelle1814203847[[#This Row],[Total Area size '[m^2']]],IF(Tabelle1814203847[[#This Row],[(g)round/(r )oof2]]="B",Tabelle1814203847[[#This Row],[Total Area size '[m^2']]],0))</f>
        <v>9</v>
      </c>
      <c r="BW15" s="2"/>
      <c r="BX15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6" spans="1:77" x14ac:dyDescent="0.25">
      <c r="A16" s="40">
        <v>12</v>
      </c>
      <c r="B16" s="2" t="s">
        <v>122</v>
      </c>
      <c r="C16" s="2" t="s">
        <v>10</v>
      </c>
      <c r="D16" s="2" t="s">
        <v>113</v>
      </c>
      <c r="E16" s="2"/>
      <c r="F16" s="2"/>
      <c r="G16" s="2" t="s">
        <v>107</v>
      </c>
      <c r="H16" s="40">
        <v>6.93</v>
      </c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>
        <v>1.9</v>
      </c>
      <c r="R16" s="40">
        <f>Tabelle51218247125116[[#This Row],[Height]]*Tabelle51218247125116[[#This Row],[Length]]</f>
        <v>5.3199999999999994</v>
      </c>
      <c r="S16" s="42">
        <f t="shared" si="2"/>
        <v>2.8</v>
      </c>
      <c r="T16" s="3">
        <v>0</v>
      </c>
      <c r="U16" s="40">
        <f>Tabelle51218247125116[[#This Row],[Height2]]*Tabelle51218247125116[[#This Row],[Length3]]</f>
        <v>0</v>
      </c>
      <c r="V16" s="42">
        <f t="shared" si="4"/>
        <v>2.8</v>
      </c>
      <c r="W16" s="3">
        <v>0</v>
      </c>
      <c r="X16" s="3">
        <f>(1-$BR$19)*Tabelle291521494813[[#This Row],[North2]]+(1-$BS$19)*Tabelle291521494813[[#This Row],[East2]]+(1-$BT$19)*Tabelle291521494813[[#This Row],[South2]]+(1-$BU$19)*Tabelle291521494813[[#This Row],[West2]]</f>
        <v>18.269999999999996</v>
      </c>
      <c r="Y16" s="40">
        <f>Tabelle51218247125116[[#This Row],[Height22]]*Tabelle51218247125116[[#This Row],[Length33]]+Tabelle51218247125116[[#This Row],[Length332]]/2</f>
        <v>9.134999999999998</v>
      </c>
      <c r="Z16" s="42">
        <f>IF(Tabelle18142038472[[#This Row],[ceiling]]="c",Tabelle18142038472[[#This Row],[Total Area size '[m^2']]],0)</f>
        <v>0</v>
      </c>
      <c r="AA16" s="42">
        <f>IF(Tabelle18142038472[[#This Row],[floor]]="f",Tabelle18142038472[[#This Row],[Total Area size '[m^2']]],0)</f>
        <v>6.93</v>
      </c>
      <c r="AB16" s="5"/>
      <c r="AC16" s="2">
        <v>1</v>
      </c>
      <c r="AD16" s="2">
        <v>0</v>
      </c>
      <c r="AE16" s="2">
        <v>0</v>
      </c>
      <c r="AF16" s="2">
        <v>0</v>
      </c>
      <c r="AG16" s="42">
        <f t="shared" si="5"/>
        <v>2.8</v>
      </c>
      <c r="AH16" s="3">
        <f>0.15+1.9+0.08</f>
        <v>2.13</v>
      </c>
      <c r="AI16" s="44">
        <v>1</v>
      </c>
      <c r="AJ16" s="6">
        <v>0</v>
      </c>
      <c r="AK16" s="2">
        <v>0</v>
      </c>
      <c r="AL16" s="2">
        <v>0</v>
      </c>
      <c r="AM16" s="2">
        <v>1</v>
      </c>
      <c r="AN16" s="42">
        <f t="shared" si="6"/>
        <v>2.8</v>
      </c>
      <c r="AO16" s="2">
        <f>0.33+6.14+0.055</f>
        <v>6.5249999999999995</v>
      </c>
      <c r="AP16" s="44">
        <v>0</v>
      </c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Tabelle31016225104914[[#This Row],[North]]*$AI16+AL16*$AP16+AS16*$AW16+AZ16*$BD16+BG16*$BK16</f>
        <v>0</v>
      </c>
      <c r="BO16" s="2">
        <f t="shared" si="12"/>
        <v>0</v>
      </c>
      <c r="BP16" s="2">
        <f t="shared" si="13"/>
        <v>1</v>
      </c>
      <c r="BQ16" s="2">
        <f t="shared" si="14"/>
        <v>0</v>
      </c>
      <c r="BR16" s="6">
        <f>Tabelle31016225104914[[#This Row],[North]]*$AG16*$AH16+AL16*$AN16*$AO16+AS16*$AU16*$AV16+AZ16*$BB16*$BC16+BG16*$BI16*$BJ16-BN16</f>
        <v>0</v>
      </c>
      <c r="BS16" s="2">
        <f t="shared" si="15"/>
        <v>0</v>
      </c>
      <c r="BT16" s="2">
        <f t="shared" si="16"/>
        <v>4.9639999999999995</v>
      </c>
      <c r="BU16" s="7">
        <f t="shared" si="17"/>
        <v>18.269999999999996</v>
      </c>
      <c r="BV16" s="2">
        <f>IF(Tabelle1814203847[[#This Row],[(g)round/(r )oof2]]="R",Tabelle1814203847[[#This Row],[Total Area size '[m^2']]],IF(Tabelle1814203847[[#This Row],[(g)round/(r )oof2]]="B",Tabelle1814203847[[#This Row],[Total Area size '[m^2']]],0))</f>
        <v>6.93</v>
      </c>
      <c r="BW16" s="2"/>
      <c r="BX16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18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7" s="2"/>
      <c r="BX1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8" s="2"/>
      <c r="BX1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1</v>
      </c>
      <c r="BS19" s="2">
        <v>0</v>
      </c>
      <c r="BT19" s="2">
        <v>1</v>
      </c>
      <c r="BU19" s="7">
        <v>0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7.91</v>
      </c>
      <c r="BO22" s="61">
        <f t="shared" ref="BO22:BQ25" si="19">SUMIF($C$5:$C$18,$BM22,BO$5:BO$18)</f>
        <v>2.2799999999999998</v>
      </c>
      <c r="BP22" s="61">
        <f t="shared" si="19"/>
        <v>2.88</v>
      </c>
      <c r="BQ22" s="61">
        <f t="shared" si="19"/>
        <v>0</v>
      </c>
      <c r="BR22" s="61">
        <f>SUMIF($C$5:$C$18,$BM22,BR$5:BR$18)*BR$19</f>
        <v>21.685999999999996</v>
      </c>
      <c r="BS22" s="61">
        <f t="shared" ref="BS22:BU22" si="20">SUMIF($C$5:$C$18,$BM22,BS$5:BS$18)*BS$19</f>
        <v>0</v>
      </c>
      <c r="BT22" s="61">
        <f t="shared" si="20"/>
        <v>9.0479999999999983</v>
      </c>
      <c r="BU22" s="61">
        <f t="shared" si="20"/>
        <v>0</v>
      </c>
      <c r="BV22" s="61">
        <f>SUMIF($C$5:$C$18,$BM22,BV$5:BV$18)</f>
        <v>9</v>
      </c>
      <c r="BW22" s="61">
        <f>BV22*$BV$30</f>
        <v>19.170817462642841</v>
      </c>
      <c r="BX22" s="61">
        <f>SUMIF($C$5:$C$18,$BM22,BX$5:BX$19)</f>
        <v>43.599999999999994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52.599999999999994</v>
      </c>
      <c r="I23" s="12">
        <f>H23/$H$28</f>
        <v>0.39972642298046956</v>
      </c>
      <c r="J23" s="1"/>
      <c r="K23" s="86" t="s">
        <v>86</v>
      </c>
      <c r="L23" s="86"/>
      <c r="M23" s="87"/>
      <c r="N23" s="78"/>
      <c r="O23" s="3"/>
      <c r="P23" s="33"/>
      <c r="Q23" s="3"/>
      <c r="R23" s="55">
        <f>SUMIF($C$5:$C$18,C23,$R$5:$R$18)/2</f>
        <v>12.389999999999997</v>
      </c>
      <c r="S23" s="3"/>
      <c r="T23" s="3"/>
      <c r="U23" s="55">
        <f>SUMIF($C$5:$C$18,$C23,$U$5:$U$18)</f>
        <v>22.231999999999999</v>
      </c>
      <c r="V23" s="3"/>
      <c r="W23" s="3"/>
      <c r="X23" s="3"/>
      <c r="Y23" s="55">
        <f>SUMIF($C$5:$C$18,$C23,$Y$5:$Y$18)</f>
        <v>29.113999999999997</v>
      </c>
      <c r="Z23" s="55">
        <f>SUMIF($C$5:$C$18,$C23,$Z$5:$Z$18)/2</f>
        <v>21.799999999999997</v>
      </c>
      <c r="AA23" s="55">
        <f>SUMIF($C$5:$C$18,$C23,$AA$5:$AA$18)/2</f>
        <v>4.5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1</v>
      </c>
      <c r="BO23" s="61">
        <f t="shared" si="19"/>
        <v>0</v>
      </c>
      <c r="BP23" s="61">
        <f t="shared" si="19"/>
        <v>2.08</v>
      </c>
      <c r="BQ23" s="61">
        <f t="shared" si="19"/>
        <v>0</v>
      </c>
      <c r="BR23" s="61">
        <f t="shared" ref="BR23:BU25" si="21">SUMIF($C$5:$C$18,$BM23,BR$5:BR$18)*BR$19</f>
        <v>4.9639999999999995</v>
      </c>
      <c r="BS23" s="61">
        <f t="shared" si="21"/>
        <v>0</v>
      </c>
      <c r="BT23" s="61">
        <f t="shared" si="21"/>
        <v>15.084</v>
      </c>
      <c r="BU23" s="61">
        <f t="shared" si="21"/>
        <v>0</v>
      </c>
      <c r="BV23" s="61">
        <f t="shared" ref="BV23:BV25" si="22">SUMIF($C$5:$C$18,$BM23,BV$5:BV$18)</f>
        <v>9.129999999999999</v>
      </c>
      <c r="BW23" s="61">
        <f t="shared" ref="BW23:BW25" si="23">BV23*$BV$30</f>
        <v>19.447729270436568</v>
      </c>
      <c r="BX23" s="61">
        <f>SUMIF($C$5:$C$18,$BM23,BX$5:BX$18)</f>
        <v>8.629999999999999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24.689999999999998</v>
      </c>
      <c r="I24" s="2">
        <f>H24/$H$28</f>
        <v>0.18762823922790484</v>
      </c>
      <c r="J24" s="1"/>
      <c r="K24" s="86"/>
      <c r="L24" s="86"/>
      <c r="M24" s="87"/>
      <c r="N24" s="78"/>
      <c r="O24" s="3"/>
      <c r="P24" s="33"/>
      <c r="Q24" s="3"/>
      <c r="R24" s="56">
        <f>SUMIF($C$5:$C$18,C24,$R$5:$R$18)/2</f>
        <v>10.639999999999999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27.313999999999997</v>
      </c>
      <c r="Z24" s="55">
        <f t="shared" ref="Z24:Z26" si="24">SUMIF($C$5:$C$18,$C24,$Z$5:$Z$18)/2</f>
        <v>7.7799999999999994</v>
      </c>
      <c r="AA24" s="55">
        <f t="shared" ref="AA24:AA26" si="25">SUMIF($C$5:$C$18,$C24,$AA$5:$AA$18)/2</f>
        <v>8.0299999999999994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2.88</v>
      </c>
      <c r="BO24" s="61">
        <f t="shared" si="19"/>
        <v>0</v>
      </c>
      <c r="BP24" s="61">
        <f t="shared" si="19"/>
        <v>4.88</v>
      </c>
      <c r="BQ24" s="61">
        <f t="shared" si="19"/>
        <v>0</v>
      </c>
      <c r="BR24" s="61">
        <f t="shared" si="21"/>
        <v>8.6839999999999975</v>
      </c>
      <c r="BS24" s="61">
        <f t="shared" si="21"/>
        <v>0</v>
      </c>
      <c r="BT24" s="61">
        <f t="shared" si="21"/>
        <v>18.317999999999998</v>
      </c>
      <c r="BU24" s="61">
        <f t="shared" si="21"/>
        <v>0</v>
      </c>
      <c r="BV24" s="61">
        <f t="shared" si="22"/>
        <v>16</v>
      </c>
      <c r="BW24" s="61">
        <f t="shared" si="23"/>
        <v>34.081453266920605</v>
      </c>
      <c r="BX24" s="61">
        <f>SUMIF($C$5:$C$18,$BM24,BX$5:BX$18)</f>
        <v>0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</v>
      </c>
      <c r="I25" s="2">
        <f>H25/$H$28</f>
        <v>0.36476935937381261</v>
      </c>
      <c r="J25" s="1"/>
      <c r="K25" s="86"/>
      <c r="L25" s="86"/>
      <c r="M25" s="87"/>
      <c r="N25" s="78"/>
      <c r="O25" s="3"/>
      <c r="P25" s="33"/>
      <c r="Q25" s="3"/>
      <c r="R25" s="56">
        <f>SUMIF($C$5:$C$18,C25,$R$5:$R$18)/2</f>
        <v>21</v>
      </c>
      <c r="S25" s="3"/>
      <c r="T25" s="3"/>
      <c r="U25" s="56">
        <f>SUMIF($C$5:$C$18,$C25,$U$5:$U$18)</f>
        <v>28.28</v>
      </c>
      <c r="V25" s="3"/>
      <c r="W25" s="3"/>
      <c r="X25" s="3"/>
      <c r="Y25" s="56">
        <f>SUMIF($C$5:$C$18,$C25,$Y$5:$Y$18)</f>
        <v>19.816999999999997</v>
      </c>
      <c r="Z25" s="55">
        <f t="shared" si="24"/>
        <v>16</v>
      </c>
      <c r="AA25" s="55">
        <f t="shared" si="25"/>
        <v>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0.96</v>
      </c>
      <c r="BO25" s="61">
        <f t="shared" si="19"/>
        <v>0</v>
      </c>
      <c r="BP25" s="61">
        <f t="shared" si="19"/>
        <v>0</v>
      </c>
      <c r="BQ25" s="61">
        <f t="shared" si="19"/>
        <v>0</v>
      </c>
      <c r="BR25" s="61">
        <f t="shared" si="21"/>
        <v>5.0039999999999996</v>
      </c>
      <c r="BS25" s="61">
        <f t="shared" si="21"/>
        <v>0</v>
      </c>
      <c r="BT25" s="61">
        <f t="shared" si="21"/>
        <v>0</v>
      </c>
      <c r="BU25" s="61">
        <f t="shared" si="21"/>
        <v>0</v>
      </c>
      <c r="BV25" s="61">
        <f t="shared" si="22"/>
        <v>0</v>
      </c>
      <c r="BW25" s="61">
        <f t="shared" si="23"/>
        <v>0</v>
      </c>
      <c r="BX25" s="61">
        <f>SUMIF($C$5:$C$18,$BM25,BX$5:BX$18)</f>
        <v>0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6.3</v>
      </c>
      <c r="I26" s="2">
        <f>H26/$H$28</f>
        <v>4.7875978417812902E-2</v>
      </c>
      <c r="J26" s="1"/>
      <c r="K26" s="86"/>
      <c r="L26" s="86"/>
      <c r="M26" s="87"/>
      <c r="N26" s="78"/>
      <c r="O26" s="3"/>
      <c r="P26" s="33"/>
      <c r="Q26" s="3"/>
      <c r="R26" s="56">
        <f>SUMIF($C$5:$C$18,C26,$R$5:$R$18)/2</f>
        <v>4.6199999999999992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5.1589999999999998</v>
      </c>
      <c r="Z26" s="55">
        <f t="shared" si="24"/>
        <v>3.15</v>
      </c>
      <c r="AA26" s="55">
        <f t="shared" si="25"/>
        <v>3.15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/>
      <c r="BW26" s="63"/>
      <c r="BX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X27" si="26">SUM(BN22:BN26)</f>
        <v>12.75</v>
      </c>
      <c r="BO27" s="66">
        <f t="shared" si="26"/>
        <v>2.2799999999999998</v>
      </c>
      <c r="BP27" s="66">
        <f t="shared" si="26"/>
        <v>9.84</v>
      </c>
      <c r="BQ27" s="66">
        <f t="shared" si="26"/>
        <v>0</v>
      </c>
      <c r="BR27" s="66">
        <f t="shared" si="26"/>
        <v>40.337999999999987</v>
      </c>
      <c r="BS27" s="66">
        <f t="shared" si="26"/>
        <v>0</v>
      </c>
      <c r="BT27" s="66">
        <f t="shared" si="26"/>
        <v>42.449999999999996</v>
      </c>
      <c r="BU27" s="66">
        <f t="shared" si="26"/>
        <v>0</v>
      </c>
      <c r="BV27" s="66">
        <f t="shared" si="26"/>
        <v>34.129999999999995</v>
      </c>
      <c r="BW27" s="66">
        <f t="shared" si="26"/>
        <v>72.700000000000017</v>
      </c>
      <c r="BX27" s="66">
        <f t="shared" si="26"/>
        <v>52.22999999999999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131.59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48.649999999999991</v>
      </c>
      <c r="S28" s="3"/>
      <c r="T28" s="3"/>
      <c r="U28" s="56">
        <f>SUM(U23:U26)</f>
        <v>55.832000000000001</v>
      </c>
      <c r="V28" s="3"/>
      <c r="W28" s="3"/>
      <c r="X28" s="3"/>
      <c r="Y28" s="72">
        <f>SUM(Y23:Y26)</f>
        <v>81.403999999999996</v>
      </c>
      <c r="Z28" s="73">
        <f>SUM(Z23:Z26)</f>
        <v>48.73</v>
      </c>
      <c r="AA28" s="73">
        <f>SUM(AA23:AA26)</f>
        <v>39.68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>
        <v>72.7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f>BV29/BV27</f>
        <v>2.1300908291825378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63.73599999999999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27">Y24+U24+R24</f>
        <v>37.953999999999994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27"/>
        <v>69.096999999999994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27"/>
        <v>15.098999999999998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0.52578582000140961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28" priority="2" operator="lessThan">
      <formula>0.03</formula>
    </cfRule>
  </conditionalFormatting>
  <conditionalFormatting sqref="I23:I28">
    <cfRule type="cellIs" dxfId="27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zoomScale="70" zoomScaleNormal="70" workbookViewId="0">
      <pane xSplit="2" ySplit="4" topLeftCell="BN14" activePane="bottomRight" state="frozen"/>
      <selection activeCell="X55" sqref="X55"/>
      <selection pane="topRight" activeCell="X55" sqref="X55"/>
      <selection pane="bottomLeft" activeCell="X55" sqref="X55"/>
      <selection pane="bottomRight" activeCell="BV1" sqref="BV1:BX1048576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5" width="12.85546875" customWidth="1"/>
    <col min="76" max="76" width="18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124</v>
      </c>
      <c r="D2" s="19"/>
      <c r="E2" s="19">
        <v>2014</v>
      </c>
      <c r="G2" s="19">
        <v>3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9"/>
      <c r="AI3" s="79"/>
      <c r="AJ3" s="20"/>
      <c r="AK3" s="88" t="s">
        <v>66</v>
      </c>
      <c r="AL3" s="89"/>
      <c r="AM3" s="89"/>
      <c r="AN3" s="89"/>
      <c r="AO3" s="79"/>
      <c r="AP3" s="79"/>
      <c r="AQ3" s="20"/>
      <c r="AR3" s="90" t="s">
        <v>67</v>
      </c>
      <c r="AS3" s="90"/>
      <c r="AT3" s="90"/>
      <c r="AU3" s="90"/>
      <c r="AV3" s="80"/>
      <c r="AW3" s="80"/>
      <c r="AX3" s="80"/>
      <c r="AY3" s="90" t="s">
        <v>68</v>
      </c>
      <c r="AZ3" s="90"/>
      <c r="BA3" s="90"/>
      <c r="BB3" s="90"/>
      <c r="BC3" s="80"/>
      <c r="BD3" s="80"/>
      <c r="BE3" s="80"/>
      <c r="BF3" s="85" t="s">
        <v>69</v>
      </c>
      <c r="BG3" s="85"/>
      <c r="BH3" s="85"/>
      <c r="BI3" s="85"/>
      <c r="BJ3" s="80"/>
      <c r="BK3" s="80"/>
      <c r="BL3" s="80"/>
      <c r="BM3" s="80"/>
      <c r="BN3" s="80"/>
      <c r="BO3" s="21" t="s">
        <v>28</v>
      </c>
      <c r="BP3" s="79"/>
      <c r="BQ3" s="79"/>
      <c r="BR3" s="79"/>
      <c r="BS3" s="22" t="s">
        <v>29</v>
      </c>
      <c r="BT3" s="79"/>
      <c r="BU3" s="79"/>
      <c r="BV3" s="22"/>
      <c r="BW3" s="22"/>
      <c r="BX3" s="22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2" t="s">
        <v>140</v>
      </c>
      <c r="BX4" s="91" t="s">
        <v>31</v>
      </c>
    </row>
    <row r="5" spans="1:77" x14ac:dyDescent="0.25">
      <c r="A5" s="40">
        <v>1</v>
      </c>
      <c r="B5" s="2" t="s">
        <v>93</v>
      </c>
      <c r="C5" s="2" t="s">
        <v>101</v>
      </c>
      <c r="D5" s="2"/>
      <c r="E5" s="37" t="s">
        <v>112</v>
      </c>
      <c r="F5" s="2"/>
      <c r="G5" s="37" t="s">
        <v>106</v>
      </c>
      <c r="H5" s="40">
        <v>32.4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f t="shared" ref="Q5:Q6" si="1">3.3-1.85</f>
        <v>1.4499999999999997</v>
      </c>
      <c r="R5" s="40">
        <f>Tabelle51218247125126[[#This Row],[Height]]*Tabelle51218247125126[[#This Row],[Length]]</f>
        <v>4.0599999999999987</v>
      </c>
      <c r="S5" s="42">
        <f t="shared" ref="S5:S16" si="2">$H$2</f>
        <v>2.8</v>
      </c>
      <c r="T5" s="3">
        <f t="shared" ref="T5" si="3">0.11+0.11+0.9+3.88</f>
        <v>5</v>
      </c>
      <c r="U5" s="40">
        <f>Tabelle51218247125126[[#This Row],[Height2]]*Tabelle51218247125126[[#This Row],[Length3]]</f>
        <v>14</v>
      </c>
      <c r="V5" s="42">
        <f t="shared" ref="V5:V16" si="4">$H$2</f>
        <v>2.8</v>
      </c>
      <c r="W5" s="3">
        <v>0</v>
      </c>
      <c r="X5" s="3">
        <f>(1-$BR$19)*Tabelle291521494818[[#This Row],[North2]]+(1-$BS$19)*Tabelle291521494818[[#This Row],[East2]]+(1-$BT$19)*Tabelle291521494818[[#This Row],[South2]]+(1-$BU$19)*Tabelle291521494818[[#This Row],[West2]]</f>
        <v>25.087999999999997</v>
      </c>
      <c r="Y5" s="40">
        <f>Tabelle51218247125126[[#This Row],[Height22]]*Tabelle51218247125126[[#This Row],[Length33]]+Tabelle51218247125126[[#This Row],[Length332]]/2</f>
        <v>12.543999999999999</v>
      </c>
      <c r="Z5" s="42">
        <f>IF(Tabelle181420384717[[#This Row],[ceiling]]="c",Tabelle181420384717[[#This Row],[Total Area size '[m^2']]],0)</f>
        <v>32.4</v>
      </c>
      <c r="AA5" s="42">
        <f>IF(Tabelle181420384717[[#This Row],[floor]]="f",Tabelle181420384717[[#This Row],[Total Area size '[m^2']]],0)</f>
        <v>0</v>
      </c>
      <c r="AB5" s="5"/>
      <c r="AC5" s="2">
        <v>0</v>
      </c>
      <c r="AD5" s="2">
        <v>0</v>
      </c>
      <c r="AE5" s="2">
        <v>0</v>
      </c>
      <c r="AF5" s="2">
        <v>1</v>
      </c>
      <c r="AG5" s="42">
        <f t="shared" ref="AG5:AG16" si="5">$H$2</f>
        <v>2.8</v>
      </c>
      <c r="AH5" s="2">
        <v>4.0599999999999996</v>
      </c>
      <c r="AI5" s="44">
        <v>5.28</v>
      </c>
      <c r="AJ5" s="6">
        <v>0</v>
      </c>
      <c r="AK5" s="2">
        <v>0</v>
      </c>
      <c r="AL5" s="2">
        <v>1</v>
      </c>
      <c r="AM5" s="2">
        <v>0</v>
      </c>
      <c r="AN5" s="42">
        <f t="shared" ref="AN5:AN16" si="6">$H$2</f>
        <v>2.8</v>
      </c>
      <c r="AO5" s="2">
        <f t="shared" ref="AO5" si="7">8.78+0.18</f>
        <v>8.9599999999999991</v>
      </c>
      <c r="AP5" s="44">
        <v>0</v>
      </c>
      <c r="AQ5" s="6">
        <v>0</v>
      </c>
      <c r="AR5" s="2">
        <v>1</v>
      </c>
      <c r="AS5" s="2">
        <v>0</v>
      </c>
      <c r="AT5" s="2">
        <v>0</v>
      </c>
      <c r="AU5" s="42">
        <f t="shared" ref="AU5:AU14" si="8">$H$2</f>
        <v>2.8</v>
      </c>
      <c r="AV5" s="2">
        <f t="shared" ref="AV5" si="9">0.15+0.75+2.4+0.96</f>
        <v>4.26</v>
      </c>
      <c r="AW5" s="44">
        <v>2.88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Tabelle31016225104919[[#This Row],[North]]*$AI5+AL5*$AP5+AS5*$AW5+AZ5*$BD5+BG5*$BK5</f>
        <v>0</v>
      </c>
      <c r="BO5" s="2">
        <f t="shared" ref="BO5:BO16" si="12">AD5*$AI5+AK5*$AP5+AR5*$AW5+AY5*$BD5+BF5*$BK5</f>
        <v>2.88</v>
      </c>
      <c r="BP5" s="2">
        <f t="shared" ref="BP5:BP16" si="13">AC5*$AI5+AJ5*$AP5+AQ5*$AW5+AX5*$BD5+BE5*$BK5</f>
        <v>0</v>
      </c>
      <c r="BQ5" s="2">
        <f t="shared" ref="BQ5:BQ16" si="14">AF5*$AI5+AM5*$AP5+AT5*$AW5+BA5*$BD5+BH5*$BK5</f>
        <v>5.28</v>
      </c>
      <c r="BR5" s="6">
        <f>Tabelle31016225104919[[#This Row],[North]]*$AG5*$AH5+AL5*$AN5*$AO5+AS5*$AU5*$AV5+AZ5*$BB5*$BC5+BG5*$BI5*$BJ5-BN5</f>
        <v>25.087999999999997</v>
      </c>
      <c r="BS5" s="2">
        <f t="shared" ref="BS5:BS16" si="15">AD5*$AG5*$AH5+AK5*$AN5*$AO5+AR5*$AU5*$AV5+AY5*$BB5*$BC5+BF5*$BI5*$BJ5-BO5</f>
        <v>9.0479999999999983</v>
      </c>
      <c r="BT5" s="2">
        <f t="shared" ref="BT5:BT16" si="16">AC5*$AG5*$AH5+AJ5*$AN5*$AO5+AQ5*$AU5*$AV5+AX5*$BB5*$BC5+BE5*$BI5*$BJ5-BP5</f>
        <v>0</v>
      </c>
      <c r="BU5" s="7">
        <f t="shared" ref="BU5:BU16" si="17">AF5*$AG5*$AH5+AM5*$AN5*$AO5+AT5*$AU5*$AV5+BA5*$BB5*$BC5+BH5*$BI5*$BJ5-BQ5</f>
        <v>6.0879999999999983</v>
      </c>
      <c r="BV5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5" s="2"/>
      <c r="BX5" s="2">
        <f>IF(Tabelle1814203847[[#This Row],[(g)round/(r )oof2]]="G",Tabelle1814203847[[#This Row],[Total Area size '[m^2']]],IF(Tabelle1814203847[[#This Row],[(g)round/(r )oof2]]="B",Tabelle1814203847[[#This Row],[Total Area size '[m^2']]],0))</f>
        <v>32.4</v>
      </c>
    </row>
    <row r="6" spans="1:77" x14ac:dyDescent="0.25">
      <c r="A6" s="40">
        <v>2</v>
      </c>
      <c r="B6" s="2" t="s">
        <v>11</v>
      </c>
      <c r="C6" s="2" t="s">
        <v>101</v>
      </c>
      <c r="D6" s="2"/>
      <c r="E6" s="37" t="s">
        <v>112</v>
      </c>
      <c r="F6" s="2"/>
      <c r="G6" s="37" t="s">
        <v>106</v>
      </c>
      <c r="H6" s="40">
        <v>11.2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f t="shared" si="1"/>
        <v>1.4499999999999997</v>
      </c>
      <c r="R6" s="40">
        <f>Tabelle51218247125126[[#This Row],[Height]]*Tabelle51218247125126[[#This Row],[Length]]</f>
        <v>4.0599999999999987</v>
      </c>
      <c r="S6" s="42">
        <f t="shared" si="2"/>
        <v>2.8</v>
      </c>
      <c r="T6" s="3">
        <v>1.9</v>
      </c>
      <c r="U6" s="40">
        <f>Tabelle51218247125126[[#This Row],[Height2]]*Tabelle51218247125126[[#This Row],[Length3]]</f>
        <v>5.3199999999999994</v>
      </c>
      <c r="V6" s="42">
        <f t="shared" si="4"/>
        <v>2.8</v>
      </c>
      <c r="W6" s="3">
        <v>0</v>
      </c>
      <c r="X6" s="3">
        <f>(1-$BR$19)*Tabelle291521494818[[#This Row],[North2]]+(1-$BS$19)*Tabelle291521494818[[#This Row],[East2]]+(1-$BT$19)*Tabelle291521494818[[#This Row],[South2]]+(1-$BU$19)*Tabelle291521494818[[#This Row],[West2]]</f>
        <v>23.101999999999997</v>
      </c>
      <c r="Y6" s="40">
        <f>Tabelle51218247125126[[#This Row],[Height22]]*Tabelle51218247125126[[#This Row],[Length33]]+Tabelle51218247125126[[#This Row],[Length332]]/2</f>
        <v>11.550999999999998</v>
      </c>
      <c r="Z6" s="42">
        <f>IF(Tabelle181420384717[[#This Row],[ceiling]]="c",Tabelle181420384717[[#This Row],[Total Area size '[m^2']]],0)</f>
        <v>11.2</v>
      </c>
      <c r="AA6" s="42">
        <f>IF(Tabelle181420384717[[#This Row],[floor]]="f",Tabelle181420384717[[#This Row],[Total Area size '[m^2']]],0)</f>
        <v>0</v>
      </c>
      <c r="AB6" s="5"/>
      <c r="AC6" s="2">
        <v>0</v>
      </c>
      <c r="AD6" s="2">
        <v>0</v>
      </c>
      <c r="AE6" s="2">
        <v>0</v>
      </c>
      <c r="AF6" s="2">
        <v>1</v>
      </c>
      <c r="AG6" s="42">
        <f t="shared" si="5"/>
        <v>2.8</v>
      </c>
      <c r="AH6" s="2">
        <v>2.38</v>
      </c>
      <c r="AI6" s="44">
        <v>0.63</v>
      </c>
      <c r="AJ6" s="6">
        <v>0</v>
      </c>
      <c r="AK6" s="3">
        <v>0</v>
      </c>
      <c r="AL6" s="2">
        <v>1</v>
      </c>
      <c r="AM6" s="2">
        <v>0</v>
      </c>
      <c r="AN6" s="42">
        <f t="shared" si="6"/>
        <v>2.8</v>
      </c>
      <c r="AO6" s="2">
        <f>2.6+0.18</f>
        <v>2.7800000000000002</v>
      </c>
      <c r="AP6" s="44">
        <v>2.2799999999999998</v>
      </c>
      <c r="AQ6" s="6">
        <v>1</v>
      </c>
      <c r="AR6" s="2">
        <v>0</v>
      </c>
      <c r="AS6" s="2">
        <v>0</v>
      </c>
      <c r="AT6" s="2">
        <v>0</v>
      </c>
      <c r="AU6" s="42">
        <f t="shared" si="8"/>
        <v>2.8</v>
      </c>
      <c r="AV6" s="2">
        <v>6.2850000000000001</v>
      </c>
      <c r="AW6" s="44">
        <v>0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Tabelle31016225104919[[#This Row],[North]]*$AI6+AL6*$AP6+AS6*$AW6+AZ6*$BD6+BG6*$BK6</f>
        <v>2.2799999999999998</v>
      </c>
      <c r="BO6" s="2">
        <f t="shared" si="12"/>
        <v>0</v>
      </c>
      <c r="BP6" s="2">
        <f t="shared" si="13"/>
        <v>0</v>
      </c>
      <c r="BQ6" s="2">
        <f t="shared" si="14"/>
        <v>0.63</v>
      </c>
      <c r="BR6" s="6">
        <f>Tabelle31016225104919[[#This Row],[North]]*$AG6*$AH6+AL6*$AN6*$AO6+AS6*$AU6*$AV6+AZ6*$BB6*$BC6+BG6*$BI6*$BJ6-BN6</f>
        <v>5.5039999999999996</v>
      </c>
      <c r="BS6" s="2">
        <f t="shared" si="15"/>
        <v>0</v>
      </c>
      <c r="BT6" s="2">
        <f t="shared" si="16"/>
        <v>17.597999999999999</v>
      </c>
      <c r="BU6" s="7">
        <f t="shared" si="17"/>
        <v>6.0339999999999998</v>
      </c>
      <c r="BV6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6" s="2"/>
      <c r="BX6" s="2">
        <f>IF(Tabelle1814203847[[#This Row],[(g)round/(r )oof2]]="G",Tabelle1814203847[[#This Row],[Total Area size '[m^2']]],IF(Tabelle1814203847[[#This Row],[(g)round/(r )oof2]]="B",Tabelle1814203847[[#This Row],[Total Area size '[m^2']]],0))</f>
        <v>11.2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/>
      <c r="H7" s="40">
        <v>17.399999999999999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f>3.9+3.3</f>
        <v>7.1999999999999993</v>
      </c>
      <c r="R7" s="40">
        <f>Tabelle51218247125126[[#This Row],[Height]]*Tabelle51218247125126[[#This Row],[Length]]</f>
        <v>20.159999999999997</v>
      </c>
      <c r="S7" s="42">
        <f t="shared" si="2"/>
        <v>2.8</v>
      </c>
      <c r="T7" s="3">
        <f>4.45-3.3</f>
        <v>1.1500000000000004</v>
      </c>
      <c r="U7" s="40">
        <f>Tabelle51218247125126[[#This Row],[Height2]]*Tabelle51218247125126[[#This Row],[Length3]]</f>
        <v>3.2200000000000006</v>
      </c>
      <c r="V7" s="42">
        <f t="shared" si="4"/>
        <v>2.8</v>
      </c>
      <c r="W7" s="3">
        <v>0</v>
      </c>
      <c r="X7" s="3">
        <f>(1-$BR$19)*Tabelle291521494818[[#This Row],[North2]]+(1-$BS$19)*Tabelle291521494818[[#This Row],[East2]]+(1-$BT$19)*Tabelle291521494818[[#This Row],[South2]]+(1-$BU$19)*Tabelle291521494818[[#This Row],[West2]]</f>
        <v>13.537999999999998</v>
      </c>
      <c r="Y7" s="40">
        <f>Tabelle51218247125126[[#This Row],[Height22]]*Tabelle51218247125126[[#This Row],[Length33]]+Tabelle51218247125126[[#This Row],[Length332]]/2</f>
        <v>6.7689999999999992</v>
      </c>
      <c r="Z7" s="42">
        <f>IF(Tabelle181420384717[[#This Row],[ceiling]]="c",Tabelle181420384717[[#This Row],[Total Area size '[m^2']]],0)</f>
        <v>17.399999999999999</v>
      </c>
      <c r="AA7" s="42">
        <f>IF(Tabelle181420384717[[#This Row],[floor]]="f",Tabelle181420384717[[#This Row],[Total Area size '[m^2']]],0)</f>
        <v>17.399999999999999</v>
      </c>
      <c r="AB7" s="5"/>
      <c r="AC7" s="2">
        <v>0</v>
      </c>
      <c r="AD7" s="2">
        <v>0</v>
      </c>
      <c r="AE7" s="2">
        <v>0</v>
      </c>
      <c r="AF7" s="2">
        <v>1</v>
      </c>
      <c r="AG7" s="42">
        <f t="shared" si="5"/>
        <v>2.8</v>
      </c>
      <c r="AH7" s="3">
        <v>4.13</v>
      </c>
      <c r="AI7" s="44">
        <v>2.88</v>
      </c>
      <c r="AJ7" s="6">
        <v>0</v>
      </c>
      <c r="AK7" s="2">
        <v>0</v>
      </c>
      <c r="AL7" s="2">
        <v>1</v>
      </c>
      <c r="AM7" s="2">
        <v>0</v>
      </c>
      <c r="AN7" s="42">
        <f t="shared" si="6"/>
        <v>2.8</v>
      </c>
      <c r="AO7" s="2">
        <f>0.33+4.45+0.055</f>
        <v>4.835</v>
      </c>
      <c r="AP7" s="44">
        <v>0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Tabelle31016225104919[[#This Row],[North]]*$AI7+AL7*$AP7+AS7*$AW7+AZ7*$BD7+BG7*$BK7</f>
        <v>0</v>
      </c>
      <c r="BO7" s="2">
        <f t="shared" si="12"/>
        <v>0</v>
      </c>
      <c r="BP7" s="2">
        <f t="shared" si="13"/>
        <v>0</v>
      </c>
      <c r="BQ7" s="2">
        <f t="shared" si="14"/>
        <v>2.88</v>
      </c>
      <c r="BR7" s="6">
        <f>Tabelle31016225104919[[#This Row],[North]]*$AG7*$AH7+AL7*$AN7*$AO7+AS7*$AU7*$AV7+AZ7*$BB7*$BC7+BG7*$BI7*$BJ7-BN7</f>
        <v>13.537999999999998</v>
      </c>
      <c r="BS7" s="2">
        <f t="shared" si="15"/>
        <v>0</v>
      </c>
      <c r="BT7" s="2">
        <f t="shared" si="16"/>
        <v>0</v>
      </c>
      <c r="BU7" s="7">
        <f t="shared" si="17"/>
        <v>8.6839999999999975</v>
      </c>
      <c r="BV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7" s="2"/>
      <c r="BX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/>
      <c r="H8" s="40">
        <v>14.6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3.9</f>
        <v>3.9</v>
      </c>
      <c r="R8" s="40">
        <f>Tabelle51218247125126[[#This Row],[Height]]*Tabelle51218247125126[[#This Row],[Length]]</f>
        <v>10.92</v>
      </c>
      <c r="S8" s="42">
        <f t="shared" si="2"/>
        <v>2.8</v>
      </c>
      <c r="T8" s="3">
        <f>3.74+0.11</f>
        <v>3.85</v>
      </c>
      <c r="U8" s="40">
        <f>Tabelle51218247125126[[#This Row],[Height2]]*Tabelle51218247125126[[#This Row],[Length3]]</f>
        <v>10.78</v>
      </c>
      <c r="V8" s="42">
        <f t="shared" si="4"/>
        <v>2.8</v>
      </c>
      <c r="W8" s="3">
        <v>0</v>
      </c>
      <c r="X8" s="3">
        <f>(1-$BR$19)*Tabelle291521494818[[#This Row],[North2]]+(1-$BS$19)*Tabelle291521494818[[#This Row],[East2]]+(1-$BT$19)*Tabelle291521494818[[#This Row],[South2]]+(1-$BU$19)*Tabelle291521494818[[#This Row],[West2]]</f>
        <v>11.045999999999999</v>
      </c>
      <c r="Y8" s="40">
        <f>Tabelle51218247125126[[#This Row],[Height22]]*Tabelle51218247125126[[#This Row],[Length33]]+Tabelle51218247125126[[#This Row],[Length332]]/2</f>
        <v>5.5229999999999997</v>
      </c>
      <c r="Z8" s="42">
        <f>IF(Tabelle181420384717[[#This Row],[ceiling]]="c",Tabelle181420384717[[#This Row],[Total Area size '[m^2']]],0)</f>
        <v>14.6</v>
      </c>
      <c r="AA8" s="42">
        <f>IF(Tabelle181420384717[[#This Row],[floor]]="f",Tabelle181420384717[[#This Row],[Total Area size '[m^2']]],0)</f>
        <v>14.6</v>
      </c>
      <c r="AB8" s="5"/>
      <c r="AC8" s="2">
        <v>0</v>
      </c>
      <c r="AD8" s="2">
        <v>0</v>
      </c>
      <c r="AE8" s="2">
        <v>1</v>
      </c>
      <c r="AF8" s="2">
        <v>0</v>
      </c>
      <c r="AG8" s="42">
        <f t="shared" si="5"/>
        <v>2.8</v>
      </c>
      <c r="AH8" s="2">
        <f>0.055+3.74+0.15</f>
        <v>3.9450000000000003</v>
      </c>
      <c r="AI8" s="44">
        <v>0</v>
      </c>
      <c r="AJ8" s="6">
        <v>0</v>
      </c>
      <c r="AK8" s="2">
        <v>1</v>
      </c>
      <c r="AL8" s="2">
        <v>0</v>
      </c>
      <c r="AM8" s="2">
        <v>0</v>
      </c>
      <c r="AN8" s="42">
        <f t="shared" si="6"/>
        <v>2.8</v>
      </c>
      <c r="AO8" s="2">
        <f>0.15+0.75+2.4+0.75+0.105</f>
        <v>4.1550000000000002</v>
      </c>
      <c r="AP8" s="44">
        <v>2.88</v>
      </c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Tabelle31016225104919[[#This Row],[North]]*$AI8+AL8*$AP8+AS8*$AW8+AZ8*$BD8+BG8*$BK8</f>
        <v>0</v>
      </c>
      <c r="BO8" s="2">
        <f t="shared" si="12"/>
        <v>2.88</v>
      </c>
      <c r="BP8" s="2">
        <f t="shared" si="13"/>
        <v>0</v>
      </c>
      <c r="BQ8" s="2">
        <f t="shared" si="14"/>
        <v>0</v>
      </c>
      <c r="BR8" s="6">
        <f>Tabelle31016225104919[[#This Row],[North]]*$AG8*$AH8+AL8*$AN8*$AO8+AS8*$AU8*$AV8+AZ8*$BB8*$BC8+BG8*$BI8*$BJ8-BN8</f>
        <v>11.045999999999999</v>
      </c>
      <c r="BS8" s="2">
        <f t="shared" si="15"/>
        <v>8.7540000000000013</v>
      </c>
      <c r="BT8" s="2">
        <f t="shared" si="16"/>
        <v>0</v>
      </c>
      <c r="BU8" s="7">
        <f t="shared" si="17"/>
        <v>0</v>
      </c>
      <c r="BV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8" s="2"/>
      <c r="BX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/>
      <c r="F9" s="2"/>
      <c r="G9" s="37" t="s">
        <v>107</v>
      </c>
      <c r="H9" s="40">
        <v>16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3.9</v>
      </c>
      <c r="R9" s="40">
        <f>Tabelle51218247125126[[#This Row],[Height]]*Tabelle51218247125126[[#This Row],[Length]]</f>
        <v>10.92</v>
      </c>
      <c r="S9" s="42">
        <f t="shared" si="2"/>
        <v>2.8</v>
      </c>
      <c r="T9" s="3">
        <f>4.99+0.11</f>
        <v>5.1000000000000005</v>
      </c>
      <c r="U9" s="40">
        <f>Tabelle51218247125126[[#This Row],[Height2]]*Tabelle51218247125126[[#This Row],[Length3]]</f>
        <v>14.280000000000001</v>
      </c>
      <c r="V9" s="42">
        <f t="shared" si="4"/>
        <v>2.8</v>
      </c>
      <c r="W9" s="3">
        <v>0</v>
      </c>
      <c r="X9" s="3">
        <f>(1-$BR$19)*Tabelle291521494818[[#This Row],[North2]]+(1-$BS$19)*Tabelle291521494818[[#This Row],[East2]]+(1-$BT$19)*Tabelle291521494818[[#This Row],[South2]]+(1-$BU$19)*Tabelle291521494818[[#This Row],[West2]]</f>
        <v>15.049999999999999</v>
      </c>
      <c r="Y9" s="40">
        <f>Tabelle51218247125126[[#This Row],[Height22]]*Tabelle51218247125126[[#This Row],[Length33]]+Tabelle51218247125126[[#This Row],[Length332]]/2</f>
        <v>7.5249999999999995</v>
      </c>
      <c r="Z9" s="42">
        <f>IF(Tabelle181420384717[[#This Row],[ceiling]]="c",Tabelle181420384717[[#This Row],[Total Area size '[m^2']]],0)</f>
        <v>0</v>
      </c>
      <c r="AA9" s="42">
        <f>IF(Tabelle181420384717[[#This Row],[floor]]="f",Tabelle181420384717[[#This Row],[Total Area size '[m^2']]],0)</f>
        <v>16</v>
      </c>
      <c r="AB9" s="5"/>
      <c r="AC9" s="2">
        <v>0</v>
      </c>
      <c r="AD9" s="2">
        <v>0</v>
      </c>
      <c r="AE9" s="2">
        <v>1</v>
      </c>
      <c r="AF9" s="2">
        <v>0</v>
      </c>
      <c r="AG9" s="42">
        <f t="shared" si="5"/>
        <v>2.8</v>
      </c>
      <c r="AH9" s="2">
        <f>0.055+4.99+0.33</f>
        <v>5.375</v>
      </c>
      <c r="AI9" s="44">
        <v>0</v>
      </c>
      <c r="AJ9" s="6">
        <v>0</v>
      </c>
      <c r="AK9" s="2">
        <v>1</v>
      </c>
      <c r="AL9" s="2">
        <v>0</v>
      </c>
      <c r="AM9" s="2">
        <v>0</v>
      </c>
      <c r="AN9" s="42">
        <f t="shared" si="6"/>
        <v>2.8</v>
      </c>
      <c r="AO9" s="2">
        <f>0.15+0.59+2.4+0.91+0.08</f>
        <v>4.13</v>
      </c>
      <c r="AP9" s="44">
        <v>2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Tabelle31016225104919[[#This Row],[North]]*$AI9+AL9*$AP9+AS9*$AW9+AZ9*$BD9+BG9*$BK9</f>
        <v>0</v>
      </c>
      <c r="BO9" s="2">
        <f t="shared" si="12"/>
        <v>2</v>
      </c>
      <c r="BP9" s="2">
        <f t="shared" si="13"/>
        <v>0</v>
      </c>
      <c r="BQ9" s="2">
        <f t="shared" si="14"/>
        <v>0</v>
      </c>
      <c r="BR9" s="6">
        <f>Tabelle31016225104919[[#This Row],[North]]*$AG9*$AH9+AL9*$AN9*$AO9+AS9*$AU9*$AV9+AZ9*$BB9*$BC9+BG9*$BI9*$BJ9-BN9</f>
        <v>15.049999999999999</v>
      </c>
      <c r="BS9" s="2">
        <f t="shared" si="15"/>
        <v>9.5639999999999983</v>
      </c>
      <c r="BT9" s="2">
        <f t="shared" si="16"/>
        <v>0</v>
      </c>
      <c r="BU9" s="7">
        <f t="shared" si="17"/>
        <v>0</v>
      </c>
      <c r="BV9" s="2">
        <f>IF(Tabelle1814203847[[#This Row],[(g)round/(r )oof2]]="R",Tabelle1814203847[[#This Row],[Total Area size '[m^2']]],IF(Tabelle1814203847[[#This Row],[(g)round/(r )oof2]]="B",Tabelle1814203847[[#This Row],[Total Area size '[m^2']]],0))</f>
        <v>16</v>
      </c>
      <c r="BW9" s="2"/>
      <c r="BX9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/>
      <c r="H10" s="40">
        <v>6.3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v>3.3</v>
      </c>
      <c r="R10" s="40">
        <f>Tabelle51218247125126[[#This Row],[Height]]*Tabelle51218247125126[[#This Row],[Length]]</f>
        <v>9.2399999999999984</v>
      </c>
      <c r="S10" s="42">
        <f t="shared" si="2"/>
        <v>2.8</v>
      </c>
      <c r="T10" s="3">
        <v>1.9</v>
      </c>
      <c r="U10" s="40">
        <f>Tabelle51218247125126[[#This Row],[Height2]]*Tabelle51218247125126[[#This Row],[Length3]]</f>
        <v>5.3199999999999994</v>
      </c>
      <c r="V10" s="42">
        <f t="shared" si="4"/>
        <v>2.8</v>
      </c>
      <c r="W10" s="3">
        <v>0</v>
      </c>
      <c r="X10" s="3">
        <f>(1-$BR$19)*Tabelle291521494818[[#This Row],[North2]]+(1-$BS$19)*Tabelle291521494818[[#This Row],[East2]]+(1-$BT$19)*Tabelle291521494818[[#This Row],[South2]]+(1-$BU$19)*Tabelle291521494818[[#This Row],[West2]]</f>
        <v>10.318</v>
      </c>
      <c r="Y10" s="40">
        <f>Tabelle51218247125126[[#This Row],[Height22]]*Tabelle51218247125126[[#This Row],[Length33]]+Tabelle51218247125126[[#This Row],[Length332]]/2</f>
        <v>5.1589999999999998</v>
      </c>
      <c r="Z10" s="42">
        <f>IF(Tabelle181420384717[[#This Row],[ceiling]]="c",Tabelle181420384717[[#This Row],[Total Area size '[m^2']]],0)</f>
        <v>6.3</v>
      </c>
      <c r="AA10" s="42">
        <f>IF(Tabelle181420384717[[#This Row],[floor]]="f",Tabelle181420384717[[#This Row],[Total Area size '[m^2']]],0)</f>
        <v>6.3</v>
      </c>
      <c r="AB10" s="5"/>
      <c r="AC10" s="2">
        <v>0</v>
      </c>
      <c r="AD10" s="2">
        <v>0</v>
      </c>
      <c r="AE10" s="2">
        <v>0</v>
      </c>
      <c r="AF10" s="2">
        <v>1</v>
      </c>
      <c r="AG10" s="42">
        <f t="shared" si="5"/>
        <v>2.8</v>
      </c>
      <c r="AH10" s="2">
        <v>2.13</v>
      </c>
      <c r="AI10" s="44">
        <v>0.96</v>
      </c>
      <c r="AJ10" s="6">
        <v>1</v>
      </c>
      <c r="AK10" s="2">
        <v>0</v>
      </c>
      <c r="AL10" s="3">
        <v>0</v>
      </c>
      <c r="AM10" s="2">
        <v>0</v>
      </c>
      <c r="AN10" s="42">
        <f t="shared" si="6"/>
        <v>2.8</v>
      </c>
      <c r="AO10" s="3">
        <v>3.6850000000000001</v>
      </c>
      <c r="AP10" s="44">
        <v>0</v>
      </c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Tabelle31016225104919[[#This Row],[North]]*$AI10+AL10*$AP10+AS10*$AW10+AZ10*$BD10+BG10*$BK10</f>
        <v>0</v>
      </c>
      <c r="BO10" s="2">
        <f t="shared" si="12"/>
        <v>0</v>
      </c>
      <c r="BP10" s="2">
        <f t="shared" si="13"/>
        <v>0</v>
      </c>
      <c r="BQ10" s="2">
        <f t="shared" si="14"/>
        <v>0.96</v>
      </c>
      <c r="BR10" s="6">
        <f>Tabelle31016225104919[[#This Row],[North]]*$AG10*$AH10+AL10*$AN10*$AO10+AS10*$AU10*$AV10+AZ10*$BB10*$BC10+BG10*$BI10*$BJ10-BN10</f>
        <v>0</v>
      </c>
      <c r="BS10" s="2">
        <f t="shared" si="15"/>
        <v>0</v>
      </c>
      <c r="BT10" s="2">
        <f t="shared" si="16"/>
        <v>10.318</v>
      </c>
      <c r="BU10" s="7">
        <f t="shared" si="17"/>
        <v>5.0039999999999996</v>
      </c>
      <c r="BV10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0" s="2"/>
      <c r="BX10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1" spans="1:77" x14ac:dyDescent="0.25">
      <c r="A11" s="40">
        <v>7</v>
      </c>
      <c r="B11" s="2" t="s">
        <v>99</v>
      </c>
      <c r="C11" s="2" t="s">
        <v>10</v>
      </c>
      <c r="D11" s="2"/>
      <c r="E11" s="37" t="s">
        <v>112</v>
      </c>
      <c r="F11" s="2"/>
      <c r="G11" s="37" t="s">
        <v>106</v>
      </c>
      <c r="H11" s="40">
        <v>1.7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1.9</f>
        <v>1.9</v>
      </c>
      <c r="R11" s="40">
        <f>Tabelle51218247125126[[#This Row],[Height]]*Tabelle51218247125126[[#This Row],[Length]]</f>
        <v>5.3199999999999994</v>
      </c>
      <c r="S11" s="42">
        <f t="shared" si="2"/>
        <v>2.8</v>
      </c>
      <c r="T11" s="3">
        <v>0</v>
      </c>
      <c r="U11" s="40">
        <f>Tabelle51218247125126[[#This Row],[Height2]]*Tabelle51218247125126[[#This Row],[Length3]]</f>
        <v>0</v>
      </c>
      <c r="V11" s="42">
        <f t="shared" si="4"/>
        <v>2.8</v>
      </c>
      <c r="W11" s="3">
        <v>0</v>
      </c>
      <c r="X11" s="3">
        <f>(1-$BR$19)*Tabelle291521494818[[#This Row],[North2]]+(1-$BS$19)*Tabelle291521494818[[#This Row],[East2]]+(1-$BT$19)*Tabelle291521494818[[#This Row],[South2]]+(1-$BU$19)*Tabelle291521494818[[#This Row],[West2]]</f>
        <v>2.8279999999999998</v>
      </c>
      <c r="Y11" s="40">
        <f>Tabelle51218247125126[[#This Row],[Height22]]*Tabelle51218247125126[[#This Row],[Length33]]+Tabelle51218247125126[[#This Row],[Length332]]/2</f>
        <v>1.4139999999999999</v>
      </c>
      <c r="Z11" s="42">
        <f>IF(Tabelle181420384717[[#This Row],[ceiling]]="c",Tabelle181420384717[[#This Row],[Total Area size '[m^2']]],0)</f>
        <v>1.7</v>
      </c>
      <c r="AA11" s="42">
        <f>IF(Tabelle181420384717[[#This Row],[floor]]="f",Tabelle181420384717[[#This Row],[Total Area size '[m^2']]],0)</f>
        <v>0</v>
      </c>
      <c r="AB11" s="5"/>
      <c r="AC11" s="2">
        <v>1</v>
      </c>
      <c r="AD11" s="2">
        <v>0</v>
      </c>
      <c r="AE11" s="2">
        <v>0</v>
      </c>
      <c r="AF11" s="2">
        <v>0</v>
      </c>
      <c r="AG11" s="42">
        <f t="shared" si="5"/>
        <v>2.8</v>
      </c>
      <c r="AH11" s="2">
        <v>1.01</v>
      </c>
      <c r="AI11" s="44">
        <v>0</v>
      </c>
      <c r="AJ11" s="6"/>
      <c r="AK11" s="2"/>
      <c r="AL11" s="2"/>
      <c r="AM11" s="2"/>
      <c r="AN11" s="42">
        <f t="shared" si="6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Tabelle31016225104919[[#This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Tabelle31016225104919[[#This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2.8279999999999998</v>
      </c>
      <c r="BU11" s="7">
        <f t="shared" si="17"/>
        <v>0</v>
      </c>
      <c r="BV11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1" s="2"/>
      <c r="BX11" s="2">
        <f>IF(Tabelle1814203847[[#This Row],[(g)round/(r )oof2]]="G",Tabelle1814203847[[#This Row],[Total Area size '[m^2']]],IF(Tabelle1814203847[[#This Row],[(g)round/(r )oof2]]="B",Tabelle1814203847[[#This Row],[Total Area size '[m^2']]],0))</f>
        <v>1.7</v>
      </c>
    </row>
    <row r="12" spans="1:77" x14ac:dyDescent="0.25">
      <c r="A12" s="40">
        <v>8</v>
      </c>
      <c r="B12" s="2" t="s">
        <v>108</v>
      </c>
      <c r="C12" s="2" t="s">
        <v>10</v>
      </c>
      <c r="D12" s="2"/>
      <c r="E12" s="37" t="s">
        <v>112</v>
      </c>
      <c r="F12" s="2"/>
      <c r="G12" s="37" t="s">
        <v>106</v>
      </c>
      <c r="H12" s="40">
        <v>6.93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v>1.9</v>
      </c>
      <c r="R12" s="40">
        <f>Tabelle51218247125126[[#This Row],[Height]]*Tabelle51218247125126[[#This Row],[Length]]</f>
        <v>5.3199999999999994</v>
      </c>
      <c r="S12" s="42">
        <f t="shared" si="2"/>
        <v>2.8</v>
      </c>
      <c r="T12" s="3">
        <v>0</v>
      </c>
      <c r="U12" s="40">
        <f>Tabelle51218247125126[[#This Row],[Height2]]*Tabelle51218247125126[[#This Row],[Length3]]</f>
        <v>0</v>
      </c>
      <c r="V12" s="42">
        <f t="shared" si="4"/>
        <v>2.8</v>
      </c>
      <c r="W12" s="3">
        <v>0</v>
      </c>
      <c r="X12" s="3">
        <f>(1-$BR$19)*Tabelle291521494818[[#This Row],[North2]]+(1-$BS$19)*Tabelle291521494818[[#This Row],[East2]]+(1-$BT$19)*Tabelle291521494818[[#This Row],[South2]]+(1-$BU$19)*Tabelle291521494818[[#This Row],[West2]]</f>
        <v>11.941999999999998</v>
      </c>
      <c r="Y12" s="40">
        <f>Tabelle51218247125126[[#This Row],[Height22]]*Tabelle51218247125126[[#This Row],[Length33]]+Tabelle51218247125126[[#This Row],[Length332]]/2</f>
        <v>5.9709999999999992</v>
      </c>
      <c r="Z12" s="42">
        <f>IF(Tabelle181420384717[[#This Row],[ceiling]]="c",Tabelle181420384717[[#This Row],[Total Area size '[m^2']]],0)</f>
        <v>6.93</v>
      </c>
      <c r="AA12" s="42">
        <f>IF(Tabelle181420384717[[#This Row],[floor]]="f",Tabelle181420384717[[#This Row],[Total Area size '[m^2']]],0)</f>
        <v>0</v>
      </c>
      <c r="AB12" s="5"/>
      <c r="AC12" s="2">
        <v>0</v>
      </c>
      <c r="AD12" s="2">
        <v>1</v>
      </c>
      <c r="AE12" s="2">
        <v>0</v>
      </c>
      <c r="AF12" s="2">
        <v>0</v>
      </c>
      <c r="AG12" s="42">
        <f t="shared" si="5"/>
        <v>2.8</v>
      </c>
      <c r="AH12" s="2">
        <f>0.15+0.95+0.9</f>
        <v>2</v>
      </c>
      <c r="AI12" s="44">
        <v>0</v>
      </c>
      <c r="AJ12" s="6">
        <v>1</v>
      </c>
      <c r="AK12" s="2">
        <v>0</v>
      </c>
      <c r="AL12" s="2">
        <v>0</v>
      </c>
      <c r="AM12" s="2">
        <v>0</v>
      </c>
      <c r="AN12" s="42">
        <f t="shared" si="6"/>
        <v>2.8</v>
      </c>
      <c r="AO12" s="2">
        <f>4.265</f>
        <v>4.2649999999999997</v>
      </c>
      <c r="AP12" s="44">
        <v>0</v>
      </c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Tabelle31016225104919[[#This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Tabelle31016225104919[[#This Row],[North]]*$AG12*$AH12+AL12*$AN12*$AO12+AS12*$AU12*$AV12+AZ12*$BB12*$BC12+BG12*$BI12*$BJ12-BN12</f>
        <v>0</v>
      </c>
      <c r="BS12" s="2">
        <f t="shared" si="15"/>
        <v>5.6</v>
      </c>
      <c r="BT12" s="2">
        <f t="shared" si="16"/>
        <v>11.941999999999998</v>
      </c>
      <c r="BU12" s="7">
        <f t="shared" si="17"/>
        <v>0</v>
      </c>
      <c r="BV12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2" s="2"/>
      <c r="BX12" s="2">
        <f>IF(Tabelle1814203847[[#This Row],[(g)round/(r )oof2]]="G",Tabelle1814203847[[#This Row],[Total Area size '[m^2']]],IF(Tabelle1814203847[[#This Row],[(g)round/(r )oof2]]="B",Tabelle1814203847[[#This Row],[Total Area size '[m^2']]],0))</f>
        <v>6.93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/>
      <c r="F13" s="2"/>
      <c r="G13" s="37" t="s">
        <v>107</v>
      </c>
      <c r="H13" s="40">
        <v>2.2000000000000002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v>1.9</v>
      </c>
      <c r="R13" s="40">
        <f>Tabelle51218247125126[[#This Row],[Height]]*Tabelle51218247125126[[#This Row],[Length]]</f>
        <v>5.3199999999999994</v>
      </c>
      <c r="S13" s="42">
        <f t="shared" si="2"/>
        <v>2.8</v>
      </c>
      <c r="T13" s="33">
        <v>0</v>
      </c>
      <c r="U13" s="40">
        <f>Tabelle51218247125126[[#This Row],[Height2]]*Tabelle51218247125126[[#This Row],[Length3]]</f>
        <v>0</v>
      </c>
      <c r="V13" s="42">
        <f t="shared" si="4"/>
        <v>2.8</v>
      </c>
      <c r="W13" s="3">
        <v>0</v>
      </c>
      <c r="X13" s="3">
        <f>(1-$BR$19)*Tabelle291521494818[[#This Row],[North2]]+(1-$BS$19)*Tabelle291521494818[[#This Row],[East2]]+(1-$BT$19)*Tabelle291521494818[[#This Row],[South2]]+(1-$BU$19)*Tabelle291521494818[[#This Row],[West2]]</f>
        <v>6.8179999999999996</v>
      </c>
      <c r="Y13" s="40">
        <f>Tabelle51218247125126[[#This Row],[Height22]]*Tabelle51218247125126[[#This Row],[Length33]]+Tabelle51218247125126[[#This Row],[Length332]]/2</f>
        <v>3.4089999999999998</v>
      </c>
      <c r="Z13" s="42">
        <f>IF(Tabelle181420384717[[#This Row],[ceiling]]="c",Tabelle181420384717[[#This Row],[Total Area size '[m^2']]],0)</f>
        <v>0</v>
      </c>
      <c r="AA13" s="42">
        <f>IF(Tabelle181420384717[[#This Row],[floor]]="f",Tabelle181420384717[[#This Row],[Total Area size '[m^2']]],0)</f>
        <v>2.2000000000000002</v>
      </c>
      <c r="AB13" s="5"/>
      <c r="AC13" s="2">
        <v>0</v>
      </c>
      <c r="AD13" s="2">
        <v>0</v>
      </c>
      <c r="AE13" s="2">
        <v>0</v>
      </c>
      <c r="AF13" s="2">
        <v>1</v>
      </c>
      <c r="AG13" s="42">
        <f t="shared" si="5"/>
        <v>2.8</v>
      </c>
      <c r="AH13" s="2">
        <f>0.15+1.9+0.08</f>
        <v>2.13</v>
      </c>
      <c r="AI13" s="44">
        <v>1</v>
      </c>
      <c r="AJ13" s="6">
        <v>1</v>
      </c>
      <c r="AK13" s="2">
        <v>0</v>
      </c>
      <c r="AL13" s="2">
        <v>0</v>
      </c>
      <c r="AM13" s="2">
        <v>0</v>
      </c>
      <c r="AN13" s="42">
        <f t="shared" si="6"/>
        <v>2.8</v>
      </c>
      <c r="AO13" s="2">
        <f>0.33+2.05+0.055</f>
        <v>2.4350000000000001</v>
      </c>
      <c r="AP13" s="44">
        <v>0</v>
      </c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Tabelle31016225104919[[#This Row],[North]]*$AI13+AL13*$AP13+AS13*$AW13+AZ13*$BD13+BG13*$BK13</f>
        <v>0</v>
      </c>
      <c r="BO13" s="2">
        <f t="shared" si="12"/>
        <v>0</v>
      </c>
      <c r="BP13" s="2">
        <f t="shared" si="13"/>
        <v>0</v>
      </c>
      <c r="BQ13" s="2">
        <f t="shared" si="14"/>
        <v>1</v>
      </c>
      <c r="BR13" s="6">
        <f>Tabelle31016225104919[[#This Row],[North]]*$AG13*$AH13+AL13*$AN13*$AO13+AS13*$AU13*$AV13+AZ13*$BB13*$BC13+BG13*$BI13*$BJ13-BN13</f>
        <v>0</v>
      </c>
      <c r="BS13" s="2">
        <f t="shared" si="15"/>
        <v>0</v>
      </c>
      <c r="BT13" s="2">
        <f t="shared" si="16"/>
        <v>6.8179999999999996</v>
      </c>
      <c r="BU13" s="7">
        <f t="shared" si="17"/>
        <v>4.9639999999999995</v>
      </c>
      <c r="BV13" s="2">
        <f>IF(Tabelle1814203847[[#This Row],[(g)round/(r )oof2]]="R",Tabelle1814203847[[#This Row],[Total Area size '[m^2']]],IF(Tabelle1814203847[[#This Row],[(g)round/(r )oof2]]="B",Tabelle1814203847[[#This Row],[Total Area size '[m^2']]],0))</f>
        <v>2.2000000000000002</v>
      </c>
      <c r="BW13" s="2"/>
      <c r="BX13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4" spans="1:77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112</v>
      </c>
      <c r="F14" s="2"/>
      <c r="G14" s="37"/>
      <c r="H14" s="40">
        <v>6.93</v>
      </c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>
        <v>0</v>
      </c>
      <c r="R14" s="40">
        <f>Tabelle51218247125126[[#This Row],[Height]]*Tabelle51218247125126[[#This Row],[Length]]</f>
        <v>0</v>
      </c>
      <c r="S14" s="42">
        <f t="shared" si="2"/>
        <v>2.8</v>
      </c>
      <c r="T14" s="3">
        <v>0</v>
      </c>
      <c r="U14" s="40">
        <f>Tabelle51218247125126[[#This Row],[Height2]]*Tabelle51218247125126[[#This Row],[Length3]]</f>
        <v>0</v>
      </c>
      <c r="V14" s="42">
        <f t="shared" si="4"/>
        <v>2.8</v>
      </c>
      <c r="W14" s="3">
        <v>0</v>
      </c>
      <c r="X14" s="3">
        <f>(1-$BR$19)*Tabelle291521494818[[#This Row],[North2]]+(1-$BS$19)*Tabelle291521494818[[#This Row],[East2]]+(1-$BT$19)*Tabelle291521494818[[#This Row],[South2]]+(1-$BU$19)*Tabelle291521494818[[#This Row],[West2]]</f>
        <v>14.77</v>
      </c>
      <c r="Y14" s="40">
        <f>Tabelle51218247125126[[#This Row],[Height22]]*Tabelle51218247125126[[#This Row],[Length33]]+Tabelle51218247125126[[#This Row],[Length332]]/2</f>
        <v>7.3849999999999998</v>
      </c>
      <c r="Z14" s="42">
        <f>IF(Tabelle181420384717[[#This Row],[ceiling]]="c",Tabelle181420384717[[#This Row],[Total Area size '[m^2']]],0)</f>
        <v>6.93</v>
      </c>
      <c r="AA14" s="42">
        <f>IF(Tabelle181420384717[[#This Row],[floor]]="f",Tabelle181420384717[[#This Row],[Total Area size '[m^2']]],0)</f>
        <v>6.93</v>
      </c>
      <c r="AB14" s="5"/>
      <c r="AC14" s="2">
        <v>0</v>
      </c>
      <c r="AD14" s="2">
        <v>1</v>
      </c>
      <c r="AE14" s="2">
        <v>0</v>
      </c>
      <c r="AF14" s="2">
        <v>0</v>
      </c>
      <c r="AG14" s="42">
        <f t="shared" si="5"/>
        <v>2.8</v>
      </c>
      <c r="AH14" s="2">
        <f>0.15+0.95+0.9</f>
        <v>2</v>
      </c>
      <c r="AI14" s="44">
        <v>1.08</v>
      </c>
      <c r="AJ14" s="6">
        <v>1</v>
      </c>
      <c r="AK14" s="2">
        <v>0</v>
      </c>
      <c r="AL14" s="2">
        <v>0</v>
      </c>
      <c r="AM14" s="2">
        <v>0</v>
      </c>
      <c r="AN14" s="42">
        <f t="shared" si="6"/>
        <v>2.8</v>
      </c>
      <c r="AO14" s="2">
        <f>5.275</f>
        <v>5.2750000000000004</v>
      </c>
      <c r="AP14" s="44">
        <v>0</v>
      </c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Tabelle31016225104919[[#This Row],[North]]*$AI14+AL14*$AP14+AS14*$AW14+AZ14*$BD14+BG14*$BK14</f>
        <v>0</v>
      </c>
      <c r="BO14" s="2">
        <f t="shared" si="12"/>
        <v>1.08</v>
      </c>
      <c r="BP14" s="2">
        <f t="shared" si="13"/>
        <v>0</v>
      </c>
      <c r="BQ14" s="2">
        <f t="shared" si="14"/>
        <v>0</v>
      </c>
      <c r="BR14" s="6">
        <f>Tabelle31016225104919[[#This Row],[North]]*$AG14*$AH14+AL14*$AN14*$AO14+AS14*$AU14*$AV14+AZ14*$BB14*$BC14+BG14*$BI14*$BJ14-BN14</f>
        <v>0</v>
      </c>
      <c r="BS14" s="2">
        <f t="shared" si="15"/>
        <v>4.5199999999999996</v>
      </c>
      <c r="BT14" s="2">
        <f t="shared" si="16"/>
        <v>14.77</v>
      </c>
      <c r="BU14" s="7">
        <f t="shared" si="17"/>
        <v>0</v>
      </c>
      <c r="BV14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4" s="2"/>
      <c r="BX14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5" spans="1:77" x14ac:dyDescent="0.25">
      <c r="A15" s="40">
        <v>11</v>
      </c>
      <c r="B15" s="2" t="s">
        <v>97</v>
      </c>
      <c r="C15" s="2" t="s">
        <v>101</v>
      </c>
      <c r="D15" s="2" t="s">
        <v>113</v>
      </c>
      <c r="E15" s="37"/>
      <c r="F15" s="2"/>
      <c r="G15" s="2" t="s">
        <v>107</v>
      </c>
      <c r="H15" s="40">
        <v>9</v>
      </c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>
        <f>3.9+2.05</f>
        <v>5.9499999999999993</v>
      </c>
      <c r="R15" s="40">
        <f>Tabelle51218247125126[[#This Row],[Height]]*Tabelle51218247125126[[#This Row],[Length]]</f>
        <v>16.659999999999997</v>
      </c>
      <c r="S15" s="42">
        <f t="shared" si="2"/>
        <v>2.8</v>
      </c>
      <c r="T15" s="3">
        <v>1.04</v>
      </c>
      <c r="U15" s="40">
        <f>Tabelle51218247125126[[#This Row],[Height2]]*Tabelle51218247125126[[#This Row],[Length3]]</f>
        <v>2.9119999999999999</v>
      </c>
      <c r="V15" s="42">
        <f t="shared" si="4"/>
        <v>2.8</v>
      </c>
      <c r="W15" s="3">
        <v>0</v>
      </c>
      <c r="X15" s="3">
        <f>(1-$BR$19)*Tabelle291521494818[[#This Row],[North2]]+(1-$BS$19)*Tabelle291521494818[[#This Row],[East2]]+(1-$BT$19)*Tabelle291521494818[[#This Row],[South2]]+(1-$BU$19)*Tabelle291521494818[[#This Row],[West2]]</f>
        <v>10.038</v>
      </c>
      <c r="Y15" s="40">
        <f>Tabelle51218247125126[[#This Row],[Height22]]*Tabelle51218247125126[[#This Row],[Length33]]+Tabelle51218247125126[[#This Row],[Length332]]/2</f>
        <v>5.0190000000000001</v>
      </c>
      <c r="Z15" s="42">
        <f>IF(Tabelle181420384717[[#This Row],[ceiling]]="c",Tabelle181420384717[[#This Row],[Total Area size '[m^2']]],0)</f>
        <v>0</v>
      </c>
      <c r="AA15" s="42">
        <f>IF(Tabelle181420384717[[#This Row],[floor]]="f",Tabelle181420384717[[#This Row],[Total Area size '[m^2']]],0)</f>
        <v>9</v>
      </c>
      <c r="AB15" s="5"/>
      <c r="AC15" s="2">
        <v>0</v>
      </c>
      <c r="AD15" s="2">
        <v>0</v>
      </c>
      <c r="AE15" s="2">
        <v>0</v>
      </c>
      <c r="AF15" s="2">
        <v>1</v>
      </c>
      <c r="AG15" s="42">
        <f t="shared" si="5"/>
        <v>2.8</v>
      </c>
      <c r="AH15" s="2">
        <f>0.15+0.59+2.4+0.91+0.08</f>
        <v>4.13</v>
      </c>
      <c r="AI15" s="44">
        <v>2</v>
      </c>
      <c r="AJ15" s="6">
        <v>0</v>
      </c>
      <c r="AK15" s="2">
        <v>0</v>
      </c>
      <c r="AL15" s="2">
        <v>1</v>
      </c>
      <c r="AM15" s="2">
        <v>0</v>
      </c>
      <c r="AN15" s="42">
        <f t="shared" si="6"/>
        <v>2.8</v>
      </c>
      <c r="AO15" s="2">
        <f>0.33+3.2+0.055</f>
        <v>3.5850000000000004</v>
      </c>
      <c r="AP15" s="44">
        <v>0</v>
      </c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Tabelle31016225104919[[#This Row],[North]]*$AI15+AL15*$AP15+AS15*$AW15+AZ15*$BD15+BG15*$BK15</f>
        <v>0</v>
      </c>
      <c r="BO15" s="2">
        <f t="shared" si="12"/>
        <v>0</v>
      </c>
      <c r="BP15" s="2">
        <f t="shared" si="13"/>
        <v>0</v>
      </c>
      <c r="BQ15" s="2">
        <f t="shared" si="14"/>
        <v>2</v>
      </c>
      <c r="BR15" s="6">
        <f>Tabelle31016225104919[[#This Row],[North]]*$AG15*$AH15+AL15*$AN15*$AO15+AS15*$AU15*$AV15+AZ15*$BB15*$BC15+BG15*$BI15*$BJ15-BN15</f>
        <v>10.038</v>
      </c>
      <c r="BS15" s="2">
        <f t="shared" si="15"/>
        <v>0</v>
      </c>
      <c r="BT15" s="2">
        <f t="shared" si="16"/>
        <v>0</v>
      </c>
      <c r="BU15" s="7">
        <f t="shared" si="17"/>
        <v>9.5639999999999983</v>
      </c>
      <c r="BV15" s="2">
        <f>IF(Tabelle1814203847[[#This Row],[(g)round/(r )oof2]]="R",Tabelle1814203847[[#This Row],[Total Area size '[m^2']]],IF(Tabelle1814203847[[#This Row],[(g)round/(r )oof2]]="B",Tabelle1814203847[[#This Row],[Total Area size '[m^2']]],0))</f>
        <v>9</v>
      </c>
      <c r="BW15" s="2"/>
      <c r="BX15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6" spans="1:77" x14ac:dyDescent="0.25">
      <c r="A16" s="40">
        <v>12</v>
      </c>
      <c r="B16" s="2" t="s">
        <v>122</v>
      </c>
      <c r="C16" s="2" t="s">
        <v>10</v>
      </c>
      <c r="D16" s="2" t="s">
        <v>113</v>
      </c>
      <c r="E16" s="2"/>
      <c r="F16" s="2"/>
      <c r="G16" s="2" t="s">
        <v>107</v>
      </c>
      <c r="H16" s="40">
        <v>6.93</v>
      </c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>
        <v>1.9</v>
      </c>
      <c r="R16" s="40">
        <f>Tabelle51218247125126[[#This Row],[Height]]*Tabelle51218247125126[[#This Row],[Length]]</f>
        <v>5.3199999999999994</v>
      </c>
      <c r="S16" s="42">
        <f t="shared" si="2"/>
        <v>2.8</v>
      </c>
      <c r="T16" s="3">
        <v>0</v>
      </c>
      <c r="U16" s="40">
        <f>Tabelle51218247125126[[#This Row],[Height2]]*Tabelle51218247125126[[#This Row],[Length3]]</f>
        <v>0</v>
      </c>
      <c r="V16" s="42">
        <f t="shared" si="4"/>
        <v>2.8</v>
      </c>
      <c r="W16" s="3">
        <v>0</v>
      </c>
      <c r="X16" s="3">
        <f>(1-$BR$19)*Tabelle291521494818[[#This Row],[North2]]+(1-$BS$19)*Tabelle291521494818[[#This Row],[East2]]+(1-$BT$19)*Tabelle291521494818[[#This Row],[South2]]+(1-$BU$19)*Tabelle291521494818[[#This Row],[West2]]</f>
        <v>18.269999999999996</v>
      </c>
      <c r="Y16" s="40">
        <f>Tabelle51218247125126[[#This Row],[Height22]]*Tabelle51218247125126[[#This Row],[Length33]]+Tabelle51218247125126[[#This Row],[Length332]]/2</f>
        <v>9.134999999999998</v>
      </c>
      <c r="Z16" s="42">
        <f>IF(Tabelle181420384717[[#This Row],[ceiling]]="c",Tabelle181420384717[[#This Row],[Total Area size '[m^2']]],0)</f>
        <v>0</v>
      </c>
      <c r="AA16" s="42">
        <f>IF(Tabelle181420384717[[#This Row],[floor]]="f",Tabelle181420384717[[#This Row],[Total Area size '[m^2']]],0)</f>
        <v>6.93</v>
      </c>
      <c r="AB16" s="5"/>
      <c r="AC16" s="2">
        <v>0</v>
      </c>
      <c r="AD16" s="2">
        <v>1</v>
      </c>
      <c r="AE16" s="2">
        <v>0</v>
      </c>
      <c r="AF16" s="2">
        <v>0</v>
      </c>
      <c r="AG16" s="42">
        <f t="shared" si="5"/>
        <v>2.8</v>
      </c>
      <c r="AH16" s="3">
        <f>0.15+1.9+0.08</f>
        <v>2.13</v>
      </c>
      <c r="AI16" s="44">
        <v>1</v>
      </c>
      <c r="AJ16" s="6">
        <v>1</v>
      </c>
      <c r="AK16" s="2">
        <v>0</v>
      </c>
      <c r="AL16" s="2">
        <v>0</v>
      </c>
      <c r="AM16" s="2">
        <v>0</v>
      </c>
      <c r="AN16" s="42">
        <f t="shared" si="6"/>
        <v>2.8</v>
      </c>
      <c r="AO16" s="2">
        <f>0.33+6.14+0.055</f>
        <v>6.5249999999999995</v>
      </c>
      <c r="AP16" s="44">
        <v>0</v>
      </c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Tabelle31016225104919[[#This Row],[North]]*$AI16+AL16*$AP16+AS16*$AW16+AZ16*$BD16+BG16*$BK16</f>
        <v>0</v>
      </c>
      <c r="BO16" s="2">
        <f t="shared" si="12"/>
        <v>1</v>
      </c>
      <c r="BP16" s="2">
        <f t="shared" si="13"/>
        <v>0</v>
      </c>
      <c r="BQ16" s="2">
        <f t="shared" si="14"/>
        <v>0</v>
      </c>
      <c r="BR16" s="6">
        <f>Tabelle31016225104919[[#This Row],[North]]*$AG16*$AH16+AL16*$AN16*$AO16+AS16*$AU16*$AV16+AZ16*$BB16*$BC16+BG16*$BI16*$BJ16-BN16</f>
        <v>0</v>
      </c>
      <c r="BS16" s="2">
        <f t="shared" si="15"/>
        <v>4.9639999999999995</v>
      </c>
      <c r="BT16" s="2">
        <f t="shared" si="16"/>
        <v>18.269999999999996</v>
      </c>
      <c r="BU16" s="7">
        <f t="shared" si="17"/>
        <v>0</v>
      </c>
      <c r="BV16" s="2">
        <f>IF(Tabelle1814203847[[#This Row],[(g)round/(r )oof2]]="R",Tabelle1814203847[[#This Row],[Total Area size '[m^2']]],IF(Tabelle1814203847[[#This Row],[(g)round/(r )oof2]]="B",Tabelle1814203847[[#This Row],[Total Area size '[m^2']]],0))</f>
        <v>6.93</v>
      </c>
      <c r="BW16" s="2"/>
      <c r="BX16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18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7" s="2"/>
      <c r="BX1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8" s="2"/>
      <c r="BX1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0</v>
      </c>
      <c r="BS19" s="2">
        <v>1</v>
      </c>
      <c r="BT19" s="2">
        <v>0</v>
      </c>
      <c r="BU19" s="7">
        <v>1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2.2799999999999998</v>
      </c>
      <c r="BO22" s="61">
        <f t="shared" ref="BO22:BQ25" si="19">SUMIF($C$5:$C$18,$BM22,BO$5:BO$18)</f>
        <v>2.88</v>
      </c>
      <c r="BP22" s="61">
        <f t="shared" si="19"/>
        <v>0</v>
      </c>
      <c r="BQ22" s="61">
        <f t="shared" si="19"/>
        <v>7.91</v>
      </c>
      <c r="BR22" s="61">
        <f>SUMIF($C$5:$C$18,$BM22,BR$5:BR$18)*BR$19</f>
        <v>0</v>
      </c>
      <c r="BS22" s="61">
        <f t="shared" ref="BS22:BU22" si="20">SUMIF($C$5:$C$18,$BM22,BS$5:BS$18)*BS$19</f>
        <v>9.0479999999999983</v>
      </c>
      <c r="BT22" s="61">
        <f t="shared" si="20"/>
        <v>0</v>
      </c>
      <c r="BU22" s="61">
        <f t="shared" si="20"/>
        <v>21.685999999999996</v>
      </c>
      <c r="BV22" s="61">
        <f>SUMIF($C$5:$C$18,$BM22,BV$5:BV$18)</f>
        <v>9</v>
      </c>
      <c r="BW22" s="61">
        <f>BV22*$BV$30</f>
        <v>19.170817462642841</v>
      </c>
      <c r="BX22" s="61">
        <f>SUMIF($C$5:$C$18,$BM22,BX$5:BX$19)</f>
        <v>43.599999999999994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52.599999999999994</v>
      </c>
      <c r="I23" s="12">
        <f>H23/$H$28</f>
        <v>0.39972642298046956</v>
      </c>
      <c r="J23" s="1"/>
      <c r="K23" s="86" t="s">
        <v>86</v>
      </c>
      <c r="L23" s="86"/>
      <c r="M23" s="87"/>
      <c r="N23" s="78"/>
      <c r="O23" s="3"/>
      <c r="P23" s="33"/>
      <c r="Q23" s="3"/>
      <c r="R23" s="55">
        <f>SUMIF($C$5:$C$18,C23,$R$5:$R$18)/2</f>
        <v>12.389999999999997</v>
      </c>
      <c r="S23" s="3"/>
      <c r="T23" s="3"/>
      <c r="U23" s="55">
        <f>SUMIF($C$5:$C$18,$C23,$U$5:$U$18)</f>
        <v>22.231999999999999</v>
      </c>
      <c r="V23" s="3"/>
      <c r="W23" s="3"/>
      <c r="X23" s="3"/>
      <c r="Y23" s="55">
        <f>SUMIF($C$5:$C$18,$C23,$Y$5:$Y$18)</f>
        <v>29.113999999999997</v>
      </c>
      <c r="Z23" s="55">
        <f>SUMIF($C$5:$C$18,$C23,$Z$5:$Z$18)/2</f>
        <v>21.799999999999997</v>
      </c>
      <c r="AA23" s="55">
        <f>SUMIF($C$5:$C$18,$C23,$AA$5:$AA$18)/2</f>
        <v>4.5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0</v>
      </c>
      <c r="BO23" s="61">
        <f t="shared" si="19"/>
        <v>2.08</v>
      </c>
      <c r="BP23" s="61">
        <f t="shared" si="19"/>
        <v>0</v>
      </c>
      <c r="BQ23" s="61">
        <f t="shared" si="19"/>
        <v>1</v>
      </c>
      <c r="BR23" s="61">
        <f t="shared" ref="BR23:BU25" si="21">SUMIF($C$5:$C$18,$BM23,BR$5:BR$18)*BR$19</f>
        <v>0</v>
      </c>
      <c r="BS23" s="61">
        <f t="shared" si="21"/>
        <v>15.084</v>
      </c>
      <c r="BT23" s="61">
        <f t="shared" si="21"/>
        <v>0</v>
      </c>
      <c r="BU23" s="61">
        <f t="shared" si="21"/>
        <v>4.9639999999999995</v>
      </c>
      <c r="BV23" s="61">
        <f t="shared" ref="BV23:BV25" si="22">SUMIF($C$5:$C$18,$BM23,BV$5:BV$18)</f>
        <v>9.129999999999999</v>
      </c>
      <c r="BW23" s="61">
        <f t="shared" ref="BW23:BW25" si="23">BV23*$BV$30</f>
        <v>19.447729270436568</v>
      </c>
      <c r="BX23" s="61">
        <f>SUMIF($C$5:$C$18,$BM23,BX$5:BX$18)</f>
        <v>8.629999999999999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24.689999999999998</v>
      </c>
      <c r="I24" s="2">
        <f>H24/$H$28</f>
        <v>0.18762823922790484</v>
      </c>
      <c r="J24" s="1"/>
      <c r="K24" s="86"/>
      <c r="L24" s="86"/>
      <c r="M24" s="87"/>
      <c r="N24" s="78"/>
      <c r="O24" s="3"/>
      <c r="P24" s="33"/>
      <c r="Q24" s="3"/>
      <c r="R24" s="56">
        <f>SUMIF($C$5:$C$18,C24,$R$5:$R$18)/2</f>
        <v>10.639999999999999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27.313999999999997</v>
      </c>
      <c r="Z24" s="55">
        <f t="shared" ref="Z24:Z26" si="24">SUMIF($C$5:$C$18,$C24,$Z$5:$Z$18)/2</f>
        <v>7.7799999999999994</v>
      </c>
      <c r="AA24" s="55">
        <f t="shared" ref="AA24:AA26" si="25">SUMIF($C$5:$C$18,$C24,$AA$5:$AA$18)/2</f>
        <v>8.0299999999999994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0</v>
      </c>
      <c r="BO24" s="61">
        <f t="shared" si="19"/>
        <v>4.88</v>
      </c>
      <c r="BP24" s="61">
        <f t="shared" si="19"/>
        <v>0</v>
      </c>
      <c r="BQ24" s="61">
        <f t="shared" si="19"/>
        <v>2.88</v>
      </c>
      <c r="BR24" s="61">
        <f t="shared" si="21"/>
        <v>0</v>
      </c>
      <c r="BS24" s="61">
        <f t="shared" si="21"/>
        <v>18.317999999999998</v>
      </c>
      <c r="BT24" s="61">
        <f t="shared" si="21"/>
        <v>0</v>
      </c>
      <c r="BU24" s="61">
        <f t="shared" si="21"/>
        <v>8.6839999999999975</v>
      </c>
      <c r="BV24" s="61">
        <f t="shared" si="22"/>
        <v>16</v>
      </c>
      <c r="BW24" s="61">
        <f t="shared" si="23"/>
        <v>34.081453266920605</v>
      </c>
      <c r="BX24" s="61">
        <f>SUMIF($C$5:$C$18,$BM24,BX$5:BX$18)</f>
        <v>0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</v>
      </c>
      <c r="I25" s="2">
        <f>H25/$H$28</f>
        <v>0.36476935937381261</v>
      </c>
      <c r="J25" s="1"/>
      <c r="K25" s="86"/>
      <c r="L25" s="86"/>
      <c r="M25" s="87"/>
      <c r="N25" s="78"/>
      <c r="O25" s="3"/>
      <c r="P25" s="33"/>
      <c r="Q25" s="3"/>
      <c r="R25" s="56">
        <f>SUMIF($C$5:$C$18,C25,$R$5:$R$18)/2</f>
        <v>21</v>
      </c>
      <c r="S25" s="3"/>
      <c r="T25" s="3"/>
      <c r="U25" s="56">
        <f>SUMIF($C$5:$C$18,$C25,$U$5:$U$18)</f>
        <v>28.28</v>
      </c>
      <c r="V25" s="3"/>
      <c r="W25" s="3"/>
      <c r="X25" s="3"/>
      <c r="Y25" s="56">
        <f>SUMIF($C$5:$C$18,$C25,$Y$5:$Y$18)</f>
        <v>19.816999999999997</v>
      </c>
      <c r="Z25" s="55">
        <f t="shared" si="24"/>
        <v>16</v>
      </c>
      <c r="AA25" s="55">
        <f t="shared" si="25"/>
        <v>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0</v>
      </c>
      <c r="BO25" s="61">
        <f t="shared" si="19"/>
        <v>0</v>
      </c>
      <c r="BP25" s="61">
        <f t="shared" si="19"/>
        <v>0</v>
      </c>
      <c r="BQ25" s="61">
        <f t="shared" si="19"/>
        <v>0.96</v>
      </c>
      <c r="BR25" s="61">
        <f t="shared" si="21"/>
        <v>0</v>
      </c>
      <c r="BS25" s="61">
        <f t="shared" si="21"/>
        <v>0</v>
      </c>
      <c r="BT25" s="61">
        <f t="shared" si="21"/>
        <v>0</v>
      </c>
      <c r="BU25" s="61">
        <f t="shared" si="21"/>
        <v>5.0039999999999996</v>
      </c>
      <c r="BV25" s="61">
        <f t="shared" si="22"/>
        <v>0</v>
      </c>
      <c r="BW25" s="61">
        <f t="shared" si="23"/>
        <v>0</v>
      </c>
      <c r="BX25" s="61">
        <f>SUMIF($C$5:$C$18,$BM25,BX$5:BX$18)</f>
        <v>0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6.3</v>
      </c>
      <c r="I26" s="2">
        <f>H26/$H$28</f>
        <v>4.7875978417812902E-2</v>
      </c>
      <c r="J26" s="1"/>
      <c r="K26" s="86"/>
      <c r="L26" s="86"/>
      <c r="M26" s="87"/>
      <c r="N26" s="78"/>
      <c r="O26" s="3"/>
      <c r="P26" s="33"/>
      <c r="Q26" s="3"/>
      <c r="R26" s="56">
        <f>SUMIF($C$5:$C$18,C26,$R$5:$R$18)/2</f>
        <v>4.6199999999999992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5.1589999999999998</v>
      </c>
      <c r="Z26" s="55">
        <f t="shared" si="24"/>
        <v>3.15</v>
      </c>
      <c r="AA26" s="55">
        <f t="shared" si="25"/>
        <v>3.15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/>
      <c r="BW26" s="63"/>
      <c r="BX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X27" si="26">SUM(BN22:BN26)</f>
        <v>2.2799999999999998</v>
      </c>
      <c r="BO27" s="66">
        <f t="shared" si="26"/>
        <v>9.84</v>
      </c>
      <c r="BP27" s="66">
        <f t="shared" si="26"/>
        <v>0</v>
      </c>
      <c r="BQ27" s="66">
        <f t="shared" si="26"/>
        <v>12.75</v>
      </c>
      <c r="BR27" s="66">
        <f t="shared" si="26"/>
        <v>0</v>
      </c>
      <c r="BS27" s="66">
        <f t="shared" si="26"/>
        <v>42.449999999999996</v>
      </c>
      <c r="BT27" s="66">
        <f t="shared" si="26"/>
        <v>0</v>
      </c>
      <c r="BU27" s="66">
        <f t="shared" si="26"/>
        <v>40.337999999999987</v>
      </c>
      <c r="BV27" s="66">
        <f t="shared" si="26"/>
        <v>34.129999999999995</v>
      </c>
      <c r="BW27" s="66">
        <f t="shared" si="26"/>
        <v>72.700000000000017</v>
      </c>
      <c r="BX27" s="66">
        <f t="shared" si="26"/>
        <v>52.22999999999999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131.59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48.649999999999991</v>
      </c>
      <c r="S28" s="3"/>
      <c r="T28" s="3"/>
      <c r="U28" s="56">
        <f>SUM(U23:U26)</f>
        <v>55.832000000000001</v>
      </c>
      <c r="V28" s="3"/>
      <c r="W28" s="3"/>
      <c r="X28" s="3"/>
      <c r="Y28" s="72">
        <f>SUM(Y23:Y26)</f>
        <v>81.403999999999996</v>
      </c>
      <c r="Z28" s="73">
        <f>SUM(Z23:Z26)</f>
        <v>48.73</v>
      </c>
      <c r="AA28" s="73">
        <f>SUM(AA23:AA26)</f>
        <v>39.68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>
        <v>72.7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f>BV29/BV27</f>
        <v>2.1300908291825378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63.73599999999999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27">Y24+U24+R24</f>
        <v>37.953999999999994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27"/>
        <v>69.096999999999994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27"/>
        <v>15.098999999999998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0.52578582000140961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26" priority="2" operator="lessThan">
      <formula>0.03</formula>
    </cfRule>
  </conditionalFormatting>
  <conditionalFormatting sqref="I23:I28">
    <cfRule type="cellIs" dxfId="25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tabSelected="1" zoomScale="70" zoomScaleNormal="70" workbookViewId="0">
      <pane xSplit="2" ySplit="4" topLeftCell="BN17" activePane="bottomRight" state="frozen"/>
      <selection activeCell="X55" sqref="X55"/>
      <selection pane="topRight" activeCell="X55" sqref="X55"/>
      <selection pane="bottomLeft" activeCell="X55" sqref="X55"/>
      <selection pane="bottomRight" activeCell="BW30" sqref="BW30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5" width="12.85546875" customWidth="1"/>
    <col min="76" max="76" width="18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125</v>
      </c>
      <c r="D2" s="19"/>
      <c r="E2" s="19">
        <v>2014</v>
      </c>
      <c r="G2" s="19">
        <v>3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9"/>
      <c r="AI3" s="79"/>
      <c r="AJ3" s="20"/>
      <c r="AK3" s="88" t="s">
        <v>66</v>
      </c>
      <c r="AL3" s="89"/>
      <c r="AM3" s="89"/>
      <c r="AN3" s="89"/>
      <c r="AO3" s="79"/>
      <c r="AP3" s="79"/>
      <c r="AQ3" s="20"/>
      <c r="AR3" s="90" t="s">
        <v>67</v>
      </c>
      <c r="AS3" s="90"/>
      <c r="AT3" s="90"/>
      <c r="AU3" s="90"/>
      <c r="AV3" s="80"/>
      <c r="AW3" s="80"/>
      <c r="AX3" s="80"/>
      <c r="AY3" s="90" t="s">
        <v>68</v>
      </c>
      <c r="AZ3" s="90"/>
      <c r="BA3" s="90"/>
      <c r="BB3" s="90"/>
      <c r="BC3" s="80"/>
      <c r="BD3" s="80"/>
      <c r="BE3" s="80"/>
      <c r="BF3" s="85" t="s">
        <v>69</v>
      </c>
      <c r="BG3" s="85"/>
      <c r="BH3" s="85"/>
      <c r="BI3" s="85"/>
      <c r="BJ3" s="80"/>
      <c r="BK3" s="80"/>
      <c r="BL3" s="80"/>
      <c r="BM3" s="80"/>
      <c r="BN3" s="80"/>
      <c r="BO3" s="21" t="s">
        <v>28</v>
      </c>
      <c r="BP3" s="79"/>
      <c r="BQ3" s="79"/>
      <c r="BR3" s="79"/>
      <c r="BS3" s="22" t="s">
        <v>29</v>
      </c>
      <c r="BT3" s="79"/>
      <c r="BU3" s="79"/>
      <c r="BV3" s="22"/>
      <c r="BW3" s="22"/>
      <c r="BX3" s="22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2" t="s">
        <v>140</v>
      </c>
      <c r="BX4" s="91" t="s">
        <v>31</v>
      </c>
    </row>
    <row r="5" spans="1:77" x14ac:dyDescent="0.25">
      <c r="A5" s="40">
        <v>1</v>
      </c>
      <c r="B5" s="2" t="s">
        <v>93</v>
      </c>
      <c r="C5" s="2" t="s">
        <v>101</v>
      </c>
      <c r="D5" s="2"/>
      <c r="E5" s="37" t="s">
        <v>112</v>
      </c>
      <c r="F5" s="2"/>
      <c r="G5" s="37" t="s">
        <v>106</v>
      </c>
      <c r="H5" s="40">
        <v>32.4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f t="shared" ref="Q5:Q6" si="1">3.3-1.85</f>
        <v>1.4499999999999997</v>
      </c>
      <c r="R5" s="40">
        <f>Tabelle5121824712512631[[#This Row],[Height]]*Tabelle5121824712512631[[#This Row],[Length]]</f>
        <v>4.0599999999999987</v>
      </c>
      <c r="S5" s="42">
        <f t="shared" ref="S5:S16" si="2">$H$2</f>
        <v>2.8</v>
      </c>
      <c r="T5" s="3">
        <f t="shared" ref="T5" si="3">0.11+0.11+0.9+3.88</f>
        <v>5</v>
      </c>
      <c r="U5" s="40">
        <f>Tabelle5121824712512631[[#This Row],[Height2]]*Tabelle5121824712512631[[#This Row],[Length3]]</f>
        <v>14</v>
      </c>
      <c r="V5" s="42">
        <f t="shared" ref="V5:V16" si="4">$H$2</f>
        <v>2.8</v>
      </c>
      <c r="W5" s="3">
        <v>0</v>
      </c>
      <c r="X5" s="3">
        <f>(1-$BR$19)*Tabelle29152149481828[[#This Row],[North2]]+(1-$BS$19)*Tabelle29152149481828[[#This Row],[East2]]+(1-$BT$19)*Tabelle29152149481828[[#This Row],[South2]]+(1-$BU$19)*Tabelle29152149481828[[#This Row],[West2]]</f>
        <v>25.087999999999997</v>
      </c>
      <c r="Y5" s="40">
        <f>Tabelle5121824712512631[[#This Row],[Height22]]*Tabelle5121824712512631[[#This Row],[Length33]]+Tabelle5121824712512631[[#This Row],[Length332]]/2</f>
        <v>12.543999999999999</v>
      </c>
      <c r="Z5" s="42">
        <f>IF(Tabelle18142038471727[[#This Row],[ceiling]]="c",Tabelle18142038471727[[#This Row],[Total Area size '[m^2']]],0)</f>
        <v>32.4</v>
      </c>
      <c r="AA5" s="42">
        <f>IF(Tabelle18142038471727[[#This Row],[floor]]="f",Tabelle18142038471727[[#This Row],[Total Area size '[m^2']]],0)</f>
        <v>0</v>
      </c>
      <c r="AB5" s="5"/>
      <c r="AC5" s="2">
        <v>0</v>
      </c>
      <c r="AD5" s="2">
        <v>0</v>
      </c>
      <c r="AE5" s="2">
        <v>0</v>
      </c>
      <c r="AF5" s="2">
        <v>1</v>
      </c>
      <c r="AG5" s="42">
        <f t="shared" ref="AG5:AG16" si="5">$H$2</f>
        <v>2.8</v>
      </c>
      <c r="AH5" s="2">
        <v>4.0599999999999996</v>
      </c>
      <c r="AI5" s="44">
        <v>5.28</v>
      </c>
      <c r="AJ5" s="6">
        <v>0</v>
      </c>
      <c r="AK5" s="2">
        <v>0</v>
      </c>
      <c r="AL5" s="2">
        <v>1</v>
      </c>
      <c r="AM5" s="2">
        <v>0</v>
      </c>
      <c r="AN5" s="42">
        <f t="shared" ref="AN5:AN16" si="6">$H$2</f>
        <v>2.8</v>
      </c>
      <c r="AO5" s="2">
        <f t="shared" ref="AO5" si="7">8.78+0.18</f>
        <v>8.9599999999999991</v>
      </c>
      <c r="AP5" s="44">
        <v>0</v>
      </c>
      <c r="AQ5" s="6">
        <v>0</v>
      </c>
      <c r="AR5" s="2">
        <v>1</v>
      </c>
      <c r="AS5" s="2">
        <v>0</v>
      </c>
      <c r="AT5" s="2">
        <v>0</v>
      </c>
      <c r="AU5" s="42">
        <f t="shared" ref="AU5:AU14" si="8">$H$2</f>
        <v>2.8</v>
      </c>
      <c r="AV5" s="2">
        <f t="shared" ref="AV5" si="9">0.15+0.75+2.4+0.96</f>
        <v>4.26</v>
      </c>
      <c r="AW5" s="44">
        <v>2.88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Tabelle3101622510491929[[#This Row],[North]]*$AI5+AL5*$AP5+AS5*$AW5+AZ5*$BD5+BG5*$BK5</f>
        <v>0</v>
      </c>
      <c r="BO5" s="2">
        <f t="shared" ref="BO5:BO16" si="12">AD5*$AI5+AK5*$AP5+AR5*$AW5+AY5*$BD5+BF5*$BK5</f>
        <v>2.88</v>
      </c>
      <c r="BP5" s="2">
        <f t="shared" ref="BP5:BP16" si="13">AC5*$AI5+AJ5*$AP5+AQ5*$AW5+AX5*$BD5+BE5*$BK5</f>
        <v>0</v>
      </c>
      <c r="BQ5" s="2">
        <f t="shared" ref="BQ5:BQ16" si="14">AF5*$AI5+AM5*$AP5+AT5*$AW5+BA5*$BD5+BH5*$BK5</f>
        <v>5.28</v>
      </c>
      <c r="BR5" s="6">
        <f>Tabelle3101622510491929[[#This Row],[North]]*$AG5*$AH5+AL5*$AN5*$AO5+AS5*$AU5*$AV5+AZ5*$BB5*$BC5+BG5*$BI5*$BJ5-BN5</f>
        <v>25.087999999999997</v>
      </c>
      <c r="BS5" s="2">
        <f t="shared" ref="BS5:BS16" si="15">AD5*$AG5*$AH5+AK5*$AN5*$AO5+AR5*$AU5*$AV5+AY5*$BB5*$BC5+BF5*$BI5*$BJ5-BO5</f>
        <v>9.0479999999999983</v>
      </c>
      <c r="BT5" s="2">
        <f t="shared" ref="BT5:BT16" si="16">AC5*$AG5*$AH5+AJ5*$AN5*$AO5+AQ5*$AU5*$AV5+AX5*$BB5*$BC5+BE5*$BI5*$BJ5-BP5</f>
        <v>0</v>
      </c>
      <c r="BU5" s="7">
        <f t="shared" ref="BU5:BU16" si="17">AF5*$AG5*$AH5+AM5*$AN5*$AO5+AT5*$AU5*$AV5+BA5*$BB5*$BC5+BH5*$BI5*$BJ5-BQ5</f>
        <v>6.0879999999999983</v>
      </c>
      <c r="BV5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5" s="2"/>
      <c r="BX5" s="2">
        <f>IF(Tabelle1814203847[[#This Row],[(g)round/(r )oof2]]="G",Tabelle1814203847[[#This Row],[Total Area size '[m^2']]],IF(Tabelle1814203847[[#This Row],[(g)round/(r )oof2]]="B",Tabelle1814203847[[#This Row],[Total Area size '[m^2']]],0))</f>
        <v>32.4</v>
      </c>
    </row>
    <row r="6" spans="1:77" x14ac:dyDescent="0.25">
      <c r="A6" s="40">
        <v>2</v>
      </c>
      <c r="B6" s="2" t="s">
        <v>11</v>
      </c>
      <c r="C6" s="2" t="s">
        <v>101</v>
      </c>
      <c r="D6" s="2"/>
      <c r="E6" s="37" t="s">
        <v>112</v>
      </c>
      <c r="F6" s="2"/>
      <c r="G6" s="37" t="s">
        <v>106</v>
      </c>
      <c r="H6" s="40">
        <v>11.2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f t="shared" si="1"/>
        <v>1.4499999999999997</v>
      </c>
      <c r="R6" s="40">
        <f>Tabelle5121824712512631[[#This Row],[Height]]*Tabelle5121824712512631[[#This Row],[Length]]</f>
        <v>4.0599999999999987</v>
      </c>
      <c r="S6" s="42">
        <f t="shared" si="2"/>
        <v>2.8</v>
      </c>
      <c r="T6" s="3">
        <v>1.9</v>
      </c>
      <c r="U6" s="40">
        <f>Tabelle5121824712512631[[#This Row],[Height2]]*Tabelle5121824712512631[[#This Row],[Length3]]</f>
        <v>5.3199999999999994</v>
      </c>
      <c r="V6" s="42">
        <f t="shared" si="4"/>
        <v>2.8</v>
      </c>
      <c r="W6" s="3">
        <v>0</v>
      </c>
      <c r="X6" s="3">
        <f>(1-$BR$19)*Tabelle29152149481828[[#This Row],[North2]]+(1-$BS$19)*Tabelle29152149481828[[#This Row],[East2]]+(1-$BT$19)*Tabelle29152149481828[[#This Row],[South2]]+(1-$BU$19)*Tabelle29152149481828[[#This Row],[West2]]</f>
        <v>23.101999999999997</v>
      </c>
      <c r="Y6" s="40">
        <f>Tabelle5121824712512631[[#This Row],[Height22]]*Tabelle5121824712512631[[#This Row],[Length33]]+Tabelle5121824712512631[[#This Row],[Length332]]/2</f>
        <v>11.550999999999998</v>
      </c>
      <c r="Z6" s="42">
        <f>IF(Tabelle18142038471727[[#This Row],[ceiling]]="c",Tabelle18142038471727[[#This Row],[Total Area size '[m^2']]],0)</f>
        <v>11.2</v>
      </c>
      <c r="AA6" s="42">
        <f>IF(Tabelle18142038471727[[#This Row],[floor]]="f",Tabelle18142038471727[[#This Row],[Total Area size '[m^2']]],0)</f>
        <v>0</v>
      </c>
      <c r="AB6" s="5"/>
      <c r="AC6" s="2">
        <v>0</v>
      </c>
      <c r="AD6" s="2">
        <v>0</v>
      </c>
      <c r="AE6" s="2">
        <v>0</v>
      </c>
      <c r="AF6" s="2">
        <v>1</v>
      </c>
      <c r="AG6" s="42">
        <f t="shared" si="5"/>
        <v>2.8</v>
      </c>
      <c r="AH6" s="2">
        <v>2.38</v>
      </c>
      <c r="AI6" s="44">
        <v>0.63</v>
      </c>
      <c r="AJ6" s="6">
        <v>0</v>
      </c>
      <c r="AK6" s="3">
        <v>0</v>
      </c>
      <c r="AL6" s="2">
        <v>1</v>
      </c>
      <c r="AM6" s="2">
        <v>0</v>
      </c>
      <c r="AN6" s="42">
        <f t="shared" si="6"/>
        <v>2.8</v>
      </c>
      <c r="AO6" s="2">
        <f>2.6+0.18</f>
        <v>2.7800000000000002</v>
      </c>
      <c r="AP6" s="44">
        <v>2.2799999999999998</v>
      </c>
      <c r="AQ6" s="6">
        <v>1</v>
      </c>
      <c r="AR6" s="2">
        <v>0</v>
      </c>
      <c r="AS6" s="2">
        <v>0</v>
      </c>
      <c r="AT6" s="2">
        <v>0</v>
      </c>
      <c r="AU6" s="42">
        <f t="shared" si="8"/>
        <v>2.8</v>
      </c>
      <c r="AV6" s="2">
        <v>6.2850000000000001</v>
      </c>
      <c r="AW6" s="44">
        <v>0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Tabelle3101622510491929[[#This Row],[North]]*$AI6+AL6*$AP6+AS6*$AW6+AZ6*$BD6+BG6*$BK6</f>
        <v>2.2799999999999998</v>
      </c>
      <c r="BO6" s="2">
        <f t="shared" si="12"/>
        <v>0</v>
      </c>
      <c r="BP6" s="2">
        <f t="shared" si="13"/>
        <v>0</v>
      </c>
      <c r="BQ6" s="2">
        <f t="shared" si="14"/>
        <v>0.63</v>
      </c>
      <c r="BR6" s="6">
        <f>Tabelle3101622510491929[[#This Row],[North]]*$AG6*$AH6+AL6*$AN6*$AO6+AS6*$AU6*$AV6+AZ6*$BB6*$BC6+BG6*$BI6*$BJ6-BN6</f>
        <v>5.5039999999999996</v>
      </c>
      <c r="BS6" s="2">
        <f t="shared" si="15"/>
        <v>0</v>
      </c>
      <c r="BT6" s="2">
        <f t="shared" si="16"/>
        <v>17.597999999999999</v>
      </c>
      <c r="BU6" s="7">
        <f t="shared" si="17"/>
        <v>6.0339999999999998</v>
      </c>
      <c r="BV6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6" s="2"/>
      <c r="BX6" s="2">
        <f>IF(Tabelle1814203847[[#This Row],[(g)round/(r )oof2]]="G",Tabelle1814203847[[#This Row],[Total Area size '[m^2']]],IF(Tabelle1814203847[[#This Row],[(g)round/(r )oof2]]="B",Tabelle1814203847[[#This Row],[Total Area size '[m^2']]],0))</f>
        <v>11.2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/>
      <c r="H7" s="40">
        <v>17.399999999999999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f>3.9+3.3</f>
        <v>7.1999999999999993</v>
      </c>
      <c r="R7" s="40">
        <f>Tabelle5121824712512631[[#This Row],[Height]]*Tabelle5121824712512631[[#This Row],[Length]]</f>
        <v>20.159999999999997</v>
      </c>
      <c r="S7" s="42">
        <f t="shared" si="2"/>
        <v>2.8</v>
      </c>
      <c r="T7" s="3">
        <f>4.45-3.3</f>
        <v>1.1500000000000004</v>
      </c>
      <c r="U7" s="40">
        <f>Tabelle5121824712512631[[#This Row],[Height2]]*Tabelle5121824712512631[[#This Row],[Length3]]</f>
        <v>3.2200000000000006</v>
      </c>
      <c r="V7" s="42">
        <f t="shared" si="4"/>
        <v>2.8</v>
      </c>
      <c r="W7" s="3">
        <v>0</v>
      </c>
      <c r="X7" s="3">
        <f>(1-$BR$19)*Tabelle29152149481828[[#This Row],[North2]]+(1-$BS$19)*Tabelle29152149481828[[#This Row],[East2]]+(1-$BT$19)*Tabelle29152149481828[[#This Row],[South2]]+(1-$BU$19)*Tabelle29152149481828[[#This Row],[West2]]</f>
        <v>13.537999999999998</v>
      </c>
      <c r="Y7" s="40">
        <f>Tabelle5121824712512631[[#This Row],[Height22]]*Tabelle5121824712512631[[#This Row],[Length33]]+Tabelle5121824712512631[[#This Row],[Length332]]/2</f>
        <v>6.7689999999999992</v>
      </c>
      <c r="Z7" s="42">
        <f>IF(Tabelle18142038471727[[#This Row],[ceiling]]="c",Tabelle18142038471727[[#This Row],[Total Area size '[m^2']]],0)</f>
        <v>17.399999999999999</v>
      </c>
      <c r="AA7" s="42">
        <f>IF(Tabelle18142038471727[[#This Row],[floor]]="f",Tabelle18142038471727[[#This Row],[Total Area size '[m^2']]],0)</f>
        <v>17.399999999999999</v>
      </c>
      <c r="AB7" s="5"/>
      <c r="AC7" s="2">
        <v>0</v>
      </c>
      <c r="AD7" s="2">
        <v>0</v>
      </c>
      <c r="AE7" s="2">
        <v>0</v>
      </c>
      <c r="AF7" s="2">
        <v>1</v>
      </c>
      <c r="AG7" s="42">
        <f t="shared" si="5"/>
        <v>2.8</v>
      </c>
      <c r="AH7" s="3">
        <v>4.13</v>
      </c>
      <c r="AI7" s="44">
        <v>2.88</v>
      </c>
      <c r="AJ7" s="6">
        <v>0</v>
      </c>
      <c r="AK7" s="2">
        <v>0</v>
      </c>
      <c r="AL7" s="2">
        <v>1</v>
      </c>
      <c r="AM7" s="2">
        <v>0</v>
      </c>
      <c r="AN7" s="42">
        <f t="shared" si="6"/>
        <v>2.8</v>
      </c>
      <c r="AO7" s="2">
        <f>0.33+4.45+0.055</f>
        <v>4.835</v>
      </c>
      <c r="AP7" s="44">
        <v>0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Tabelle3101622510491929[[#This Row],[North]]*$AI7+AL7*$AP7+AS7*$AW7+AZ7*$BD7+BG7*$BK7</f>
        <v>0</v>
      </c>
      <c r="BO7" s="2">
        <f t="shared" si="12"/>
        <v>0</v>
      </c>
      <c r="BP7" s="2">
        <f t="shared" si="13"/>
        <v>0</v>
      </c>
      <c r="BQ7" s="2">
        <f t="shared" si="14"/>
        <v>2.88</v>
      </c>
      <c r="BR7" s="6">
        <f>Tabelle3101622510491929[[#This Row],[North]]*$AG7*$AH7+AL7*$AN7*$AO7+AS7*$AU7*$AV7+AZ7*$BB7*$BC7+BG7*$BI7*$BJ7-BN7</f>
        <v>13.537999999999998</v>
      </c>
      <c r="BS7" s="2">
        <f t="shared" si="15"/>
        <v>0</v>
      </c>
      <c r="BT7" s="2">
        <f t="shared" si="16"/>
        <v>0</v>
      </c>
      <c r="BU7" s="7">
        <f t="shared" si="17"/>
        <v>8.6839999999999975</v>
      </c>
      <c r="BV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7" s="2"/>
      <c r="BX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/>
      <c r="H8" s="40">
        <v>14.6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3.9</f>
        <v>3.9</v>
      </c>
      <c r="R8" s="40">
        <f>Tabelle5121824712512631[[#This Row],[Height]]*Tabelle5121824712512631[[#This Row],[Length]]</f>
        <v>10.92</v>
      </c>
      <c r="S8" s="42">
        <f t="shared" si="2"/>
        <v>2.8</v>
      </c>
      <c r="T8" s="3">
        <f>3.74+0.11</f>
        <v>3.85</v>
      </c>
      <c r="U8" s="40">
        <f>Tabelle5121824712512631[[#This Row],[Height2]]*Tabelle5121824712512631[[#This Row],[Length3]]</f>
        <v>10.78</v>
      </c>
      <c r="V8" s="42">
        <f t="shared" si="4"/>
        <v>2.8</v>
      </c>
      <c r="W8" s="3">
        <v>0</v>
      </c>
      <c r="X8" s="3">
        <f>(1-$BR$19)*Tabelle29152149481828[[#This Row],[North2]]+(1-$BS$19)*Tabelle29152149481828[[#This Row],[East2]]+(1-$BT$19)*Tabelle29152149481828[[#This Row],[South2]]+(1-$BU$19)*Tabelle29152149481828[[#This Row],[West2]]</f>
        <v>11.045999999999999</v>
      </c>
      <c r="Y8" s="40">
        <f>Tabelle5121824712512631[[#This Row],[Height22]]*Tabelle5121824712512631[[#This Row],[Length33]]+Tabelle5121824712512631[[#This Row],[Length332]]/2</f>
        <v>5.5229999999999997</v>
      </c>
      <c r="Z8" s="42">
        <f>IF(Tabelle18142038471727[[#This Row],[ceiling]]="c",Tabelle18142038471727[[#This Row],[Total Area size '[m^2']]],0)</f>
        <v>14.6</v>
      </c>
      <c r="AA8" s="42">
        <f>IF(Tabelle18142038471727[[#This Row],[floor]]="f",Tabelle18142038471727[[#This Row],[Total Area size '[m^2']]],0)</f>
        <v>14.6</v>
      </c>
      <c r="AB8" s="5"/>
      <c r="AC8" s="2">
        <v>0</v>
      </c>
      <c r="AD8" s="2">
        <v>0</v>
      </c>
      <c r="AE8" s="2">
        <v>1</v>
      </c>
      <c r="AF8" s="2">
        <v>0</v>
      </c>
      <c r="AG8" s="42">
        <f t="shared" si="5"/>
        <v>2.8</v>
      </c>
      <c r="AH8" s="2">
        <f>0.055+3.74+0.15</f>
        <v>3.9450000000000003</v>
      </c>
      <c r="AI8" s="44">
        <v>0</v>
      </c>
      <c r="AJ8" s="6">
        <v>0</v>
      </c>
      <c r="AK8" s="2">
        <v>1</v>
      </c>
      <c r="AL8" s="2">
        <v>0</v>
      </c>
      <c r="AM8" s="2">
        <v>0</v>
      </c>
      <c r="AN8" s="42">
        <f t="shared" si="6"/>
        <v>2.8</v>
      </c>
      <c r="AO8" s="2">
        <f>0.15+0.75+2.4+0.75+0.105</f>
        <v>4.1550000000000002</v>
      </c>
      <c r="AP8" s="44">
        <v>2.88</v>
      </c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Tabelle3101622510491929[[#This Row],[North]]*$AI8+AL8*$AP8+AS8*$AW8+AZ8*$BD8+BG8*$BK8</f>
        <v>0</v>
      </c>
      <c r="BO8" s="2">
        <f t="shared" si="12"/>
        <v>2.88</v>
      </c>
      <c r="BP8" s="2">
        <f t="shared" si="13"/>
        <v>0</v>
      </c>
      <c r="BQ8" s="2">
        <f t="shared" si="14"/>
        <v>0</v>
      </c>
      <c r="BR8" s="6">
        <f>Tabelle3101622510491929[[#This Row],[North]]*$AG8*$AH8+AL8*$AN8*$AO8+AS8*$AU8*$AV8+AZ8*$BB8*$BC8+BG8*$BI8*$BJ8-BN8</f>
        <v>11.045999999999999</v>
      </c>
      <c r="BS8" s="2">
        <f t="shared" si="15"/>
        <v>8.7540000000000013</v>
      </c>
      <c r="BT8" s="2">
        <f t="shared" si="16"/>
        <v>0</v>
      </c>
      <c r="BU8" s="7">
        <f t="shared" si="17"/>
        <v>0</v>
      </c>
      <c r="BV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8" s="2"/>
      <c r="BX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/>
      <c r="F9" s="2"/>
      <c r="G9" s="37" t="s">
        <v>107</v>
      </c>
      <c r="H9" s="40">
        <v>16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3.9</v>
      </c>
      <c r="R9" s="40">
        <f>Tabelle5121824712512631[[#This Row],[Height]]*Tabelle5121824712512631[[#This Row],[Length]]</f>
        <v>10.92</v>
      </c>
      <c r="S9" s="42">
        <f t="shared" si="2"/>
        <v>2.8</v>
      </c>
      <c r="T9" s="3">
        <f>4.99+0.11</f>
        <v>5.1000000000000005</v>
      </c>
      <c r="U9" s="40">
        <f>Tabelle5121824712512631[[#This Row],[Height2]]*Tabelle5121824712512631[[#This Row],[Length3]]</f>
        <v>14.280000000000001</v>
      </c>
      <c r="V9" s="42">
        <f t="shared" si="4"/>
        <v>2.8</v>
      </c>
      <c r="W9" s="3">
        <v>0</v>
      </c>
      <c r="X9" s="3">
        <f>(1-$BR$19)*Tabelle29152149481828[[#This Row],[North2]]+(1-$BS$19)*Tabelle29152149481828[[#This Row],[East2]]+(1-$BT$19)*Tabelle29152149481828[[#This Row],[South2]]+(1-$BU$19)*Tabelle29152149481828[[#This Row],[West2]]</f>
        <v>15.049999999999999</v>
      </c>
      <c r="Y9" s="40">
        <f>Tabelle5121824712512631[[#This Row],[Height22]]*Tabelle5121824712512631[[#This Row],[Length33]]+Tabelle5121824712512631[[#This Row],[Length332]]/2</f>
        <v>7.5249999999999995</v>
      </c>
      <c r="Z9" s="42">
        <f>IF(Tabelle18142038471727[[#This Row],[ceiling]]="c",Tabelle18142038471727[[#This Row],[Total Area size '[m^2']]],0)</f>
        <v>0</v>
      </c>
      <c r="AA9" s="42">
        <f>IF(Tabelle18142038471727[[#This Row],[floor]]="f",Tabelle18142038471727[[#This Row],[Total Area size '[m^2']]],0)</f>
        <v>16</v>
      </c>
      <c r="AB9" s="5"/>
      <c r="AC9" s="2">
        <v>0</v>
      </c>
      <c r="AD9" s="2">
        <v>0</v>
      </c>
      <c r="AE9" s="2">
        <v>1</v>
      </c>
      <c r="AF9" s="2">
        <v>0</v>
      </c>
      <c r="AG9" s="42">
        <f t="shared" si="5"/>
        <v>2.8</v>
      </c>
      <c r="AH9" s="2">
        <f>0.055+4.99+0.33</f>
        <v>5.375</v>
      </c>
      <c r="AI9" s="44">
        <v>0</v>
      </c>
      <c r="AJ9" s="6">
        <v>0</v>
      </c>
      <c r="AK9" s="2">
        <v>1</v>
      </c>
      <c r="AL9" s="2">
        <v>0</v>
      </c>
      <c r="AM9" s="2">
        <v>0</v>
      </c>
      <c r="AN9" s="42">
        <f t="shared" si="6"/>
        <v>2.8</v>
      </c>
      <c r="AO9" s="2">
        <f>0.15+0.59+2.4+0.91+0.08</f>
        <v>4.13</v>
      </c>
      <c r="AP9" s="44">
        <v>2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Tabelle3101622510491929[[#This Row],[North]]*$AI9+AL9*$AP9+AS9*$AW9+AZ9*$BD9+BG9*$BK9</f>
        <v>0</v>
      </c>
      <c r="BO9" s="2">
        <f t="shared" si="12"/>
        <v>2</v>
      </c>
      <c r="BP9" s="2">
        <f t="shared" si="13"/>
        <v>0</v>
      </c>
      <c r="BQ9" s="2">
        <f t="shared" si="14"/>
        <v>0</v>
      </c>
      <c r="BR9" s="6">
        <f>Tabelle3101622510491929[[#This Row],[North]]*$AG9*$AH9+AL9*$AN9*$AO9+AS9*$AU9*$AV9+AZ9*$BB9*$BC9+BG9*$BI9*$BJ9-BN9</f>
        <v>15.049999999999999</v>
      </c>
      <c r="BS9" s="2">
        <f t="shared" si="15"/>
        <v>9.5639999999999983</v>
      </c>
      <c r="BT9" s="2">
        <f t="shared" si="16"/>
        <v>0</v>
      </c>
      <c r="BU9" s="7">
        <f t="shared" si="17"/>
        <v>0</v>
      </c>
      <c r="BV9" s="2">
        <f>IF(Tabelle1814203847[[#This Row],[(g)round/(r )oof2]]="R",Tabelle1814203847[[#This Row],[Total Area size '[m^2']]],IF(Tabelle1814203847[[#This Row],[(g)round/(r )oof2]]="B",Tabelle1814203847[[#This Row],[Total Area size '[m^2']]],0))</f>
        <v>16</v>
      </c>
      <c r="BW9" s="2"/>
      <c r="BX9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/>
      <c r="H10" s="40">
        <v>6.3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v>3.3</v>
      </c>
      <c r="R10" s="40">
        <f>Tabelle5121824712512631[[#This Row],[Height]]*Tabelle5121824712512631[[#This Row],[Length]]</f>
        <v>9.2399999999999984</v>
      </c>
      <c r="S10" s="42">
        <f t="shared" si="2"/>
        <v>2.8</v>
      </c>
      <c r="T10" s="3">
        <v>1.9</v>
      </c>
      <c r="U10" s="40">
        <f>Tabelle5121824712512631[[#This Row],[Height2]]*Tabelle5121824712512631[[#This Row],[Length3]]</f>
        <v>5.3199999999999994</v>
      </c>
      <c r="V10" s="42">
        <f t="shared" si="4"/>
        <v>2.8</v>
      </c>
      <c r="W10" s="3">
        <v>0</v>
      </c>
      <c r="X10" s="3">
        <f>(1-$BR$19)*Tabelle29152149481828[[#This Row],[North2]]+(1-$BS$19)*Tabelle29152149481828[[#This Row],[East2]]+(1-$BT$19)*Tabelle29152149481828[[#This Row],[South2]]+(1-$BU$19)*Tabelle29152149481828[[#This Row],[West2]]</f>
        <v>10.318</v>
      </c>
      <c r="Y10" s="40">
        <f>Tabelle5121824712512631[[#This Row],[Height22]]*Tabelle5121824712512631[[#This Row],[Length33]]+Tabelle5121824712512631[[#This Row],[Length332]]/2</f>
        <v>5.1589999999999998</v>
      </c>
      <c r="Z10" s="42">
        <f>IF(Tabelle18142038471727[[#This Row],[ceiling]]="c",Tabelle18142038471727[[#This Row],[Total Area size '[m^2']]],0)</f>
        <v>6.3</v>
      </c>
      <c r="AA10" s="42">
        <f>IF(Tabelle18142038471727[[#This Row],[floor]]="f",Tabelle18142038471727[[#This Row],[Total Area size '[m^2']]],0)</f>
        <v>6.3</v>
      </c>
      <c r="AB10" s="5"/>
      <c r="AC10" s="2">
        <v>0</v>
      </c>
      <c r="AD10" s="2">
        <v>0</v>
      </c>
      <c r="AE10" s="2">
        <v>0</v>
      </c>
      <c r="AF10" s="2">
        <v>1</v>
      </c>
      <c r="AG10" s="42">
        <f t="shared" si="5"/>
        <v>2.8</v>
      </c>
      <c r="AH10" s="2">
        <v>2.13</v>
      </c>
      <c r="AI10" s="44">
        <v>0.96</v>
      </c>
      <c r="AJ10" s="6">
        <v>1</v>
      </c>
      <c r="AK10" s="2">
        <v>0</v>
      </c>
      <c r="AL10" s="3">
        <v>0</v>
      </c>
      <c r="AM10" s="2">
        <v>0</v>
      </c>
      <c r="AN10" s="42">
        <f t="shared" si="6"/>
        <v>2.8</v>
      </c>
      <c r="AO10" s="3">
        <v>3.6850000000000001</v>
      </c>
      <c r="AP10" s="44">
        <v>0</v>
      </c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Tabelle3101622510491929[[#This Row],[North]]*$AI10+AL10*$AP10+AS10*$AW10+AZ10*$BD10+BG10*$BK10</f>
        <v>0</v>
      </c>
      <c r="BO10" s="2">
        <f t="shared" si="12"/>
        <v>0</v>
      </c>
      <c r="BP10" s="2">
        <f t="shared" si="13"/>
        <v>0</v>
      </c>
      <c r="BQ10" s="2">
        <f t="shared" si="14"/>
        <v>0.96</v>
      </c>
      <c r="BR10" s="6">
        <f>Tabelle3101622510491929[[#This Row],[North]]*$AG10*$AH10+AL10*$AN10*$AO10+AS10*$AU10*$AV10+AZ10*$BB10*$BC10+BG10*$BI10*$BJ10-BN10</f>
        <v>0</v>
      </c>
      <c r="BS10" s="2">
        <f t="shared" si="15"/>
        <v>0</v>
      </c>
      <c r="BT10" s="2">
        <f t="shared" si="16"/>
        <v>10.318</v>
      </c>
      <c r="BU10" s="7">
        <f t="shared" si="17"/>
        <v>5.0039999999999996</v>
      </c>
      <c r="BV10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0" s="2"/>
      <c r="BX10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1" spans="1:77" x14ac:dyDescent="0.25">
      <c r="A11" s="40">
        <v>7</v>
      </c>
      <c r="B11" s="2" t="s">
        <v>99</v>
      </c>
      <c r="C11" s="2" t="s">
        <v>10</v>
      </c>
      <c r="D11" s="2"/>
      <c r="E11" s="37" t="s">
        <v>112</v>
      </c>
      <c r="F11" s="2"/>
      <c r="G11" s="37" t="s">
        <v>106</v>
      </c>
      <c r="H11" s="40">
        <v>1.7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1.9</f>
        <v>1.9</v>
      </c>
      <c r="R11" s="40">
        <f>Tabelle5121824712512631[[#This Row],[Height]]*Tabelle5121824712512631[[#This Row],[Length]]</f>
        <v>5.3199999999999994</v>
      </c>
      <c r="S11" s="42">
        <f t="shared" si="2"/>
        <v>2.8</v>
      </c>
      <c r="T11" s="3">
        <v>0</v>
      </c>
      <c r="U11" s="40">
        <f>Tabelle5121824712512631[[#This Row],[Height2]]*Tabelle5121824712512631[[#This Row],[Length3]]</f>
        <v>0</v>
      </c>
      <c r="V11" s="42">
        <f t="shared" si="4"/>
        <v>2.8</v>
      </c>
      <c r="W11" s="3">
        <v>0</v>
      </c>
      <c r="X11" s="3">
        <f>(1-$BR$19)*Tabelle29152149481828[[#This Row],[North2]]+(1-$BS$19)*Tabelle29152149481828[[#This Row],[East2]]+(1-$BT$19)*Tabelle29152149481828[[#This Row],[South2]]+(1-$BU$19)*Tabelle29152149481828[[#This Row],[West2]]</f>
        <v>2.8279999999999998</v>
      </c>
      <c r="Y11" s="40">
        <f>Tabelle5121824712512631[[#This Row],[Height22]]*Tabelle5121824712512631[[#This Row],[Length33]]+Tabelle5121824712512631[[#This Row],[Length332]]/2</f>
        <v>1.4139999999999999</v>
      </c>
      <c r="Z11" s="42">
        <f>IF(Tabelle18142038471727[[#This Row],[ceiling]]="c",Tabelle18142038471727[[#This Row],[Total Area size '[m^2']]],0)</f>
        <v>1.7</v>
      </c>
      <c r="AA11" s="42">
        <f>IF(Tabelle18142038471727[[#This Row],[floor]]="f",Tabelle18142038471727[[#This Row],[Total Area size '[m^2']]],0)</f>
        <v>0</v>
      </c>
      <c r="AB11" s="5"/>
      <c r="AC11" s="2">
        <v>1</v>
      </c>
      <c r="AD11" s="2">
        <v>0</v>
      </c>
      <c r="AE11" s="2">
        <v>0</v>
      </c>
      <c r="AF11" s="2">
        <v>0</v>
      </c>
      <c r="AG11" s="42">
        <f t="shared" si="5"/>
        <v>2.8</v>
      </c>
      <c r="AH11" s="2">
        <v>1.01</v>
      </c>
      <c r="AI11" s="44">
        <v>0</v>
      </c>
      <c r="AJ11" s="6"/>
      <c r="AK11" s="2"/>
      <c r="AL11" s="2"/>
      <c r="AM11" s="2"/>
      <c r="AN11" s="42">
        <f t="shared" si="6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Tabelle3101622510491929[[#This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Tabelle3101622510491929[[#This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2.8279999999999998</v>
      </c>
      <c r="BU11" s="7">
        <f t="shared" si="17"/>
        <v>0</v>
      </c>
      <c r="BV11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1" s="2"/>
      <c r="BX11" s="2">
        <f>IF(Tabelle1814203847[[#This Row],[(g)round/(r )oof2]]="G",Tabelle1814203847[[#This Row],[Total Area size '[m^2']]],IF(Tabelle1814203847[[#This Row],[(g)round/(r )oof2]]="B",Tabelle1814203847[[#This Row],[Total Area size '[m^2']]],0))</f>
        <v>1.7</v>
      </c>
    </row>
    <row r="12" spans="1:77" x14ac:dyDescent="0.25">
      <c r="A12" s="40">
        <v>8</v>
      </c>
      <c r="B12" s="2" t="s">
        <v>108</v>
      </c>
      <c r="C12" s="2" t="s">
        <v>10</v>
      </c>
      <c r="D12" s="2"/>
      <c r="E12" s="37" t="s">
        <v>112</v>
      </c>
      <c r="F12" s="2"/>
      <c r="G12" s="37" t="s">
        <v>106</v>
      </c>
      <c r="H12" s="40">
        <v>6.93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v>1.9</v>
      </c>
      <c r="R12" s="40">
        <f>Tabelle5121824712512631[[#This Row],[Height]]*Tabelle5121824712512631[[#This Row],[Length]]</f>
        <v>5.3199999999999994</v>
      </c>
      <c r="S12" s="42">
        <f t="shared" si="2"/>
        <v>2.8</v>
      </c>
      <c r="T12" s="3">
        <v>0</v>
      </c>
      <c r="U12" s="40">
        <f>Tabelle5121824712512631[[#This Row],[Height2]]*Tabelle5121824712512631[[#This Row],[Length3]]</f>
        <v>0</v>
      </c>
      <c r="V12" s="42">
        <f t="shared" si="4"/>
        <v>2.8</v>
      </c>
      <c r="W12" s="3">
        <v>0</v>
      </c>
      <c r="X12" s="3">
        <f>(1-$BR$19)*Tabelle29152149481828[[#This Row],[North2]]+(1-$BS$19)*Tabelle29152149481828[[#This Row],[East2]]+(1-$BT$19)*Tabelle29152149481828[[#This Row],[South2]]+(1-$BU$19)*Tabelle29152149481828[[#This Row],[West2]]</f>
        <v>11.941999999999998</v>
      </c>
      <c r="Y12" s="40">
        <f>Tabelle5121824712512631[[#This Row],[Height22]]*Tabelle5121824712512631[[#This Row],[Length33]]+Tabelle5121824712512631[[#This Row],[Length332]]/2</f>
        <v>5.9709999999999992</v>
      </c>
      <c r="Z12" s="42">
        <f>IF(Tabelle18142038471727[[#This Row],[ceiling]]="c",Tabelle18142038471727[[#This Row],[Total Area size '[m^2']]],0)</f>
        <v>6.93</v>
      </c>
      <c r="AA12" s="42">
        <f>IF(Tabelle18142038471727[[#This Row],[floor]]="f",Tabelle18142038471727[[#This Row],[Total Area size '[m^2']]],0)</f>
        <v>0</v>
      </c>
      <c r="AB12" s="5"/>
      <c r="AC12" s="2">
        <v>0</v>
      </c>
      <c r="AD12" s="2">
        <v>1</v>
      </c>
      <c r="AE12" s="2">
        <v>0</v>
      </c>
      <c r="AF12" s="2">
        <v>0</v>
      </c>
      <c r="AG12" s="42">
        <f t="shared" si="5"/>
        <v>2.8</v>
      </c>
      <c r="AH12" s="2">
        <f>0.15+0.95+0.9</f>
        <v>2</v>
      </c>
      <c r="AI12" s="44">
        <v>0</v>
      </c>
      <c r="AJ12" s="6">
        <v>1</v>
      </c>
      <c r="AK12" s="2">
        <v>0</v>
      </c>
      <c r="AL12" s="2">
        <v>0</v>
      </c>
      <c r="AM12" s="2">
        <v>0</v>
      </c>
      <c r="AN12" s="42">
        <f t="shared" si="6"/>
        <v>2.8</v>
      </c>
      <c r="AO12" s="2">
        <f>4.265</f>
        <v>4.2649999999999997</v>
      </c>
      <c r="AP12" s="44">
        <v>0</v>
      </c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Tabelle3101622510491929[[#This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Tabelle3101622510491929[[#This Row],[North]]*$AG12*$AH12+AL12*$AN12*$AO12+AS12*$AU12*$AV12+AZ12*$BB12*$BC12+BG12*$BI12*$BJ12-BN12</f>
        <v>0</v>
      </c>
      <c r="BS12" s="2">
        <f t="shared" si="15"/>
        <v>5.6</v>
      </c>
      <c r="BT12" s="2">
        <f t="shared" si="16"/>
        <v>11.941999999999998</v>
      </c>
      <c r="BU12" s="7">
        <f t="shared" si="17"/>
        <v>0</v>
      </c>
      <c r="BV12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2" s="2"/>
      <c r="BX12" s="2">
        <f>IF(Tabelle1814203847[[#This Row],[(g)round/(r )oof2]]="G",Tabelle1814203847[[#This Row],[Total Area size '[m^2']]],IF(Tabelle1814203847[[#This Row],[(g)round/(r )oof2]]="B",Tabelle1814203847[[#This Row],[Total Area size '[m^2']]],0))</f>
        <v>6.93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/>
      <c r="F13" s="2"/>
      <c r="G13" s="37" t="s">
        <v>107</v>
      </c>
      <c r="H13" s="40">
        <v>2.2000000000000002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v>1.9</v>
      </c>
      <c r="R13" s="40">
        <f>Tabelle5121824712512631[[#This Row],[Height]]*Tabelle5121824712512631[[#This Row],[Length]]</f>
        <v>5.3199999999999994</v>
      </c>
      <c r="S13" s="42">
        <f t="shared" si="2"/>
        <v>2.8</v>
      </c>
      <c r="T13" s="33">
        <v>0</v>
      </c>
      <c r="U13" s="40">
        <f>Tabelle5121824712512631[[#This Row],[Height2]]*Tabelle5121824712512631[[#This Row],[Length3]]</f>
        <v>0</v>
      </c>
      <c r="V13" s="42">
        <f t="shared" si="4"/>
        <v>2.8</v>
      </c>
      <c r="W13" s="3">
        <v>0</v>
      </c>
      <c r="X13" s="3">
        <f>(1-$BR$19)*Tabelle29152149481828[[#This Row],[North2]]+(1-$BS$19)*Tabelle29152149481828[[#This Row],[East2]]+(1-$BT$19)*Tabelle29152149481828[[#This Row],[South2]]+(1-$BU$19)*Tabelle29152149481828[[#This Row],[West2]]</f>
        <v>6.8179999999999996</v>
      </c>
      <c r="Y13" s="40">
        <f>Tabelle5121824712512631[[#This Row],[Height22]]*Tabelle5121824712512631[[#This Row],[Length33]]+Tabelle5121824712512631[[#This Row],[Length332]]/2</f>
        <v>3.4089999999999998</v>
      </c>
      <c r="Z13" s="42">
        <f>IF(Tabelle18142038471727[[#This Row],[ceiling]]="c",Tabelle18142038471727[[#This Row],[Total Area size '[m^2']]],0)</f>
        <v>0</v>
      </c>
      <c r="AA13" s="42">
        <f>IF(Tabelle18142038471727[[#This Row],[floor]]="f",Tabelle18142038471727[[#This Row],[Total Area size '[m^2']]],0)</f>
        <v>2.2000000000000002</v>
      </c>
      <c r="AB13" s="5"/>
      <c r="AC13" s="2">
        <v>0</v>
      </c>
      <c r="AD13" s="2">
        <v>0</v>
      </c>
      <c r="AE13" s="2">
        <v>0</v>
      </c>
      <c r="AF13" s="2">
        <v>1</v>
      </c>
      <c r="AG13" s="42">
        <f t="shared" si="5"/>
        <v>2.8</v>
      </c>
      <c r="AH13" s="2">
        <f>0.15+1.9+0.08</f>
        <v>2.13</v>
      </c>
      <c r="AI13" s="44">
        <v>1</v>
      </c>
      <c r="AJ13" s="6">
        <v>1</v>
      </c>
      <c r="AK13" s="2">
        <v>0</v>
      </c>
      <c r="AL13" s="2">
        <v>0</v>
      </c>
      <c r="AM13" s="2">
        <v>0</v>
      </c>
      <c r="AN13" s="42">
        <f t="shared" si="6"/>
        <v>2.8</v>
      </c>
      <c r="AO13" s="2">
        <f>0.33+2.05+0.055</f>
        <v>2.4350000000000001</v>
      </c>
      <c r="AP13" s="44">
        <v>0</v>
      </c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Tabelle3101622510491929[[#This Row],[North]]*$AI13+AL13*$AP13+AS13*$AW13+AZ13*$BD13+BG13*$BK13</f>
        <v>0</v>
      </c>
      <c r="BO13" s="2">
        <f t="shared" si="12"/>
        <v>0</v>
      </c>
      <c r="BP13" s="2">
        <f t="shared" si="13"/>
        <v>0</v>
      </c>
      <c r="BQ13" s="2">
        <f t="shared" si="14"/>
        <v>1</v>
      </c>
      <c r="BR13" s="6">
        <f>Tabelle3101622510491929[[#This Row],[North]]*$AG13*$AH13+AL13*$AN13*$AO13+AS13*$AU13*$AV13+AZ13*$BB13*$BC13+BG13*$BI13*$BJ13-BN13</f>
        <v>0</v>
      </c>
      <c r="BS13" s="2">
        <f t="shared" si="15"/>
        <v>0</v>
      </c>
      <c r="BT13" s="2">
        <f t="shared" si="16"/>
        <v>6.8179999999999996</v>
      </c>
      <c r="BU13" s="7">
        <f t="shared" si="17"/>
        <v>4.9639999999999995</v>
      </c>
      <c r="BV13" s="2">
        <f>IF(Tabelle1814203847[[#This Row],[(g)round/(r )oof2]]="R",Tabelle1814203847[[#This Row],[Total Area size '[m^2']]],IF(Tabelle1814203847[[#This Row],[(g)round/(r )oof2]]="B",Tabelle1814203847[[#This Row],[Total Area size '[m^2']]],0))</f>
        <v>2.2000000000000002</v>
      </c>
      <c r="BW13" s="2"/>
      <c r="BX13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4" spans="1:77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112</v>
      </c>
      <c r="F14" s="2"/>
      <c r="G14" s="37"/>
      <c r="H14" s="40">
        <v>6.93</v>
      </c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>
        <v>0</v>
      </c>
      <c r="R14" s="40">
        <f>Tabelle5121824712512631[[#This Row],[Height]]*Tabelle5121824712512631[[#This Row],[Length]]</f>
        <v>0</v>
      </c>
      <c r="S14" s="42">
        <f t="shared" si="2"/>
        <v>2.8</v>
      </c>
      <c r="T14" s="3">
        <v>0</v>
      </c>
      <c r="U14" s="40">
        <f>Tabelle5121824712512631[[#This Row],[Height2]]*Tabelle5121824712512631[[#This Row],[Length3]]</f>
        <v>0</v>
      </c>
      <c r="V14" s="42">
        <f t="shared" si="4"/>
        <v>2.8</v>
      </c>
      <c r="W14" s="3">
        <v>0</v>
      </c>
      <c r="X14" s="3">
        <f>(1-$BR$19)*Tabelle29152149481828[[#This Row],[North2]]+(1-$BS$19)*Tabelle29152149481828[[#This Row],[East2]]+(1-$BT$19)*Tabelle29152149481828[[#This Row],[South2]]+(1-$BU$19)*Tabelle29152149481828[[#This Row],[West2]]</f>
        <v>14.77</v>
      </c>
      <c r="Y14" s="40">
        <f>Tabelle5121824712512631[[#This Row],[Height22]]*Tabelle5121824712512631[[#This Row],[Length33]]+Tabelle5121824712512631[[#This Row],[Length332]]/2</f>
        <v>7.3849999999999998</v>
      </c>
      <c r="Z14" s="42">
        <f>IF(Tabelle18142038471727[[#This Row],[ceiling]]="c",Tabelle18142038471727[[#This Row],[Total Area size '[m^2']]],0)</f>
        <v>6.93</v>
      </c>
      <c r="AA14" s="42">
        <f>IF(Tabelle18142038471727[[#This Row],[floor]]="f",Tabelle18142038471727[[#This Row],[Total Area size '[m^2']]],0)</f>
        <v>6.93</v>
      </c>
      <c r="AB14" s="5"/>
      <c r="AC14" s="2">
        <v>0</v>
      </c>
      <c r="AD14" s="2">
        <v>1</v>
      </c>
      <c r="AE14" s="2">
        <v>0</v>
      </c>
      <c r="AF14" s="2">
        <v>0</v>
      </c>
      <c r="AG14" s="42">
        <f t="shared" si="5"/>
        <v>2.8</v>
      </c>
      <c r="AH14" s="2">
        <f>0.15+0.95+0.9</f>
        <v>2</v>
      </c>
      <c r="AI14" s="44">
        <v>1.08</v>
      </c>
      <c r="AJ14" s="6">
        <v>1</v>
      </c>
      <c r="AK14" s="2">
        <v>0</v>
      </c>
      <c r="AL14" s="2">
        <v>0</v>
      </c>
      <c r="AM14" s="2">
        <v>0</v>
      </c>
      <c r="AN14" s="42">
        <f t="shared" si="6"/>
        <v>2.8</v>
      </c>
      <c r="AO14" s="2">
        <f>5.275</f>
        <v>5.2750000000000004</v>
      </c>
      <c r="AP14" s="44">
        <v>0</v>
      </c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Tabelle3101622510491929[[#This Row],[North]]*$AI14+AL14*$AP14+AS14*$AW14+AZ14*$BD14+BG14*$BK14</f>
        <v>0</v>
      </c>
      <c r="BO14" s="2">
        <f t="shared" si="12"/>
        <v>1.08</v>
      </c>
      <c r="BP14" s="2">
        <f t="shared" si="13"/>
        <v>0</v>
      </c>
      <c r="BQ14" s="2">
        <f t="shared" si="14"/>
        <v>0</v>
      </c>
      <c r="BR14" s="6">
        <f>Tabelle3101622510491929[[#This Row],[North]]*$AG14*$AH14+AL14*$AN14*$AO14+AS14*$AU14*$AV14+AZ14*$BB14*$BC14+BG14*$BI14*$BJ14-BN14</f>
        <v>0</v>
      </c>
      <c r="BS14" s="2">
        <f t="shared" si="15"/>
        <v>4.5199999999999996</v>
      </c>
      <c r="BT14" s="2">
        <f t="shared" si="16"/>
        <v>14.77</v>
      </c>
      <c r="BU14" s="7">
        <f t="shared" si="17"/>
        <v>0</v>
      </c>
      <c r="BV14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4" s="2"/>
      <c r="BX14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5" spans="1:77" x14ac:dyDescent="0.25">
      <c r="A15" s="40">
        <v>11</v>
      </c>
      <c r="B15" s="2" t="s">
        <v>97</v>
      </c>
      <c r="C15" s="2" t="s">
        <v>101</v>
      </c>
      <c r="D15" s="2" t="s">
        <v>113</v>
      </c>
      <c r="E15" s="37"/>
      <c r="F15" s="2"/>
      <c r="G15" s="2" t="s">
        <v>107</v>
      </c>
      <c r="H15" s="40">
        <v>9</v>
      </c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>
        <f>3.9+2.05</f>
        <v>5.9499999999999993</v>
      </c>
      <c r="R15" s="40">
        <f>Tabelle5121824712512631[[#This Row],[Height]]*Tabelle5121824712512631[[#This Row],[Length]]</f>
        <v>16.659999999999997</v>
      </c>
      <c r="S15" s="42">
        <f t="shared" si="2"/>
        <v>2.8</v>
      </c>
      <c r="T15" s="3">
        <v>1.04</v>
      </c>
      <c r="U15" s="40">
        <f>Tabelle5121824712512631[[#This Row],[Height2]]*Tabelle5121824712512631[[#This Row],[Length3]]</f>
        <v>2.9119999999999999</v>
      </c>
      <c r="V15" s="42">
        <f t="shared" si="4"/>
        <v>2.8</v>
      </c>
      <c r="W15" s="3">
        <v>0</v>
      </c>
      <c r="X15" s="3">
        <f>(1-$BR$19)*Tabelle29152149481828[[#This Row],[North2]]+(1-$BS$19)*Tabelle29152149481828[[#This Row],[East2]]+(1-$BT$19)*Tabelle29152149481828[[#This Row],[South2]]+(1-$BU$19)*Tabelle29152149481828[[#This Row],[West2]]</f>
        <v>10.038</v>
      </c>
      <c r="Y15" s="40">
        <f>Tabelle5121824712512631[[#This Row],[Height22]]*Tabelle5121824712512631[[#This Row],[Length33]]+Tabelle5121824712512631[[#This Row],[Length332]]/2</f>
        <v>5.0190000000000001</v>
      </c>
      <c r="Z15" s="42">
        <f>IF(Tabelle18142038471727[[#This Row],[ceiling]]="c",Tabelle18142038471727[[#This Row],[Total Area size '[m^2']]],0)</f>
        <v>0</v>
      </c>
      <c r="AA15" s="42">
        <f>IF(Tabelle18142038471727[[#This Row],[floor]]="f",Tabelle18142038471727[[#This Row],[Total Area size '[m^2']]],0)</f>
        <v>9</v>
      </c>
      <c r="AB15" s="5"/>
      <c r="AC15" s="2">
        <v>0</v>
      </c>
      <c r="AD15" s="2">
        <v>0</v>
      </c>
      <c r="AE15" s="2">
        <v>0</v>
      </c>
      <c r="AF15" s="2">
        <v>1</v>
      </c>
      <c r="AG15" s="42">
        <f t="shared" si="5"/>
        <v>2.8</v>
      </c>
      <c r="AH15" s="2">
        <f>0.15+0.59+2.4+0.91+0.08</f>
        <v>4.13</v>
      </c>
      <c r="AI15" s="44">
        <v>2</v>
      </c>
      <c r="AJ15" s="6">
        <v>0</v>
      </c>
      <c r="AK15" s="2">
        <v>0</v>
      </c>
      <c r="AL15" s="2">
        <v>1</v>
      </c>
      <c r="AM15" s="2">
        <v>0</v>
      </c>
      <c r="AN15" s="42">
        <f t="shared" si="6"/>
        <v>2.8</v>
      </c>
      <c r="AO15" s="2">
        <f>0.33+3.2+0.055</f>
        <v>3.5850000000000004</v>
      </c>
      <c r="AP15" s="44">
        <v>0</v>
      </c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Tabelle3101622510491929[[#This Row],[North]]*$AI15+AL15*$AP15+AS15*$AW15+AZ15*$BD15+BG15*$BK15</f>
        <v>0</v>
      </c>
      <c r="BO15" s="2">
        <f t="shared" si="12"/>
        <v>0</v>
      </c>
      <c r="BP15" s="2">
        <f t="shared" si="13"/>
        <v>0</v>
      </c>
      <c r="BQ15" s="2">
        <f t="shared" si="14"/>
        <v>2</v>
      </c>
      <c r="BR15" s="6">
        <f>Tabelle3101622510491929[[#This Row],[North]]*$AG15*$AH15+AL15*$AN15*$AO15+AS15*$AU15*$AV15+AZ15*$BB15*$BC15+BG15*$BI15*$BJ15-BN15</f>
        <v>10.038</v>
      </c>
      <c r="BS15" s="2">
        <f t="shared" si="15"/>
        <v>0</v>
      </c>
      <c r="BT15" s="2">
        <f t="shared" si="16"/>
        <v>0</v>
      </c>
      <c r="BU15" s="7">
        <f t="shared" si="17"/>
        <v>9.5639999999999983</v>
      </c>
      <c r="BV15" s="2">
        <f>IF(Tabelle1814203847[[#This Row],[(g)round/(r )oof2]]="R",Tabelle1814203847[[#This Row],[Total Area size '[m^2']]],IF(Tabelle1814203847[[#This Row],[(g)round/(r )oof2]]="B",Tabelle1814203847[[#This Row],[Total Area size '[m^2']]],0))</f>
        <v>9</v>
      </c>
      <c r="BW15" s="2"/>
      <c r="BX15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6" spans="1:77" x14ac:dyDescent="0.25">
      <c r="A16" s="40">
        <v>12</v>
      </c>
      <c r="B16" s="2" t="s">
        <v>122</v>
      </c>
      <c r="C16" s="2" t="s">
        <v>10</v>
      </c>
      <c r="D16" s="2" t="s">
        <v>113</v>
      </c>
      <c r="E16" s="2"/>
      <c r="F16" s="2"/>
      <c r="G16" s="2" t="s">
        <v>107</v>
      </c>
      <c r="H16" s="40">
        <v>6.93</v>
      </c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>
        <v>1.9</v>
      </c>
      <c r="R16" s="40">
        <f>Tabelle5121824712512631[[#This Row],[Height]]*Tabelle5121824712512631[[#This Row],[Length]]</f>
        <v>5.3199999999999994</v>
      </c>
      <c r="S16" s="42">
        <f t="shared" si="2"/>
        <v>2.8</v>
      </c>
      <c r="T16" s="3">
        <v>0</v>
      </c>
      <c r="U16" s="40">
        <f>Tabelle5121824712512631[[#This Row],[Height2]]*Tabelle5121824712512631[[#This Row],[Length3]]</f>
        <v>0</v>
      </c>
      <c r="V16" s="42">
        <f t="shared" si="4"/>
        <v>2.8</v>
      </c>
      <c r="W16" s="3">
        <v>0</v>
      </c>
      <c r="X16" s="3">
        <f>(1-$BR$19)*Tabelle29152149481828[[#This Row],[North2]]+(1-$BS$19)*Tabelle29152149481828[[#This Row],[East2]]+(1-$BT$19)*Tabelle29152149481828[[#This Row],[South2]]+(1-$BU$19)*Tabelle29152149481828[[#This Row],[West2]]</f>
        <v>18.269999999999996</v>
      </c>
      <c r="Y16" s="40">
        <f>Tabelle5121824712512631[[#This Row],[Height22]]*Tabelle5121824712512631[[#This Row],[Length33]]+Tabelle5121824712512631[[#This Row],[Length332]]/2</f>
        <v>9.134999999999998</v>
      </c>
      <c r="Z16" s="42">
        <f>IF(Tabelle18142038471727[[#This Row],[ceiling]]="c",Tabelle18142038471727[[#This Row],[Total Area size '[m^2']]],0)</f>
        <v>0</v>
      </c>
      <c r="AA16" s="42">
        <f>IF(Tabelle18142038471727[[#This Row],[floor]]="f",Tabelle18142038471727[[#This Row],[Total Area size '[m^2']]],0)</f>
        <v>6.93</v>
      </c>
      <c r="AB16" s="5"/>
      <c r="AC16" s="2">
        <v>0</v>
      </c>
      <c r="AD16" s="2">
        <v>1</v>
      </c>
      <c r="AE16" s="2">
        <v>0</v>
      </c>
      <c r="AF16" s="2">
        <v>0</v>
      </c>
      <c r="AG16" s="42">
        <f t="shared" si="5"/>
        <v>2.8</v>
      </c>
      <c r="AH16" s="3">
        <f>0.15+1.9+0.08</f>
        <v>2.13</v>
      </c>
      <c r="AI16" s="44">
        <v>1</v>
      </c>
      <c r="AJ16" s="6">
        <v>1</v>
      </c>
      <c r="AK16" s="2">
        <v>0</v>
      </c>
      <c r="AL16" s="2">
        <v>0</v>
      </c>
      <c r="AM16" s="2">
        <v>0</v>
      </c>
      <c r="AN16" s="42">
        <f t="shared" si="6"/>
        <v>2.8</v>
      </c>
      <c r="AO16" s="2">
        <f>0.33+6.14+0.055</f>
        <v>6.5249999999999995</v>
      </c>
      <c r="AP16" s="44">
        <v>0</v>
      </c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Tabelle3101622510491929[[#This Row],[North]]*$AI16+AL16*$AP16+AS16*$AW16+AZ16*$BD16+BG16*$BK16</f>
        <v>0</v>
      </c>
      <c r="BO16" s="2">
        <f t="shared" si="12"/>
        <v>1</v>
      </c>
      <c r="BP16" s="2">
        <f t="shared" si="13"/>
        <v>0</v>
      </c>
      <c r="BQ16" s="2">
        <f t="shared" si="14"/>
        <v>0</v>
      </c>
      <c r="BR16" s="6">
        <f>Tabelle3101622510491929[[#This Row],[North]]*$AG16*$AH16+AL16*$AN16*$AO16+AS16*$AU16*$AV16+AZ16*$BB16*$BC16+BG16*$BI16*$BJ16-BN16</f>
        <v>0</v>
      </c>
      <c r="BS16" s="2">
        <f t="shared" si="15"/>
        <v>4.9639999999999995</v>
      </c>
      <c r="BT16" s="2">
        <f t="shared" si="16"/>
        <v>18.269999999999996</v>
      </c>
      <c r="BU16" s="7">
        <f t="shared" si="17"/>
        <v>0</v>
      </c>
      <c r="BV16" s="2">
        <f>IF(Tabelle1814203847[[#This Row],[(g)round/(r )oof2]]="R",Tabelle1814203847[[#This Row],[Total Area size '[m^2']]],IF(Tabelle1814203847[[#This Row],[(g)round/(r )oof2]]="B",Tabelle1814203847[[#This Row],[Total Area size '[m^2']]],0))</f>
        <v>6.93</v>
      </c>
      <c r="BW16" s="2"/>
      <c r="BX16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18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7" s="2"/>
      <c r="BX1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8" s="2"/>
      <c r="BX1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0</v>
      </c>
      <c r="BS19" s="2">
        <v>1</v>
      </c>
      <c r="BT19" s="2">
        <v>0</v>
      </c>
      <c r="BU19" s="7">
        <v>1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2.2799999999999998</v>
      </c>
      <c r="BO22" s="61">
        <f t="shared" ref="BO22:BQ25" si="19">SUMIF($C$5:$C$18,$BM22,BO$5:BO$18)</f>
        <v>2.88</v>
      </c>
      <c r="BP22" s="61">
        <f t="shared" si="19"/>
        <v>0</v>
      </c>
      <c r="BQ22" s="61">
        <f t="shared" si="19"/>
        <v>7.91</v>
      </c>
      <c r="BR22" s="61">
        <f>SUMIF($C$5:$C$18,$BM22,BR$5:BR$18)*BR$19</f>
        <v>0</v>
      </c>
      <c r="BS22" s="61">
        <f t="shared" ref="BS22:BU22" si="20">SUMIF($C$5:$C$18,$BM22,BS$5:BS$18)*BS$19</f>
        <v>9.0479999999999983</v>
      </c>
      <c r="BT22" s="61">
        <f t="shared" si="20"/>
        <v>0</v>
      </c>
      <c r="BU22" s="61">
        <f t="shared" si="20"/>
        <v>21.685999999999996</v>
      </c>
      <c r="BV22" s="61">
        <f>SUMIF($C$5:$C$18,$BM22,BV$5:BV$18)</f>
        <v>9</v>
      </c>
      <c r="BW22" s="61">
        <f>BV22*$BV$30</f>
        <v>19.170817462642841</v>
      </c>
      <c r="BX22" s="61">
        <f>SUMIF($C$5:$C$18,$BM22,BX$5:BX$19)</f>
        <v>43.599999999999994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52.599999999999994</v>
      </c>
      <c r="I23" s="12">
        <f>H23/$H$28</f>
        <v>0.39972642298046956</v>
      </c>
      <c r="J23" s="1"/>
      <c r="K23" s="86" t="s">
        <v>86</v>
      </c>
      <c r="L23" s="86"/>
      <c r="M23" s="87"/>
      <c r="N23" s="78"/>
      <c r="O23" s="3"/>
      <c r="P23" s="33"/>
      <c r="Q23" s="3"/>
      <c r="R23" s="55">
        <f>SUMIF($C$5:$C$18,C23,$R$5:$R$18)/2</f>
        <v>12.389999999999997</v>
      </c>
      <c r="S23" s="3"/>
      <c r="T23" s="3"/>
      <c r="U23" s="55">
        <f>SUMIF($C$5:$C$18,$C23,$U$5:$U$18)</f>
        <v>22.231999999999999</v>
      </c>
      <c r="V23" s="3"/>
      <c r="W23" s="3"/>
      <c r="X23" s="3"/>
      <c r="Y23" s="55">
        <f>SUMIF($C$5:$C$18,$C23,$Y$5:$Y$18)</f>
        <v>29.113999999999997</v>
      </c>
      <c r="Z23" s="55">
        <f>SUMIF($C$5:$C$18,$C23,$Z$5:$Z$18)/2</f>
        <v>21.799999999999997</v>
      </c>
      <c r="AA23" s="55">
        <f>SUMIF($C$5:$C$18,$C23,$AA$5:$AA$18)/2</f>
        <v>4.5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0</v>
      </c>
      <c r="BO23" s="61">
        <f t="shared" si="19"/>
        <v>2.08</v>
      </c>
      <c r="BP23" s="61">
        <f t="shared" si="19"/>
        <v>0</v>
      </c>
      <c r="BQ23" s="61">
        <f t="shared" si="19"/>
        <v>1</v>
      </c>
      <c r="BR23" s="61">
        <f t="shared" ref="BR23:BU25" si="21">SUMIF($C$5:$C$18,$BM23,BR$5:BR$18)*BR$19</f>
        <v>0</v>
      </c>
      <c r="BS23" s="61">
        <f t="shared" si="21"/>
        <v>15.084</v>
      </c>
      <c r="BT23" s="61">
        <f t="shared" si="21"/>
        <v>0</v>
      </c>
      <c r="BU23" s="61">
        <f t="shared" si="21"/>
        <v>4.9639999999999995</v>
      </c>
      <c r="BV23" s="61">
        <f t="shared" ref="BV23:BV25" si="22">SUMIF($C$5:$C$18,$BM23,BV$5:BV$18)</f>
        <v>9.129999999999999</v>
      </c>
      <c r="BW23" s="61">
        <f t="shared" ref="BW23:BW25" si="23">BV23*$BV$30</f>
        <v>19.447729270436568</v>
      </c>
      <c r="BX23" s="61">
        <f>SUMIF($C$5:$C$18,$BM23,BX$5:BX$18)</f>
        <v>8.629999999999999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24.689999999999998</v>
      </c>
      <c r="I24" s="2">
        <f>H24/$H$28</f>
        <v>0.18762823922790484</v>
      </c>
      <c r="J24" s="1"/>
      <c r="K24" s="86"/>
      <c r="L24" s="86"/>
      <c r="M24" s="87"/>
      <c r="N24" s="78"/>
      <c r="O24" s="3"/>
      <c r="P24" s="33"/>
      <c r="Q24" s="3"/>
      <c r="R24" s="56">
        <f>SUMIF($C$5:$C$18,C24,$R$5:$R$18)/2</f>
        <v>10.639999999999999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27.313999999999997</v>
      </c>
      <c r="Z24" s="55">
        <f t="shared" ref="Z24:Z26" si="24">SUMIF($C$5:$C$18,$C24,$Z$5:$Z$18)/2</f>
        <v>7.7799999999999994</v>
      </c>
      <c r="AA24" s="55">
        <f t="shared" ref="AA24:AA26" si="25">SUMIF($C$5:$C$18,$C24,$AA$5:$AA$18)/2</f>
        <v>8.0299999999999994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0</v>
      </c>
      <c r="BO24" s="61">
        <f t="shared" si="19"/>
        <v>4.88</v>
      </c>
      <c r="BP24" s="61">
        <f t="shared" si="19"/>
        <v>0</v>
      </c>
      <c r="BQ24" s="61">
        <f t="shared" si="19"/>
        <v>2.88</v>
      </c>
      <c r="BR24" s="61">
        <f t="shared" si="21"/>
        <v>0</v>
      </c>
      <c r="BS24" s="61">
        <f t="shared" si="21"/>
        <v>18.317999999999998</v>
      </c>
      <c r="BT24" s="61">
        <f t="shared" si="21"/>
        <v>0</v>
      </c>
      <c r="BU24" s="61">
        <f t="shared" si="21"/>
        <v>8.6839999999999975</v>
      </c>
      <c r="BV24" s="61">
        <f t="shared" si="22"/>
        <v>16</v>
      </c>
      <c r="BW24" s="61">
        <f t="shared" si="23"/>
        <v>34.081453266920605</v>
      </c>
      <c r="BX24" s="61">
        <f>SUMIF($C$5:$C$18,$BM24,BX$5:BX$18)</f>
        <v>0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</v>
      </c>
      <c r="I25" s="2">
        <f>H25/$H$28</f>
        <v>0.36476935937381261</v>
      </c>
      <c r="J25" s="1"/>
      <c r="K25" s="86"/>
      <c r="L25" s="86"/>
      <c r="M25" s="87"/>
      <c r="N25" s="78"/>
      <c r="O25" s="3"/>
      <c r="P25" s="33"/>
      <c r="Q25" s="3"/>
      <c r="R25" s="56">
        <f>SUMIF($C$5:$C$18,C25,$R$5:$R$18)/2</f>
        <v>21</v>
      </c>
      <c r="S25" s="3"/>
      <c r="T25" s="3"/>
      <c r="U25" s="56">
        <f>SUMIF($C$5:$C$18,$C25,$U$5:$U$18)</f>
        <v>28.28</v>
      </c>
      <c r="V25" s="3"/>
      <c r="W25" s="3"/>
      <c r="X25" s="3"/>
      <c r="Y25" s="56">
        <f>SUMIF($C$5:$C$18,$C25,$Y$5:$Y$18)</f>
        <v>19.816999999999997</v>
      </c>
      <c r="Z25" s="55">
        <f t="shared" si="24"/>
        <v>16</v>
      </c>
      <c r="AA25" s="55">
        <f t="shared" si="25"/>
        <v>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0</v>
      </c>
      <c r="BO25" s="61">
        <f t="shared" si="19"/>
        <v>0</v>
      </c>
      <c r="BP25" s="61">
        <f t="shared" si="19"/>
        <v>0</v>
      </c>
      <c r="BQ25" s="61">
        <f t="shared" si="19"/>
        <v>0.96</v>
      </c>
      <c r="BR25" s="61">
        <f t="shared" si="21"/>
        <v>0</v>
      </c>
      <c r="BS25" s="61">
        <f t="shared" si="21"/>
        <v>0</v>
      </c>
      <c r="BT25" s="61">
        <f t="shared" si="21"/>
        <v>0</v>
      </c>
      <c r="BU25" s="61">
        <f t="shared" si="21"/>
        <v>5.0039999999999996</v>
      </c>
      <c r="BV25" s="61">
        <f t="shared" si="22"/>
        <v>0</v>
      </c>
      <c r="BW25" s="61">
        <f t="shared" si="23"/>
        <v>0</v>
      </c>
      <c r="BX25" s="61">
        <f>SUMIF($C$5:$C$18,$BM25,BX$5:BX$18)</f>
        <v>0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6.3</v>
      </c>
      <c r="I26" s="2">
        <f>H26/$H$28</f>
        <v>4.7875978417812902E-2</v>
      </c>
      <c r="J26" s="1"/>
      <c r="K26" s="86"/>
      <c r="L26" s="86"/>
      <c r="M26" s="87"/>
      <c r="N26" s="78"/>
      <c r="O26" s="3"/>
      <c r="P26" s="33"/>
      <c r="Q26" s="3"/>
      <c r="R26" s="56">
        <f>SUMIF($C$5:$C$18,C26,$R$5:$R$18)/2</f>
        <v>4.6199999999999992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5.1589999999999998</v>
      </c>
      <c r="Z26" s="55">
        <f t="shared" si="24"/>
        <v>3.15</v>
      </c>
      <c r="AA26" s="55">
        <f t="shared" si="25"/>
        <v>3.15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/>
      <c r="BW26" s="63"/>
      <c r="BX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X27" si="26">SUM(BN22:BN26)</f>
        <v>2.2799999999999998</v>
      </c>
      <c r="BO27" s="66">
        <f t="shared" si="26"/>
        <v>9.84</v>
      </c>
      <c r="BP27" s="66">
        <f t="shared" si="26"/>
        <v>0</v>
      </c>
      <c r="BQ27" s="66">
        <f t="shared" si="26"/>
        <v>12.75</v>
      </c>
      <c r="BR27" s="66">
        <f t="shared" si="26"/>
        <v>0</v>
      </c>
      <c r="BS27" s="66">
        <f t="shared" si="26"/>
        <v>42.449999999999996</v>
      </c>
      <c r="BT27" s="66">
        <f t="shared" si="26"/>
        <v>0</v>
      </c>
      <c r="BU27" s="66">
        <f t="shared" si="26"/>
        <v>40.337999999999987</v>
      </c>
      <c r="BV27" s="66">
        <f t="shared" si="26"/>
        <v>34.129999999999995</v>
      </c>
      <c r="BW27" s="66">
        <f t="shared" si="26"/>
        <v>72.700000000000017</v>
      </c>
      <c r="BX27" s="66">
        <f t="shared" si="26"/>
        <v>52.22999999999999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131.59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48.649999999999991</v>
      </c>
      <c r="S28" s="3"/>
      <c r="T28" s="3"/>
      <c r="U28" s="56">
        <f>SUM(U23:U26)</f>
        <v>55.832000000000001</v>
      </c>
      <c r="V28" s="3"/>
      <c r="W28" s="3"/>
      <c r="X28" s="3"/>
      <c r="Y28" s="72">
        <f>SUM(Y23:Y26)</f>
        <v>81.403999999999996</v>
      </c>
      <c r="Z28" s="73">
        <f>SUM(Z23:Z26)</f>
        <v>48.73</v>
      </c>
      <c r="AA28" s="73">
        <f>SUM(AA23:AA26)</f>
        <v>39.68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>
        <v>72.7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f>BV29/BV27</f>
        <v>2.1300908291825378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63.73599999999999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27">Y24+U24+R24</f>
        <v>37.953999999999994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27"/>
        <v>69.096999999999994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27"/>
        <v>15.098999999999998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0.52578582000140961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24" priority="2" operator="lessThan">
      <formula>0.03</formula>
    </cfRule>
  </conditionalFormatting>
  <conditionalFormatting sqref="I23:I28">
    <cfRule type="cellIs" dxfId="23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zoomScale="70" zoomScaleNormal="70" workbookViewId="0">
      <pane xSplit="2" ySplit="4" topLeftCell="BN17" activePane="bottomRight" state="frozen"/>
      <selection activeCell="X55" sqref="X55"/>
      <selection pane="topRight" activeCell="X55" sqref="X55"/>
      <selection pane="bottomLeft" activeCell="X55" sqref="X55"/>
      <selection pane="bottomRight" activeCell="BW31" sqref="BW31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5" width="12.85546875" customWidth="1"/>
    <col min="76" max="76" width="18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126</v>
      </c>
      <c r="D2" s="19"/>
      <c r="E2" s="19">
        <v>2014</v>
      </c>
      <c r="G2" s="19">
        <v>3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9"/>
      <c r="AI3" s="79"/>
      <c r="AJ3" s="20"/>
      <c r="AK3" s="88" t="s">
        <v>66</v>
      </c>
      <c r="AL3" s="89"/>
      <c r="AM3" s="89"/>
      <c r="AN3" s="89"/>
      <c r="AO3" s="79"/>
      <c r="AP3" s="79"/>
      <c r="AQ3" s="20"/>
      <c r="AR3" s="90" t="s">
        <v>67</v>
      </c>
      <c r="AS3" s="90"/>
      <c r="AT3" s="90"/>
      <c r="AU3" s="90"/>
      <c r="AV3" s="80"/>
      <c r="AW3" s="80"/>
      <c r="AX3" s="80"/>
      <c r="AY3" s="90" t="s">
        <v>68</v>
      </c>
      <c r="AZ3" s="90"/>
      <c r="BA3" s="90"/>
      <c r="BB3" s="90"/>
      <c r="BC3" s="80"/>
      <c r="BD3" s="80"/>
      <c r="BE3" s="80"/>
      <c r="BF3" s="85" t="s">
        <v>69</v>
      </c>
      <c r="BG3" s="85"/>
      <c r="BH3" s="85"/>
      <c r="BI3" s="85"/>
      <c r="BJ3" s="80"/>
      <c r="BK3" s="80"/>
      <c r="BL3" s="80"/>
      <c r="BM3" s="80"/>
      <c r="BN3" s="80"/>
      <c r="BO3" s="21" t="s">
        <v>28</v>
      </c>
      <c r="BP3" s="79"/>
      <c r="BQ3" s="79"/>
      <c r="BR3" s="79"/>
      <c r="BS3" s="22" t="s">
        <v>29</v>
      </c>
      <c r="BT3" s="79"/>
      <c r="BU3" s="79"/>
      <c r="BV3" s="22"/>
      <c r="BW3" s="22"/>
      <c r="BX3" s="22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2" t="s">
        <v>140</v>
      </c>
      <c r="BX4" s="91" t="s">
        <v>31</v>
      </c>
    </row>
    <row r="5" spans="1:77" x14ac:dyDescent="0.25">
      <c r="A5" s="40">
        <v>1</v>
      </c>
      <c r="B5" s="2" t="s">
        <v>93</v>
      </c>
      <c r="C5" s="2" t="s">
        <v>101</v>
      </c>
      <c r="D5" s="2"/>
      <c r="E5" s="37" t="s">
        <v>112</v>
      </c>
      <c r="F5" s="2"/>
      <c r="G5" s="37" t="s">
        <v>106</v>
      </c>
      <c r="H5" s="40">
        <v>32.4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f t="shared" ref="Q5:Q6" si="1">3.3-1.85</f>
        <v>1.4499999999999997</v>
      </c>
      <c r="R5" s="40">
        <f>Tabelle5121824712512636[[#This Row],[Height]]*Tabelle5121824712512636[[#This Row],[Length]]</f>
        <v>4.0599999999999987</v>
      </c>
      <c r="S5" s="42">
        <f t="shared" ref="S5:S16" si="2">$H$2</f>
        <v>2.8</v>
      </c>
      <c r="T5" s="3">
        <f t="shared" ref="T5" si="3">0.11+0.11+0.9+3.88</f>
        <v>5</v>
      </c>
      <c r="U5" s="40">
        <f>Tabelle5121824712512636[[#This Row],[Height2]]*Tabelle5121824712512636[[#This Row],[Length3]]</f>
        <v>14</v>
      </c>
      <c r="V5" s="42">
        <f t="shared" ref="V5:V16" si="4">$H$2</f>
        <v>2.8</v>
      </c>
      <c r="W5" s="3">
        <v>0</v>
      </c>
      <c r="X5" s="3">
        <f>(1-$BR$19)*Tabelle29152149481833[[#This Row],[North2]]+(1-$BS$19)*Tabelle29152149481833[[#This Row],[East2]]+(1-$BT$19)*Tabelle29152149481833[[#This Row],[South2]]+(1-$BU$19)*Tabelle29152149481833[[#This Row],[West2]]</f>
        <v>25.087999999999997</v>
      </c>
      <c r="Y5" s="40">
        <f>Tabelle5121824712512636[[#This Row],[Height22]]*Tabelle5121824712512636[[#This Row],[Length33]]+Tabelle5121824712512636[[#This Row],[Length332]]/2</f>
        <v>12.543999999999999</v>
      </c>
      <c r="Z5" s="42">
        <f>IF(Tabelle18142038471732[[#This Row],[ceiling]]="c",Tabelle18142038471732[[#This Row],[Total Area size '[m^2']]],0)</f>
        <v>32.4</v>
      </c>
      <c r="AA5" s="42">
        <f>IF(Tabelle18142038471732[[#This Row],[floor]]="f",Tabelle18142038471732[[#This Row],[Total Area size '[m^2']]],0)</f>
        <v>0</v>
      </c>
      <c r="AB5" s="5"/>
      <c r="AC5" s="2">
        <v>0</v>
      </c>
      <c r="AD5" s="2">
        <v>1</v>
      </c>
      <c r="AE5" s="2">
        <v>0</v>
      </c>
      <c r="AF5" s="2">
        <v>0</v>
      </c>
      <c r="AG5" s="42">
        <f t="shared" ref="AG5:AG16" si="5">$H$2</f>
        <v>2.8</v>
      </c>
      <c r="AH5" s="2">
        <v>4.0599999999999996</v>
      </c>
      <c r="AI5" s="44">
        <v>5.28</v>
      </c>
      <c r="AJ5" s="6">
        <v>0</v>
      </c>
      <c r="AK5" s="2">
        <v>0</v>
      </c>
      <c r="AL5" s="2">
        <v>1</v>
      </c>
      <c r="AM5" s="2">
        <v>0</v>
      </c>
      <c r="AN5" s="42">
        <f t="shared" ref="AN5:AN16" si="6">$H$2</f>
        <v>2.8</v>
      </c>
      <c r="AO5" s="2">
        <f t="shared" ref="AO5" si="7">8.78+0.18</f>
        <v>8.9599999999999991</v>
      </c>
      <c r="AP5" s="44">
        <v>0</v>
      </c>
      <c r="AQ5" s="6">
        <v>0</v>
      </c>
      <c r="AR5" s="2">
        <v>0</v>
      </c>
      <c r="AS5" s="2">
        <v>0</v>
      </c>
      <c r="AT5" s="2">
        <v>1</v>
      </c>
      <c r="AU5" s="42">
        <f t="shared" ref="AU5:AU14" si="8">$H$2</f>
        <v>2.8</v>
      </c>
      <c r="AV5" s="2">
        <f t="shared" ref="AV5" si="9">0.15+0.75+2.4+0.96</f>
        <v>4.26</v>
      </c>
      <c r="AW5" s="44">
        <v>2.88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Tabelle3101622510491934[[#This Row],[North]]*$AI5+AL5*$AP5+AS5*$AW5+AZ5*$BD5+BG5*$BK5</f>
        <v>0</v>
      </c>
      <c r="BO5" s="2">
        <f t="shared" ref="BO5:BO16" si="12">AD5*$AI5+AK5*$AP5+AR5*$AW5+AY5*$BD5+BF5*$BK5</f>
        <v>5.28</v>
      </c>
      <c r="BP5" s="2">
        <f t="shared" ref="BP5:BP16" si="13">AC5*$AI5+AJ5*$AP5+AQ5*$AW5+AX5*$BD5+BE5*$BK5</f>
        <v>0</v>
      </c>
      <c r="BQ5" s="2">
        <f t="shared" ref="BQ5:BQ16" si="14">AF5*$AI5+AM5*$AP5+AT5*$AW5+BA5*$BD5+BH5*$BK5</f>
        <v>2.88</v>
      </c>
      <c r="BR5" s="6">
        <f>Tabelle3101622510491934[[#This Row],[North]]*$AG5*$AH5+AL5*$AN5*$AO5+AS5*$AU5*$AV5+AZ5*$BB5*$BC5+BG5*$BI5*$BJ5-BN5</f>
        <v>25.087999999999997</v>
      </c>
      <c r="BS5" s="2">
        <f t="shared" ref="BS5:BS16" si="15">AD5*$AG5*$AH5+AK5*$AN5*$AO5+AR5*$AU5*$AV5+AY5*$BB5*$BC5+BF5*$BI5*$BJ5-BO5</f>
        <v>6.0879999999999983</v>
      </c>
      <c r="BT5" s="2">
        <f t="shared" ref="BT5:BT16" si="16">AC5*$AG5*$AH5+AJ5*$AN5*$AO5+AQ5*$AU5*$AV5+AX5*$BB5*$BC5+BE5*$BI5*$BJ5-BP5</f>
        <v>0</v>
      </c>
      <c r="BU5" s="7">
        <f t="shared" ref="BU5:BU16" si="17">AF5*$AG5*$AH5+AM5*$AN5*$AO5+AT5*$AU5*$AV5+BA5*$BB5*$BC5+BH5*$BI5*$BJ5-BQ5</f>
        <v>9.0479999999999983</v>
      </c>
      <c r="BV5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5" s="2"/>
      <c r="BX5" s="2">
        <f>IF(Tabelle1814203847[[#This Row],[(g)round/(r )oof2]]="G",Tabelle1814203847[[#This Row],[Total Area size '[m^2']]],IF(Tabelle1814203847[[#This Row],[(g)round/(r )oof2]]="B",Tabelle1814203847[[#This Row],[Total Area size '[m^2']]],0))</f>
        <v>32.4</v>
      </c>
    </row>
    <row r="6" spans="1:77" x14ac:dyDescent="0.25">
      <c r="A6" s="40">
        <v>2</v>
      </c>
      <c r="B6" s="2" t="s">
        <v>11</v>
      </c>
      <c r="C6" s="2" t="s">
        <v>101</v>
      </c>
      <c r="D6" s="2"/>
      <c r="E6" s="37" t="s">
        <v>112</v>
      </c>
      <c r="F6" s="2"/>
      <c r="G6" s="37" t="s">
        <v>106</v>
      </c>
      <c r="H6" s="40">
        <v>11.2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f t="shared" si="1"/>
        <v>1.4499999999999997</v>
      </c>
      <c r="R6" s="40">
        <f>Tabelle5121824712512636[[#This Row],[Height]]*Tabelle5121824712512636[[#This Row],[Length]]</f>
        <v>4.0599999999999987</v>
      </c>
      <c r="S6" s="42">
        <f t="shared" si="2"/>
        <v>2.8</v>
      </c>
      <c r="T6" s="3">
        <v>1.9</v>
      </c>
      <c r="U6" s="40">
        <f>Tabelle5121824712512636[[#This Row],[Height2]]*Tabelle5121824712512636[[#This Row],[Length3]]</f>
        <v>5.3199999999999994</v>
      </c>
      <c r="V6" s="42">
        <f t="shared" si="4"/>
        <v>2.8</v>
      </c>
      <c r="W6" s="3">
        <v>0</v>
      </c>
      <c r="X6" s="3">
        <f>(1-$BR$19)*Tabelle29152149481833[[#This Row],[North2]]+(1-$BS$19)*Tabelle29152149481833[[#This Row],[East2]]+(1-$BT$19)*Tabelle29152149481833[[#This Row],[South2]]+(1-$BU$19)*Tabelle29152149481833[[#This Row],[West2]]</f>
        <v>23.101999999999997</v>
      </c>
      <c r="Y6" s="40">
        <f>Tabelle5121824712512636[[#This Row],[Height22]]*Tabelle5121824712512636[[#This Row],[Length33]]+Tabelle5121824712512636[[#This Row],[Length332]]/2</f>
        <v>11.550999999999998</v>
      </c>
      <c r="Z6" s="42">
        <f>IF(Tabelle18142038471732[[#This Row],[ceiling]]="c",Tabelle18142038471732[[#This Row],[Total Area size '[m^2']]],0)</f>
        <v>11.2</v>
      </c>
      <c r="AA6" s="42">
        <f>IF(Tabelle18142038471732[[#This Row],[floor]]="f",Tabelle18142038471732[[#This Row],[Total Area size '[m^2']]],0)</f>
        <v>0</v>
      </c>
      <c r="AB6" s="5"/>
      <c r="AC6" s="2">
        <v>0</v>
      </c>
      <c r="AD6" s="2">
        <v>1</v>
      </c>
      <c r="AE6" s="2">
        <v>0</v>
      </c>
      <c r="AF6" s="2">
        <v>0</v>
      </c>
      <c r="AG6" s="42">
        <f t="shared" si="5"/>
        <v>2.8</v>
      </c>
      <c r="AH6" s="2">
        <v>2.38</v>
      </c>
      <c r="AI6" s="44">
        <v>0.63</v>
      </c>
      <c r="AJ6" s="6">
        <v>0</v>
      </c>
      <c r="AK6" s="3">
        <v>0</v>
      </c>
      <c r="AL6" s="2">
        <v>1</v>
      </c>
      <c r="AM6" s="2">
        <v>0</v>
      </c>
      <c r="AN6" s="42">
        <f t="shared" si="6"/>
        <v>2.8</v>
      </c>
      <c r="AO6" s="2">
        <f>2.6+0.18</f>
        <v>2.7800000000000002</v>
      </c>
      <c r="AP6" s="44">
        <v>2.2799999999999998</v>
      </c>
      <c r="AQ6" s="6">
        <v>1</v>
      </c>
      <c r="AR6" s="2">
        <v>0</v>
      </c>
      <c r="AS6" s="2">
        <v>0</v>
      </c>
      <c r="AT6" s="2">
        <v>0</v>
      </c>
      <c r="AU6" s="42">
        <f t="shared" si="8"/>
        <v>2.8</v>
      </c>
      <c r="AV6" s="2">
        <v>6.2850000000000001</v>
      </c>
      <c r="AW6" s="44">
        <v>0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Tabelle3101622510491934[[#This Row],[North]]*$AI6+AL6*$AP6+AS6*$AW6+AZ6*$BD6+BG6*$BK6</f>
        <v>2.2799999999999998</v>
      </c>
      <c r="BO6" s="2">
        <f t="shared" si="12"/>
        <v>0.63</v>
      </c>
      <c r="BP6" s="2">
        <f t="shared" si="13"/>
        <v>0</v>
      </c>
      <c r="BQ6" s="2">
        <f t="shared" si="14"/>
        <v>0</v>
      </c>
      <c r="BR6" s="6">
        <f>Tabelle3101622510491934[[#This Row],[North]]*$AG6*$AH6+AL6*$AN6*$AO6+AS6*$AU6*$AV6+AZ6*$BB6*$BC6+BG6*$BI6*$BJ6-BN6</f>
        <v>5.5039999999999996</v>
      </c>
      <c r="BS6" s="2">
        <f t="shared" si="15"/>
        <v>6.0339999999999998</v>
      </c>
      <c r="BT6" s="2">
        <f t="shared" si="16"/>
        <v>17.597999999999999</v>
      </c>
      <c r="BU6" s="7">
        <f t="shared" si="17"/>
        <v>0</v>
      </c>
      <c r="BV6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6" s="2"/>
      <c r="BX6" s="2">
        <f>IF(Tabelle1814203847[[#This Row],[(g)round/(r )oof2]]="G",Tabelle1814203847[[#This Row],[Total Area size '[m^2']]],IF(Tabelle1814203847[[#This Row],[(g)round/(r )oof2]]="B",Tabelle1814203847[[#This Row],[Total Area size '[m^2']]],0))</f>
        <v>11.2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/>
      <c r="H7" s="40">
        <v>17.399999999999999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f>3.9+3.3</f>
        <v>7.1999999999999993</v>
      </c>
      <c r="R7" s="40">
        <f>Tabelle5121824712512636[[#This Row],[Height]]*Tabelle5121824712512636[[#This Row],[Length]]</f>
        <v>20.159999999999997</v>
      </c>
      <c r="S7" s="42">
        <f t="shared" si="2"/>
        <v>2.8</v>
      </c>
      <c r="T7" s="3">
        <f>4.45-3.3</f>
        <v>1.1500000000000004</v>
      </c>
      <c r="U7" s="40">
        <f>Tabelle5121824712512636[[#This Row],[Height2]]*Tabelle5121824712512636[[#This Row],[Length3]]</f>
        <v>3.2200000000000006</v>
      </c>
      <c r="V7" s="42">
        <f t="shared" si="4"/>
        <v>2.8</v>
      </c>
      <c r="W7" s="3">
        <v>0</v>
      </c>
      <c r="X7" s="3">
        <f>(1-$BR$19)*Tabelle29152149481833[[#This Row],[North2]]+(1-$BS$19)*Tabelle29152149481833[[#This Row],[East2]]+(1-$BT$19)*Tabelle29152149481833[[#This Row],[South2]]+(1-$BU$19)*Tabelle29152149481833[[#This Row],[West2]]</f>
        <v>13.537999999999998</v>
      </c>
      <c r="Y7" s="40">
        <f>Tabelle5121824712512636[[#This Row],[Height22]]*Tabelle5121824712512636[[#This Row],[Length33]]+Tabelle5121824712512636[[#This Row],[Length332]]/2</f>
        <v>6.7689999999999992</v>
      </c>
      <c r="Z7" s="42">
        <f>IF(Tabelle18142038471732[[#This Row],[ceiling]]="c",Tabelle18142038471732[[#This Row],[Total Area size '[m^2']]],0)</f>
        <v>17.399999999999999</v>
      </c>
      <c r="AA7" s="42">
        <f>IF(Tabelle18142038471732[[#This Row],[floor]]="f",Tabelle18142038471732[[#This Row],[Total Area size '[m^2']]],0)</f>
        <v>17.399999999999999</v>
      </c>
      <c r="AB7" s="5"/>
      <c r="AC7" s="2">
        <v>0</v>
      </c>
      <c r="AD7" s="2">
        <v>1</v>
      </c>
      <c r="AE7" s="2">
        <v>0</v>
      </c>
      <c r="AF7" s="2">
        <v>0</v>
      </c>
      <c r="AG7" s="42">
        <f t="shared" si="5"/>
        <v>2.8</v>
      </c>
      <c r="AH7" s="3">
        <v>4.13</v>
      </c>
      <c r="AI7" s="44">
        <v>2.88</v>
      </c>
      <c r="AJ7" s="6">
        <v>0</v>
      </c>
      <c r="AK7" s="2">
        <v>0</v>
      </c>
      <c r="AL7" s="2">
        <v>1</v>
      </c>
      <c r="AM7" s="2">
        <v>0</v>
      </c>
      <c r="AN7" s="42">
        <f t="shared" si="6"/>
        <v>2.8</v>
      </c>
      <c r="AO7" s="2">
        <f>0.33+4.45+0.055</f>
        <v>4.835</v>
      </c>
      <c r="AP7" s="44">
        <v>0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Tabelle3101622510491934[[#This Row],[North]]*$AI7+AL7*$AP7+AS7*$AW7+AZ7*$BD7+BG7*$BK7</f>
        <v>0</v>
      </c>
      <c r="BO7" s="2">
        <f t="shared" si="12"/>
        <v>2.88</v>
      </c>
      <c r="BP7" s="2">
        <f t="shared" si="13"/>
        <v>0</v>
      </c>
      <c r="BQ7" s="2">
        <f t="shared" si="14"/>
        <v>0</v>
      </c>
      <c r="BR7" s="6">
        <f>Tabelle3101622510491934[[#This Row],[North]]*$AG7*$AH7+AL7*$AN7*$AO7+AS7*$AU7*$AV7+AZ7*$BB7*$BC7+BG7*$BI7*$BJ7-BN7</f>
        <v>13.537999999999998</v>
      </c>
      <c r="BS7" s="2">
        <f t="shared" si="15"/>
        <v>8.6839999999999975</v>
      </c>
      <c r="BT7" s="2">
        <f t="shared" si="16"/>
        <v>0</v>
      </c>
      <c r="BU7" s="7">
        <f t="shared" si="17"/>
        <v>0</v>
      </c>
      <c r="BV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7" s="2"/>
      <c r="BX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/>
      <c r="H8" s="40">
        <v>14.6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3.9</f>
        <v>3.9</v>
      </c>
      <c r="R8" s="40">
        <f>Tabelle5121824712512636[[#This Row],[Height]]*Tabelle5121824712512636[[#This Row],[Length]]</f>
        <v>10.92</v>
      </c>
      <c r="S8" s="42">
        <f t="shared" si="2"/>
        <v>2.8</v>
      </c>
      <c r="T8" s="3">
        <f>3.74+0.11</f>
        <v>3.85</v>
      </c>
      <c r="U8" s="40">
        <f>Tabelle5121824712512636[[#This Row],[Height2]]*Tabelle5121824712512636[[#This Row],[Length3]]</f>
        <v>10.78</v>
      </c>
      <c r="V8" s="42">
        <f t="shared" si="4"/>
        <v>2.8</v>
      </c>
      <c r="W8" s="3">
        <v>0</v>
      </c>
      <c r="X8" s="3">
        <f>(1-$BR$19)*Tabelle29152149481833[[#This Row],[North2]]+(1-$BS$19)*Tabelle29152149481833[[#This Row],[East2]]+(1-$BT$19)*Tabelle29152149481833[[#This Row],[South2]]+(1-$BU$19)*Tabelle29152149481833[[#This Row],[West2]]</f>
        <v>11.045999999999999</v>
      </c>
      <c r="Y8" s="40">
        <f>Tabelle5121824712512636[[#This Row],[Height22]]*Tabelle5121824712512636[[#This Row],[Length33]]+Tabelle5121824712512636[[#This Row],[Length332]]/2</f>
        <v>5.5229999999999997</v>
      </c>
      <c r="Z8" s="42">
        <f>IF(Tabelle18142038471732[[#This Row],[ceiling]]="c",Tabelle18142038471732[[#This Row],[Total Area size '[m^2']]],0)</f>
        <v>14.6</v>
      </c>
      <c r="AA8" s="42">
        <f>IF(Tabelle18142038471732[[#This Row],[floor]]="f",Tabelle18142038471732[[#This Row],[Total Area size '[m^2']]],0)</f>
        <v>14.6</v>
      </c>
      <c r="AB8" s="5"/>
      <c r="AC8" s="2">
        <v>0</v>
      </c>
      <c r="AD8" s="2">
        <v>0</v>
      </c>
      <c r="AE8" s="2">
        <v>1</v>
      </c>
      <c r="AF8" s="2">
        <v>0</v>
      </c>
      <c r="AG8" s="42">
        <f t="shared" si="5"/>
        <v>2.8</v>
      </c>
      <c r="AH8" s="2">
        <f>0.055+3.74+0.15</f>
        <v>3.9450000000000003</v>
      </c>
      <c r="AI8" s="44">
        <v>0</v>
      </c>
      <c r="AJ8" s="6">
        <v>0</v>
      </c>
      <c r="AK8" s="2">
        <v>0</v>
      </c>
      <c r="AL8" s="2">
        <v>0</v>
      </c>
      <c r="AM8" s="2">
        <v>1</v>
      </c>
      <c r="AN8" s="42">
        <f t="shared" si="6"/>
        <v>2.8</v>
      </c>
      <c r="AO8" s="2">
        <f>0.15+0.75+2.4+0.75+0.105</f>
        <v>4.1550000000000002</v>
      </c>
      <c r="AP8" s="44">
        <v>2.88</v>
      </c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Tabelle3101622510491934[[#This Row],[North]]*$AI8+AL8*$AP8+AS8*$AW8+AZ8*$BD8+BG8*$BK8</f>
        <v>0</v>
      </c>
      <c r="BO8" s="2">
        <f t="shared" si="12"/>
        <v>0</v>
      </c>
      <c r="BP8" s="2">
        <f t="shared" si="13"/>
        <v>0</v>
      </c>
      <c r="BQ8" s="2">
        <f t="shared" si="14"/>
        <v>2.88</v>
      </c>
      <c r="BR8" s="6">
        <f>Tabelle3101622510491934[[#This Row],[North]]*$AG8*$AH8+AL8*$AN8*$AO8+AS8*$AU8*$AV8+AZ8*$BB8*$BC8+BG8*$BI8*$BJ8-BN8</f>
        <v>11.045999999999999</v>
      </c>
      <c r="BS8" s="2">
        <f t="shared" si="15"/>
        <v>0</v>
      </c>
      <c r="BT8" s="2">
        <f t="shared" si="16"/>
        <v>0</v>
      </c>
      <c r="BU8" s="7">
        <f t="shared" si="17"/>
        <v>8.7540000000000013</v>
      </c>
      <c r="BV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8" s="2"/>
      <c r="BX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/>
      <c r="F9" s="2"/>
      <c r="G9" s="37" t="s">
        <v>107</v>
      </c>
      <c r="H9" s="40">
        <v>16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3.9</v>
      </c>
      <c r="R9" s="40">
        <f>Tabelle5121824712512636[[#This Row],[Height]]*Tabelle5121824712512636[[#This Row],[Length]]</f>
        <v>10.92</v>
      </c>
      <c r="S9" s="42">
        <f t="shared" si="2"/>
        <v>2.8</v>
      </c>
      <c r="T9" s="3">
        <f>4.99+0.11</f>
        <v>5.1000000000000005</v>
      </c>
      <c r="U9" s="40">
        <f>Tabelle5121824712512636[[#This Row],[Height2]]*Tabelle5121824712512636[[#This Row],[Length3]]</f>
        <v>14.280000000000001</v>
      </c>
      <c r="V9" s="42">
        <f t="shared" si="4"/>
        <v>2.8</v>
      </c>
      <c r="W9" s="3">
        <v>0</v>
      </c>
      <c r="X9" s="3">
        <f>(1-$BR$19)*Tabelle29152149481833[[#This Row],[North2]]+(1-$BS$19)*Tabelle29152149481833[[#This Row],[East2]]+(1-$BT$19)*Tabelle29152149481833[[#This Row],[South2]]+(1-$BU$19)*Tabelle29152149481833[[#This Row],[West2]]</f>
        <v>15.049999999999999</v>
      </c>
      <c r="Y9" s="40">
        <f>Tabelle5121824712512636[[#This Row],[Height22]]*Tabelle5121824712512636[[#This Row],[Length33]]+Tabelle5121824712512636[[#This Row],[Length332]]/2</f>
        <v>7.5249999999999995</v>
      </c>
      <c r="Z9" s="42">
        <f>IF(Tabelle18142038471732[[#This Row],[ceiling]]="c",Tabelle18142038471732[[#This Row],[Total Area size '[m^2']]],0)</f>
        <v>0</v>
      </c>
      <c r="AA9" s="42">
        <f>IF(Tabelle18142038471732[[#This Row],[floor]]="f",Tabelle18142038471732[[#This Row],[Total Area size '[m^2']]],0)</f>
        <v>16</v>
      </c>
      <c r="AB9" s="5"/>
      <c r="AC9" s="2">
        <v>0</v>
      </c>
      <c r="AD9" s="2">
        <v>0</v>
      </c>
      <c r="AE9" s="2">
        <v>1</v>
      </c>
      <c r="AF9" s="2">
        <v>0</v>
      </c>
      <c r="AG9" s="42">
        <f t="shared" si="5"/>
        <v>2.8</v>
      </c>
      <c r="AH9" s="2">
        <f>0.055+4.99+0.33</f>
        <v>5.375</v>
      </c>
      <c r="AI9" s="44">
        <v>0</v>
      </c>
      <c r="AJ9" s="6">
        <v>0</v>
      </c>
      <c r="AK9" s="2">
        <v>0</v>
      </c>
      <c r="AL9" s="2">
        <v>0</v>
      </c>
      <c r="AM9" s="2">
        <v>1</v>
      </c>
      <c r="AN9" s="42">
        <f t="shared" si="6"/>
        <v>2.8</v>
      </c>
      <c r="AO9" s="2">
        <f>0.15+0.59+2.4+0.91+0.08</f>
        <v>4.13</v>
      </c>
      <c r="AP9" s="44">
        <v>2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Tabelle3101622510491934[[#This Row],[North]]*$AI9+AL9*$AP9+AS9*$AW9+AZ9*$BD9+BG9*$BK9</f>
        <v>0</v>
      </c>
      <c r="BO9" s="2">
        <f t="shared" si="12"/>
        <v>0</v>
      </c>
      <c r="BP9" s="2">
        <f t="shared" si="13"/>
        <v>0</v>
      </c>
      <c r="BQ9" s="2">
        <f t="shared" si="14"/>
        <v>2</v>
      </c>
      <c r="BR9" s="6">
        <f>Tabelle3101622510491934[[#This Row],[North]]*$AG9*$AH9+AL9*$AN9*$AO9+AS9*$AU9*$AV9+AZ9*$BB9*$BC9+BG9*$BI9*$BJ9-BN9</f>
        <v>15.049999999999999</v>
      </c>
      <c r="BS9" s="2">
        <f t="shared" si="15"/>
        <v>0</v>
      </c>
      <c r="BT9" s="2">
        <f t="shared" si="16"/>
        <v>0</v>
      </c>
      <c r="BU9" s="7">
        <f t="shared" si="17"/>
        <v>9.5639999999999983</v>
      </c>
      <c r="BV9" s="2">
        <f>IF(Tabelle1814203847[[#This Row],[(g)round/(r )oof2]]="R",Tabelle1814203847[[#This Row],[Total Area size '[m^2']]],IF(Tabelle1814203847[[#This Row],[(g)round/(r )oof2]]="B",Tabelle1814203847[[#This Row],[Total Area size '[m^2']]],0))</f>
        <v>16</v>
      </c>
      <c r="BW9" s="2"/>
      <c r="BX9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/>
      <c r="H10" s="40">
        <v>6.3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v>3.3</v>
      </c>
      <c r="R10" s="40">
        <f>Tabelle5121824712512636[[#This Row],[Height]]*Tabelle5121824712512636[[#This Row],[Length]]</f>
        <v>9.2399999999999984</v>
      </c>
      <c r="S10" s="42">
        <f t="shared" si="2"/>
        <v>2.8</v>
      </c>
      <c r="T10" s="3">
        <v>1.9</v>
      </c>
      <c r="U10" s="40">
        <f>Tabelle5121824712512636[[#This Row],[Height2]]*Tabelle5121824712512636[[#This Row],[Length3]]</f>
        <v>5.3199999999999994</v>
      </c>
      <c r="V10" s="42">
        <f t="shared" si="4"/>
        <v>2.8</v>
      </c>
      <c r="W10" s="3">
        <v>0</v>
      </c>
      <c r="X10" s="3">
        <f>(1-$BR$19)*Tabelle29152149481833[[#This Row],[North2]]+(1-$BS$19)*Tabelle29152149481833[[#This Row],[East2]]+(1-$BT$19)*Tabelle29152149481833[[#This Row],[South2]]+(1-$BU$19)*Tabelle29152149481833[[#This Row],[West2]]</f>
        <v>10.318</v>
      </c>
      <c r="Y10" s="40">
        <f>Tabelle5121824712512636[[#This Row],[Height22]]*Tabelle5121824712512636[[#This Row],[Length33]]+Tabelle5121824712512636[[#This Row],[Length332]]/2</f>
        <v>5.1589999999999998</v>
      </c>
      <c r="Z10" s="42">
        <f>IF(Tabelle18142038471732[[#This Row],[ceiling]]="c",Tabelle18142038471732[[#This Row],[Total Area size '[m^2']]],0)</f>
        <v>6.3</v>
      </c>
      <c r="AA10" s="42">
        <f>IF(Tabelle18142038471732[[#This Row],[floor]]="f",Tabelle18142038471732[[#This Row],[Total Area size '[m^2']]],0)</f>
        <v>6.3</v>
      </c>
      <c r="AB10" s="5"/>
      <c r="AC10" s="2">
        <v>0</v>
      </c>
      <c r="AD10" s="2">
        <v>1</v>
      </c>
      <c r="AE10" s="2">
        <v>0</v>
      </c>
      <c r="AF10" s="2">
        <v>0</v>
      </c>
      <c r="AG10" s="42">
        <f t="shared" si="5"/>
        <v>2.8</v>
      </c>
      <c r="AH10" s="2">
        <v>2.13</v>
      </c>
      <c r="AI10" s="44">
        <v>0.96</v>
      </c>
      <c r="AJ10" s="6">
        <v>1</v>
      </c>
      <c r="AK10" s="2">
        <v>0</v>
      </c>
      <c r="AL10" s="3">
        <v>0</v>
      </c>
      <c r="AM10" s="2">
        <v>0</v>
      </c>
      <c r="AN10" s="42">
        <f t="shared" si="6"/>
        <v>2.8</v>
      </c>
      <c r="AO10" s="3">
        <v>3.6850000000000001</v>
      </c>
      <c r="AP10" s="44">
        <v>0</v>
      </c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Tabelle3101622510491934[[#This Row],[North]]*$AI10+AL10*$AP10+AS10*$AW10+AZ10*$BD10+BG10*$BK10</f>
        <v>0</v>
      </c>
      <c r="BO10" s="2">
        <f t="shared" si="12"/>
        <v>0.96</v>
      </c>
      <c r="BP10" s="2">
        <f t="shared" si="13"/>
        <v>0</v>
      </c>
      <c r="BQ10" s="2">
        <f t="shared" si="14"/>
        <v>0</v>
      </c>
      <c r="BR10" s="6">
        <f>Tabelle3101622510491934[[#This Row],[North]]*$AG10*$AH10+AL10*$AN10*$AO10+AS10*$AU10*$AV10+AZ10*$BB10*$BC10+BG10*$BI10*$BJ10-BN10</f>
        <v>0</v>
      </c>
      <c r="BS10" s="2">
        <f t="shared" si="15"/>
        <v>5.0039999999999996</v>
      </c>
      <c r="BT10" s="2">
        <f t="shared" si="16"/>
        <v>10.318</v>
      </c>
      <c r="BU10" s="7">
        <f t="shared" si="17"/>
        <v>0</v>
      </c>
      <c r="BV10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0" s="2"/>
      <c r="BX10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1" spans="1:77" x14ac:dyDescent="0.25">
      <c r="A11" s="40">
        <v>7</v>
      </c>
      <c r="B11" s="2" t="s">
        <v>99</v>
      </c>
      <c r="C11" s="2" t="s">
        <v>10</v>
      </c>
      <c r="D11" s="2"/>
      <c r="E11" s="37" t="s">
        <v>112</v>
      </c>
      <c r="F11" s="2"/>
      <c r="G11" s="37" t="s">
        <v>106</v>
      </c>
      <c r="H11" s="40">
        <v>1.7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1.9</f>
        <v>1.9</v>
      </c>
      <c r="R11" s="40">
        <f>Tabelle5121824712512636[[#This Row],[Height]]*Tabelle5121824712512636[[#This Row],[Length]]</f>
        <v>5.3199999999999994</v>
      </c>
      <c r="S11" s="42">
        <f t="shared" si="2"/>
        <v>2.8</v>
      </c>
      <c r="T11" s="3">
        <v>0</v>
      </c>
      <c r="U11" s="40">
        <f>Tabelle5121824712512636[[#This Row],[Height2]]*Tabelle5121824712512636[[#This Row],[Length3]]</f>
        <v>0</v>
      </c>
      <c r="V11" s="42">
        <f t="shared" si="4"/>
        <v>2.8</v>
      </c>
      <c r="W11" s="3">
        <v>0</v>
      </c>
      <c r="X11" s="3">
        <f>(1-$BR$19)*Tabelle29152149481833[[#This Row],[North2]]+(1-$BS$19)*Tabelle29152149481833[[#This Row],[East2]]+(1-$BT$19)*Tabelle29152149481833[[#This Row],[South2]]+(1-$BU$19)*Tabelle29152149481833[[#This Row],[West2]]</f>
        <v>2.8279999999999998</v>
      </c>
      <c r="Y11" s="40">
        <f>Tabelle5121824712512636[[#This Row],[Height22]]*Tabelle5121824712512636[[#This Row],[Length33]]+Tabelle5121824712512636[[#This Row],[Length332]]/2</f>
        <v>1.4139999999999999</v>
      </c>
      <c r="Z11" s="42">
        <f>IF(Tabelle18142038471732[[#This Row],[ceiling]]="c",Tabelle18142038471732[[#This Row],[Total Area size '[m^2']]],0)</f>
        <v>1.7</v>
      </c>
      <c r="AA11" s="42">
        <f>IF(Tabelle18142038471732[[#This Row],[floor]]="f",Tabelle18142038471732[[#This Row],[Total Area size '[m^2']]],0)</f>
        <v>0</v>
      </c>
      <c r="AB11" s="5"/>
      <c r="AC11" s="2">
        <v>1</v>
      </c>
      <c r="AD11" s="2">
        <v>0</v>
      </c>
      <c r="AE11" s="2">
        <v>0</v>
      </c>
      <c r="AF11" s="2">
        <v>0</v>
      </c>
      <c r="AG11" s="42">
        <f t="shared" si="5"/>
        <v>2.8</v>
      </c>
      <c r="AH11" s="2">
        <v>1.01</v>
      </c>
      <c r="AI11" s="44">
        <v>0</v>
      </c>
      <c r="AJ11" s="6"/>
      <c r="AK11" s="2"/>
      <c r="AL11" s="2"/>
      <c r="AM11" s="2"/>
      <c r="AN11" s="42">
        <f t="shared" si="6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Tabelle3101622510491934[[#This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Tabelle3101622510491934[[#This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2.8279999999999998</v>
      </c>
      <c r="BU11" s="7">
        <f t="shared" si="17"/>
        <v>0</v>
      </c>
      <c r="BV11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1" s="2"/>
      <c r="BX11" s="2">
        <f>IF(Tabelle1814203847[[#This Row],[(g)round/(r )oof2]]="G",Tabelle1814203847[[#This Row],[Total Area size '[m^2']]],IF(Tabelle1814203847[[#This Row],[(g)round/(r )oof2]]="B",Tabelle1814203847[[#This Row],[Total Area size '[m^2']]],0))</f>
        <v>1.7</v>
      </c>
    </row>
    <row r="12" spans="1:77" x14ac:dyDescent="0.25">
      <c r="A12" s="40">
        <v>8</v>
      </c>
      <c r="B12" s="2" t="s">
        <v>108</v>
      </c>
      <c r="C12" s="2" t="s">
        <v>10</v>
      </c>
      <c r="D12" s="2"/>
      <c r="E12" s="37" t="s">
        <v>112</v>
      </c>
      <c r="F12" s="2"/>
      <c r="G12" s="37" t="s">
        <v>106</v>
      </c>
      <c r="H12" s="40">
        <v>6.93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v>1.9</v>
      </c>
      <c r="R12" s="40">
        <f>Tabelle5121824712512636[[#This Row],[Height]]*Tabelle5121824712512636[[#This Row],[Length]]</f>
        <v>5.3199999999999994</v>
      </c>
      <c r="S12" s="42">
        <f t="shared" si="2"/>
        <v>2.8</v>
      </c>
      <c r="T12" s="3">
        <v>0</v>
      </c>
      <c r="U12" s="40">
        <f>Tabelle5121824712512636[[#This Row],[Height2]]*Tabelle5121824712512636[[#This Row],[Length3]]</f>
        <v>0</v>
      </c>
      <c r="V12" s="42">
        <f t="shared" si="4"/>
        <v>2.8</v>
      </c>
      <c r="W12" s="3">
        <v>0</v>
      </c>
      <c r="X12" s="3">
        <f>(1-$BR$19)*Tabelle29152149481833[[#This Row],[North2]]+(1-$BS$19)*Tabelle29152149481833[[#This Row],[East2]]+(1-$BT$19)*Tabelle29152149481833[[#This Row],[South2]]+(1-$BU$19)*Tabelle29152149481833[[#This Row],[West2]]</f>
        <v>11.941999999999998</v>
      </c>
      <c r="Y12" s="40">
        <f>Tabelle5121824712512636[[#This Row],[Height22]]*Tabelle5121824712512636[[#This Row],[Length33]]+Tabelle5121824712512636[[#This Row],[Length332]]/2</f>
        <v>5.9709999999999992</v>
      </c>
      <c r="Z12" s="42">
        <f>IF(Tabelle18142038471732[[#This Row],[ceiling]]="c",Tabelle18142038471732[[#This Row],[Total Area size '[m^2']]],0)</f>
        <v>6.93</v>
      </c>
      <c r="AA12" s="42">
        <f>IF(Tabelle18142038471732[[#This Row],[floor]]="f",Tabelle18142038471732[[#This Row],[Total Area size '[m^2']]],0)</f>
        <v>0</v>
      </c>
      <c r="AB12" s="5"/>
      <c r="AC12" s="2">
        <v>0</v>
      </c>
      <c r="AD12" s="2">
        <v>0</v>
      </c>
      <c r="AE12" s="2">
        <v>0</v>
      </c>
      <c r="AF12" s="2">
        <v>1</v>
      </c>
      <c r="AG12" s="42">
        <f t="shared" si="5"/>
        <v>2.8</v>
      </c>
      <c r="AH12" s="2">
        <f>0.15+0.95+0.9</f>
        <v>2</v>
      </c>
      <c r="AI12" s="44">
        <v>0</v>
      </c>
      <c r="AJ12" s="6">
        <v>1</v>
      </c>
      <c r="AK12" s="2">
        <v>0</v>
      </c>
      <c r="AL12" s="2">
        <v>0</v>
      </c>
      <c r="AM12" s="2">
        <v>0</v>
      </c>
      <c r="AN12" s="42">
        <f t="shared" si="6"/>
        <v>2.8</v>
      </c>
      <c r="AO12" s="2">
        <f>4.265</f>
        <v>4.2649999999999997</v>
      </c>
      <c r="AP12" s="44">
        <v>0</v>
      </c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Tabelle3101622510491934[[#This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Tabelle3101622510491934[[#This Row],[North]]*$AG12*$AH12+AL12*$AN12*$AO12+AS12*$AU12*$AV12+AZ12*$BB12*$BC12+BG12*$BI12*$BJ12-BN12</f>
        <v>0</v>
      </c>
      <c r="BS12" s="2">
        <f t="shared" si="15"/>
        <v>0</v>
      </c>
      <c r="BT12" s="2">
        <f t="shared" si="16"/>
        <v>11.941999999999998</v>
      </c>
      <c r="BU12" s="7">
        <f t="shared" si="17"/>
        <v>5.6</v>
      </c>
      <c r="BV12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2" s="2"/>
      <c r="BX12" s="2">
        <f>IF(Tabelle1814203847[[#This Row],[(g)round/(r )oof2]]="G",Tabelle1814203847[[#This Row],[Total Area size '[m^2']]],IF(Tabelle1814203847[[#This Row],[(g)round/(r )oof2]]="B",Tabelle1814203847[[#This Row],[Total Area size '[m^2']]],0))</f>
        <v>6.93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/>
      <c r="F13" s="2"/>
      <c r="G13" s="37" t="s">
        <v>107</v>
      </c>
      <c r="H13" s="40">
        <v>2.2000000000000002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v>1.9</v>
      </c>
      <c r="R13" s="40">
        <f>Tabelle5121824712512636[[#This Row],[Height]]*Tabelle5121824712512636[[#This Row],[Length]]</f>
        <v>5.3199999999999994</v>
      </c>
      <c r="S13" s="42">
        <f t="shared" si="2"/>
        <v>2.8</v>
      </c>
      <c r="T13" s="33">
        <v>0</v>
      </c>
      <c r="U13" s="40">
        <f>Tabelle5121824712512636[[#This Row],[Height2]]*Tabelle5121824712512636[[#This Row],[Length3]]</f>
        <v>0</v>
      </c>
      <c r="V13" s="42">
        <f t="shared" si="4"/>
        <v>2.8</v>
      </c>
      <c r="W13" s="3">
        <v>0</v>
      </c>
      <c r="X13" s="3">
        <f>(1-$BR$19)*Tabelle29152149481833[[#This Row],[North2]]+(1-$BS$19)*Tabelle29152149481833[[#This Row],[East2]]+(1-$BT$19)*Tabelle29152149481833[[#This Row],[South2]]+(1-$BU$19)*Tabelle29152149481833[[#This Row],[West2]]</f>
        <v>6.8179999999999996</v>
      </c>
      <c r="Y13" s="40">
        <f>Tabelle5121824712512636[[#This Row],[Height22]]*Tabelle5121824712512636[[#This Row],[Length33]]+Tabelle5121824712512636[[#This Row],[Length332]]/2</f>
        <v>3.4089999999999998</v>
      </c>
      <c r="Z13" s="42">
        <f>IF(Tabelle18142038471732[[#This Row],[ceiling]]="c",Tabelle18142038471732[[#This Row],[Total Area size '[m^2']]],0)</f>
        <v>0</v>
      </c>
      <c r="AA13" s="42">
        <f>IF(Tabelle18142038471732[[#This Row],[floor]]="f",Tabelle18142038471732[[#This Row],[Total Area size '[m^2']]],0)</f>
        <v>2.2000000000000002</v>
      </c>
      <c r="AB13" s="5"/>
      <c r="AC13" s="2">
        <v>0</v>
      </c>
      <c r="AD13" s="2">
        <v>1</v>
      </c>
      <c r="AE13" s="2">
        <v>0</v>
      </c>
      <c r="AF13" s="2">
        <v>0</v>
      </c>
      <c r="AG13" s="42">
        <f t="shared" si="5"/>
        <v>2.8</v>
      </c>
      <c r="AH13" s="2">
        <f>0.15+1.9+0.08</f>
        <v>2.13</v>
      </c>
      <c r="AI13" s="44">
        <v>1</v>
      </c>
      <c r="AJ13" s="6">
        <v>1</v>
      </c>
      <c r="AK13" s="2">
        <v>0</v>
      </c>
      <c r="AL13" s="2">
        <v>0</v>
      </c>
      <c r="AM13" s="2">
        <v>0</v>
      </c>
      <c r="AN13" s="42">
        <f t="shared" si="6"/>
        <v>2.8</v>
      </c>
      <c r="AO13" s="2">
        <f>0.33+2.05+0.055</f>
        <v>2.4350000000000001</v>
      </c>
      <c r="AP13" s="44">
        <v>0</v>
      </c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Tabelle3101622510491934[[#This Row],[North]]*$AI13+AL13*$AP13+AS13*$AW13+AZ13*$BD13+BG13*$BK13</f>
        <v>0</v>
      </c>
      <c r="BO13" s="2">
        <f t="shared" si="12"/>
        <v>1</v>
      </c>
      <c r="BP13" s="2">
        <f t="shared" si="13"/>
        <v>0</v>
      </c>
      <c r="BQ13" s="2">
        <f t="shared" si="14"/>
        <v>0</v>
      </c>
      <c r="BR13" s="6">
        <f>Tabelle3101622510491934[[#This Row],[North]]*$AG13*$AH13+AL13*$AN13*$AO13+AS13*$AU13*$AV13+AZ13*$BB13*$BC13+BG13*$BI13*$BJ13-BN13</f>
        <v>0</v>
      </c>
      <c r="BS13" s="2">
        <f t="shared" si="15"/>
        <v>4.9639999999999995</v>
      </c>
      <c r="BT13" s="2">
        <f t="shared" si="16"/>
        <v>6.8179999999999996</v>
      </c>
      <c r="BU13" s="7">
        <f t="shared" si="17"/>
        <v>0</v>
      </c>
      <c r="BV13" s="2">
        <f>IF(Tabelle1814203847[[#This Row],[(g)round/(r )oof2]]="R",Tabelle1814203847[[#This Row],[Total Area size '[m^2']]],IF(Tabelle1814203847[[#This Row],[(g)round/(r )oof2]]="B",Tabelle1814203847[[#This Row],[Total Area size '[m^2']]],0))</f>
        <v>2.2000000000000002</v>
      </c>
      <c r="BW13" s="2"/>
      <c r="BX13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4" spans="1:77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112</v>
      </c>
      <c r="F14" s="2"/>
      <c r="G14" s="37"/>
      <c r="H14" s="40">
        <v>6.93</v>
      </c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>
        <v>0</v>
      </c>
      <c r="R14" s="40">
        <f>Tabelle5121824712512636[[#This Row],[Height]]*Tabelle5121824712512636[[#This Row],[Length]]</f>
        <v>0</v>
      </c>
      <c r="S14" s="42">
        <f t="shared" si="2"/>
        <v>2.8</v>
      </c>
      <c r="T14" s="3">
        <v>0</v>
      </c>
      <c r="U14" s="40">
        <f>Tabelle5121824712512636[[#This Row],[Height2]]*Tabelle5121824712512636[[#This Row],[Length3]]</f>
        <v>0</v>
      </c>
      <c r="V14" s="42">
        <f t="shared" si="4"/>
        <v>2.8</v>
      </c>
      <c r="W14" s="3">
        <v>0</v>
      </c>
      <c r="X14" s="3">
        <f>(1-$BR$19)*Tabelle29152149481833[[#This Row],[North2]]+(1-$BS$19)*Tabelle29152149481833[[#This Row],[East2]]+(1-$BT$19)*Tabelle29152149481833[[#This Row],[South2]]+(1-$BU$19)*Tabelle29152149481833[[#This Row],[West2]]</f>
        <v>14.77</v>
      </c>
      <c r="Y14" s="40">
        <f>Tabelle5121824712512636[[#This Row],[Height22]]*Tabelle5121824712512636[[#This Row],[Length33]]+Tabelle5121824712512636[[#This Row],[Length332]]/2</f>
        <v>7.3849999999999998</v>
      </c>
      <c r="Z14" s="42">
        <f>IF(Tabelle18142038471732[[#This Row],[ceiling]]="c",Tabelle18142038471732[[#This Row],[Total Area size '[m^2']]],0)</f>
        <v>6.93</v>
      </c>
      <c r="AA14" s="42">
        <f>IF(Tabelle18142038471732[[#This Row],[floor]]="f",Tabelle18142038471732[[#This Row],[Total Area size '[m^2']]],0)</f>
        <v>6.93</v>
      </c>
      <c r="AB14" s="5"/>
      <c r="AC14" s="2">
        <v>0</v>
      </c>
      <c r="AD14" s="2">
        <v>0</v>
      </c>
      <c r="AE14" s="2">
        <v>0</v>
      </c>
      <c r="AF14" s="2">
        <v>1</v>
      </c>
      <c r="AG14" s="42">
        <f t="shared" si="5"/>
        <v>2.8</v>
      </c>
      <c r="AH14" s="2">
        <f>0.15+0.95+0.9</f>
        <v>2</v>
      </c>
      <c r="AI14" s="44">
        <v>1.08</v>
      </c>
      <c r="AJ14" s="6">
        <v>1</v>
      </c>
      <c r="AK14" s="2">
        <v>0</v>
      </c>
      <c r="AL14" s="2">
        <v>0</v>
      </c>
      <c r="AM14" s="2">
        <v>0</v>
      </c>
      <c r="AN14" s="42">
        <f t="shared" si="6"/>
        <v>2.8</v>
      </c>
      <c r="AO14" s="2">
        <f>5.275</f>
        <v>5.2750000000000004</v>
      </c>
      <c r="AP14" s="44">
        <v>0</v>
      </c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Tabelle3101622510491934[[#This Row],[North]]*$AI14+AL14*$AP14+AS14*$AW14+AZ14*$BD14+BG14*$BK14</f>
        <v>0</v>
      </c>
      <c r="BO14" s="2">
        <f t="shared" si="12"/>
        <v>0</v>
      </c>
      <c r="BP14" s="2">
        <f t="shared" si="13"/>
        <v>0</v>
      </c>
      <c r="BQ14" s="2">
        <f t="shared" si="14"/>
        <v>1.08</v>
      </c>
      <c r="BR14" s="6">
        <f>Tabelle3101622510491934[[#This Row],[North]]*$AG14*$AH14+AL14*$AN14*$AO14+AS14*$AU14*$AV14+AZ14*$BB14*$BC14+BG14*$BI14*$BJ14-BN14</f>
        <v>0</v>
      </c>
      <c r="BS14" s="2">
        <f t="shared" si="15"/>
        <v>0</v>
      </c>
      <c r="BT14" s="2">
        <f t="shared" si="16"/>
        <v>14.77</v>
      </c>
      <c r="BU14" s="7">
        <f t="shared" si="17"/>
        <v>4.5199999999999996</v>
      </c>
      <c r="BV14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4" s="2"/>
      <c r="BX14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5" spans="1:77" x14ac:dyDescent="0.25">
      <c r="A15" s="40">
        <v>11</v>
      </c>
      <c r="B15" s="2" t="s">
        <v>97</v>
      </c>
      <c r="C15" s="2" t="s">
        <v>101</v>
      </c>
      <c r="D15" s="2" t="s">
        <v>113</v>
      </c>
      <c r="E15" s="37"/>
      <c r="F15" s="2"/>
      <c r="G15" s="2" t="s">
        <v>107</v>
      </c>
      <c r="H15" s="40">
        <v>9</v>
      </c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>
        <f>3.9+2.05</f>
        <v>5.9499999999999993</v>
      </c>
      <c r="R15" s="40">
        <f>Tabelle5121824712512636[[#This Row],[Height]]*Tabelle5121824712512636[[#This Row],[Length]]</f>
        <v>16.659999999999997</v>
      </c>
      <c r="S15" s="42">
        <f t="shared" si="2"/>
        <v>2.8</v>
      </c>
      <c r="T15" s="3">
        <v>1.04</v>
      </c>
      <c r="U15" s="40">
        <f>Tabelle5121824712512636[[#This Row],[Height2]]*Tabelle5121824712512636[[#This Row],[Length3]]</f>
        <v>2.9119999999999999</v>
      </c>
      <c r="V15" s="42">
        <f t="shared" si="4"/>
        <v>2.8</v>
      </c>
      <c r="W15" s="3">
        <v>0</v>
      </c>
      <c r="X15" s="3">
        <f>(1-$BR$19)*Tabelle29152149481833[[#This Row],[North2]]+(1-$BS$19)*Tabelle29152149481833[[#This Row],[East2]]+(1-$BT$19)*Tabelle29152149481833[[#This Row],[South2]]+(1-$BU$19)*Tabelle29152149481833[[#This Row],[West2]]</f>
        <v>10.038</v>
      </c>
      <c r="Y15" s="40">
        <f>Tabelle5121824712512636[[#This Row],[Height22]]*Tabelle5121824712512636[[#This Row],[Length33]]+Tabelle5121824712512636[[#This Row],[Length332]]/2</f>
        <v>5.0190000000000001</v>
      </c>
      <c r="Z15" s="42">
        <f>IF(Tabelle18142038471732[[#This Row],[ceiling]]="c",Tabelle18142038471732[[#This Row],[Total Area size '[m^2']]],0)</f>
        <v>0</v>
      </c>
      <c r="AA15" s="42">
        <f>IF(Tabelle18142038471732[[#This Row],[floor]]="f",Tabelle18142038471732[[#This Row],[Total Area size '[m^2']]],0)</f>
        <v>9</v>
      </c>
      <c r="AB15" s="5"/>
      <c r="AC15" s="2">
        <v>0</v>
      </c>
      <c r="AD15" s="2">
        <v>1</v>
      </c>
      <c r="AE15" s="2">
        <v>0</v>
      </c>
      <c r="AF15" s="2">
        <v>0</v>
      </c>
      <c r="AG15" s="42">
        <f t="shared" si="5"/>
        <v>2.8</v>
      </c>
      <c r="AH15" s="2">
        <f>0.15+0.59+2.4+0.91+0.08</f>
        <v>4.13</v>
      </c>
      <c r="AI15" s="44">
        <v>2</v>
      </c>
      <c r="AJ15" s="6">
        <v>0</v>
      </c>
      <c r="AK15" s="2">
        <v>0</v>
      </c>
      <c r="AL15" s="2">
        <v>1</v>
      </c>
      <c r="AM15" s="2">
        <v>0</v>
      </c>
      <c r="AN15" s="42">
        <f t="shared" si="6"/>
        <v>2.8</v>
      </c>
      <c r="AO15" s="2">
        <f>0.33+3.2+0.055</f>
        <v>3.5850000000000004</v>
      </c>
      <c r="AP15" s="44">
        <v>0</v>
      </c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Tabelle3101622510491934[[#This Row],[North]]*$AI15+AL15*$AP15+AS15*$AW15+AZ15*$BD15+BG15*$BK15</f>
        <v>0</v>
      </c>
      <c r="BO15" s="2">
        <f t="shared" si="12"/>
        <v>2</v>
      </c>
      <c r="BP15" s="2">
        <f t="shared" si="13"/>
        <v>0</v>
      </c>
      <c r="BQ15" s="2">
        <f t="shared" si="14"/>
        <v>0</v>
      </c>
      <c r="BR15" s="6">
        <f>Tabelle3101622510491934[[#This Row],[North]]*$AG15*$AH15+AL15*$AN15*$AO15+AS15*$AU15*$AV15+AZ15*$BB15*$BC15+BG15*$BI15*$BJ15-BN15</f>
        <v>10.038</v>
      </c>
      <c r="BS15" s="2">
        <f t="shared" si="15"/>
        <v>9.5639999999999983</v>
      </c>
      <c r="BT15" s="2">
        <f t="shared" si="16"/>
        <v>0</v>
      </c>
      <c r="BU15" s="7">
        <f t="shared" si="17"/>
        <v>0</v>
      </c>
      <c r="BV15" s="2">
        <f>IF(Tabelle1814203847[[#This Row],[(g)round/(r )oof2]]="R",Tabelle1814203847[[#This Row],[Total Area size '[m^2']]],IF(Tabelle1814203847[[#This Row],[(g)round/(r )oof2]]="B",Tabelle1814203847[[#This Row],[Total Area size '[m^2']]],0))</f>
        <v>9</v>
      </c>
      <c r="BW15" s="2"/>
      <c r="BX15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6" spans="1:77" x14ac:dyDescent="0.25">
      <c r="A16" s="40">
        <v>12</v>
      </c>
      <c r="B16" s="2" t="s">
        <v>122</v>
      </c>
      <c r="C16" s="2" t="s">
        <v>10</v>
      </c>
      <c r="D16" s="2" t="s">
        <v>113</v>
      </c>
      <c r="E16" s="2"/>
      <c r="F16" s="2"/>
      <c r="G16" s="2" t="s">
        <v>107</v>
      </c>
      <c r="H16" s="40">
        <v>6.93</v>
      </c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>
        <v>1.9</v>
      </c>
      <c r="R16" s="40">
        <f>Tabelle5121824712512636[[#This Row],[Height]]*Tabelle5121824712512636[[#This Row],[Length]]</f>
        <v>5.3199999999999994</v>
      </c>
      <c r="S16" s="42">
        <f t="shared" si="2"/>
        <v>2.8</v>
      </c>
      <c r="T16" s="3">
        <v>0</v>
      </c>
      <c r="U16" s="40">
        <f>Tabelle5121824712512636[[#This Row],[Height2]]*Tabelle5121824712512636[[#This Row],[Length3]]</f>
        <v>0</v>
      </c>
      <c r="V16" s="42">
        <f t="shared" si="4"/>
        <v>2.8</v>
      </c>
      <c r="W16" s="3">
        <v>0</v>
      </c>
      <c r="X16" s="3">
        <f>(1-$BR$19)*Tabelle29152149481833[[#This Row],[North2]]+(1-$BS$19)*Tabelle29152149481833[[#This Row],[East2]]+(1-$BT$19)*Tabelle29152149481833[[#This Row],[South2]]+(1-$BU$19)*Tabelle29152149481833[[#This Row],[West2]]</f>
        <v>18.269999999999996</v>
      </c>
      <c r="Y16" s="40">
        <f>Tabelle5121824712512636[[#This Row],[Height22]]*Tabelle5121824712512636[[#This Row],[Length33]]+Tabelle5121824712512636[[#This Row],[Length332]]/2</f>
        <v>9.134999999999998</v>
      </c>
      <c r="Z16" s="42">
        <f>IF(Tabelle18142038471732[[#This Row],[ceiling]]="c",Tabelle18142038471732[[#This Row],[Total Area size '[m^2']]],0)</f>
        <v>0</v>
      </c>
      <c r="AA16" s="42">
        <f>IF(Tabelle18142038471732[[#This Row],[floor]]="f",Tabelle18142038471732[[#This Row],[Total Area size '[m^2']]],0)</f>
        <v>6.93</v>
      </c>
      <c r="AB16" s="5"/>
      <c r="AC16" s="2">
        <v>0</v>
      </c>
      <c r="AD16" s="2">
        <v>0</v>
      </c>
      <c r="AE16" s="2">
        <v>0</v>
      </c>
      <c r="AF16" s="2">
        <v>1</v>
      </c>
      <c r="AG16" s="42">
        <f t="shared" si="5"/>
        <v>2.8</v>
      </c>
      <c r="AH16" s="3">
        <f>0.15+1.9+0.08</f>
        <v>2.13</v>
      </c>
      <c r="AI16" s="44">
        <v>1</v>
      </c>
      <c r="AJ16" s="6">
        <v>1</v>
      </c>
      <c r="AK16" s="2">
        <v>0</v>
      </c>
      <c r="AL16" s="2">
        <v>0</v>
      </c>
      <c r="AM16" s="2">
        <v>0</v>
      </c>
      <c r="AN16" s="42">
        <f t="shared" si="6"/>
        <v>2.8</v>
      </c>
      <c r="AO16" s="2">
        <f>0.33+6.14+0.055</f>
        <v>6.5249999999999995</v>
      </c>
      <c r="AP16" s="44">
        <v>0</v>
      </c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Tabelle3101622510491934[[#This Row],[North]]*$AI16+AL16*$AP16+AS16*$AW16+AZ16*$BD16+BG16*$BK16</f>
        <v>0</v>
      </c>
      <c r="BO16" s="2">
        <f t="shared" si="12"/>
        <v>0</v>
      </c>
      <c r="BP16" s="2">
        <f t="shared" si="13"/>
        <v>0</v>
      </c>
      <c r="BQ16" s="2">
        <f t="shared" si="14"/>
        <v>1</v>
      </c>
      <c r="BR16" s="6">
        <f>Tabelle3101622510491934[[#This Row],[North]]*$AG16*$AH16+AL16*$AN16*$AO16+AS16*$AU16*$AV16+AZ16*$BB16*$BC16+BG16*$BI16*$BJ16-BN16</f>
        <v>0</v>
      </c>
      <c r="BS16" s="2">
        <f t="shared" si="15"/>
        <v>0</v>
      </c>
      <c r="BT16" s="2">
        <f t="shared" si="16"/>
        <v>18.269999999999996</v>
      </c>
      <c r="BU16" s="7">
        <f t="shared" si="17"/>
        <v>4.9639999999999995</v>
      </c>
      <c r="BV16" s="2">
        <f>IF(Tabelle1814203847[[#This Row],[(g)round/(r )oof2]]="R",Tabelle1814203847[[#This Row],[Total Area size '[m^2']]],IF(Tabelle1814203847[[#This Row],[(g)round/(r )oof2]]="B",Tabelle1814203847[[#This Row],[Total Area size '[m^2']]],0))</f>
        <v>6.93</v>
      </c>
      <c r="BW16" s="2"/>
      <c r="BX16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18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7" s="2"/>
      <c r="BX1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8" s="2"/>
      <c r="BX1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0</v>
      </c>
      <c r="BS19" s="2">
        <v>1</v>
      </c>
      <c r="BT19" s="2">
        <v>0</v>
      </c>
      <c r="BU19" s="7">
        <v>1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2.2799999999999998</v>
      </c>
      <c r="BO22" s="61">
        <f t="shared" ref="BO22:BQ25" si="19">SUMIF($C$5:$C$18,$BM22,BO$5:BO$18)</f>
        <v>7.91</v>
      </c>
      <c r="BP22" s="61">
        <f t="shared" si="19"/>
        <v>0</v>
      </c>
      <c r="BQ22" s="61">
        <f t="shared" si="19"/>
        <v>2.88</v>
      </c>
      <c r="BR22" s="61">
        <f>SUMIF($C$5:$C$18,$BM22,BR$5:BR$18)*BR$19</f>
        <v>0</v>
      </c>
      <c r="BS22" s="61">
        <f t="shared" ref="BS22:BU22" si="20">SUMIF($C$5:$C$18,$BM22,BS$5:BS$18)*BS$19</f>
        <v>21.685999999999996</v>
      </c>
      <c r="BT22" s="61">
        <f t="shared" si="20"/>
        <v>0</v>
      </c>
      <c r="BU22" s="61">
        <f t="shared" si="20"/>
        <v>9.0479999999999983</v>
      </c>
      <c r="BV22" s="61">
        <f>SUMIF($C$5:$C$18,$BM22,BV$5:BV$18)</f>
        <v>9</v>
      </c>
      <c r="BW22" s="61">
        <f>BV22*$BV$30</f>
        <v>19.170817462642841</v>
      </c>
      <c r="BX22" s="61">
        <f>SUMIF($C$5:$C$18,$BM22,BX$5:BX$19)</f>
        <v>43.599999999999994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52.599999999999994</v>
      </c>
      <c r="I23" s="12">
        <f>H23/$H$28</f>
        <v>0.39972642298046956</v>
      </c>
      <c r="J23" s="1"/>
      <c r="K23" s="86" t="s">
        <v>86</v>
      </c>
      <c r="L23" s="86"/>
      <c r="M23" s="87"/>
      <c r="N23" s="78"/>
      <c r="O23" s="3"/>
      <c r="P23" s="33"/>
      <c r="Q23" s="3"/>
      <c r="R23" s="55">
        <f>SUMIF($C$5:$C$18,C23,$R$5:$R$18)/2</f>
        <v>12.389999999999997</v>
      </c>
      <c r="S23" s="3"/>
      <c r="T23" s="3"/>
      <c r="U23" s="55">
        <f>SUMIF($C$5:$C$18,$C23,$U$5:$U$18)</f>
        <v>22.231999999999999</v>
      </c>
      <c r="V23" s="3"/>
      <c r="W23" s="3"/>
      <c r="X23" s="3"/>
      <c r="Y23" s="55">
        <f>SUMIF($C$5:$C$18,$C23,$Y$5:$Y$18)</f>
        <v>29.113999999999997</v>
      </c>
      <c r="Z23" s="55">
        <f>SUMIF($C$5:$C$18,$C23,$Z$5:$Z$18)/2</f>
        <v>21.799999999999997</v>
      </c>
      <c r="AA23" s="55">
        <f>SUMIF($C$5:$C$18,$C23,$AA$5:$AA$18)/2</f>
        <v>4.5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0</v>
      </c>
      <c r="BO23" s="61">
        <f t="shared" si="19"/>
        <v>1</v>
      </c>
      <c r="BP23" s="61">
        <f t="shared" si="19"/>
        <v>0</v>
      </c>
      <c r="BQ23" s="61">
        <f t="shared" si="19"/>
        <v>2.08</v>
      </c>
      <c r="BR23" s="61">
        <f t="shared" ref="BR23:BU25" si="21">SUMIF($C$5:$C$18,$BM23,BR$5:BR$18)*BR$19</f>
        <v>0</v>
      </c>
      <c r="BS23" s="61">
        <f t="shared" si="21"/>
        <v>4.9639999999999995</v>
      </c>
      <c r="BT23" s="61">
        <f t="shared" si="21"/>
        <v>0</v>
      </c>
      <c r="BU23" s="61">
        <f t="shared" si="21"/>
        <v>15.084</v>
      </c>
      <c r="BV23" s="61">
        <f t="shared" ref="BV23:BV25" si="22">SUMIF($C$5:$C$18,$BM23,BV$5:BV$18)</f>
        <v>9.129999999999999</v>
      </c>
      <c r="BW23" s="61">
        <f t="shared" ref="BW23:BW25" si="23">BV23*$BV$30</f>
        <v>19.447729270436568</v>
      </c>
      <c r="BX23" s="61">
        <f>SUMIF($C$5:$C$18,$BM23,BX$5:BX$18)</f>
        <v>8.629999999999999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24.689999999999998</v>
      </c>
      <c r="I24" s="2">
        <f>H24/$H$28</f>
        <v>0.18762823922790484</v>
      </c>
      <c r="J24" s="1"/>
      <c r="K24" s="86"/>
      <c r="L24" s="86"/>
      <c r="M24" s="87"/>
      <c r="N24" s="78"/>
      <c r="O24" s="3"/>
      <c r="P24" s="33"/>
      <c r="Q24" s="3"/>
      <c r="R24" s="56">
        <f>SUMIF($C$5:$C$18,C24,$R$5:$R$18)/2</f>
        <v>10.639999999999999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27.313999999999997</v>
      </c>
      <c r="Z24" s="55">
        <f t="shared" ref="Z24:Z26" si="24">SUMIF($C$5:$C$18,$C24,$Z$5:$Z$18)/2</f>
        <v>7.7799999999999994</v>
      </c>
      <c r="AA24" s="55">
        <f t="shared" ref="AA24:AA26" si="25">SUMIF($C$5:$C$18,$C24,$AA$5:$AA$18)/2</f>
        <v>8.0299999999999994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0</v>
      </c>
      <c r="BO24" s="61">
        <f t="shared" si="19"/>
        <v>2.88</v>
      </c>
      <c r="BP24" s="61">
        <f t="shared" si="19"/>
        <v>0</v>
      </c>
      <c r="BQ24" s="61">
        <f t="shared" si="19"/>
        <v>4.88</v>
      </c>
      <c r="BR24" s="61">
        <f t="shared" si="21"/>
        <v>0</v>
      </c>
      <c r="BS24" s="61">
        <f t="shared" si="21"/>
        <v>8.6839999999999975</v>
      </c>
      <c r="BT24" s="61">
        <f t="shared" si="21"/>
        <v>0</v>
      </c>
      <c r="BU24" s="61">
        <f t="shared" si="21"/>
        <v>18.317999999999998</v>
      </c>
      <c r="BV24" s="61">
        <f t="shared" si="22"/>
        <v>16</v>
      </c>
      <c r="BW24" s="61">
        <f t="shared" si="23"/>
        <v>34.081453266920605</v>
      </c>
      <c r="BX24" s="61">
        <f>SUMIF($C$5:$C$18,$BM24,BX$5:BX$18)</f>
        <v>0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</v>
      </c>
      <c r="I25" s="2">
        <f>H25/$H$28</f>
        <v>0.36476935937381261</v>
      </c>
      <c r="J25" s="1"/>
      <c r="K25" s="86"/>
      <c r="L25" s="86"/>
      <c r="M25" s="87"/>
      <c r="N25" s="78"/>
      <c r="O25" s="3"/>
      <c r="P25" s="33"/>
      <c r="Q25" s="3"/>
      <c r="R25" s="56">
        <f>SUMIF($C$5:$C$18,C25,$R$5:$R$18)/2</f>
        <v>21</v>
      </c>
      <c r="S25" s="3"/>
      <c r="T25" s="3"/>
      <c r="U25" s="56">
        <f>SUMIF($C$5:$C$18,$C25,$U$5:$U$18)</f>
        <v>28.28</v>
      </c>
      <c r="V25" s="3"/>
      <c r="W25" s="3"/>
      <c r="X25" s="3"/>
      <c r="Y25" s="56">
        <f>SUMIF($C$5:$C$18,$C25,$Y$5:$Y$18)</f>
        <v>19.816999999999997</v>
      </c>
      <c r="Z25" s="55">
        <f t="shared" si="24"/>
        <v>16</v>
      </c>
      <c r="AA25" s="55">
        <f t="shared" si="25"/>
        <v>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0</v>
      </c>
      <c r="BO25" s="61">
        <f t="shared" si="19"/>
        <v>0.96</v>
      </c>
      <c r="BP25" s="61">
        <f t="shared" si="19"/>
        <v>0</v>
      </c>
      <c r="BQ25" s="61">
        <f t="shared" si="19"/>
        <v>0</v>
      </c>
      <c r="BR25" s="61">
        <f t="shared" si="21"/>
        <v>0</v>
      </c>
      <c r="BS25" s="61">
        <f t="shared" si="21"/>
        <v>5.0039999999999996</v>
      </c>
      <c r="BT25" s="61">
        <f t="shared" si="21"/>
        <v>0</v>
      </c>
      <c r="BU25" s="61">
        <f t="shared" si="21"/>
        <v>0</v>
      </c>
      <c r="BV25" s="61">
        <f t="shared" si="22"/>
        <v>0</v>
      </c>
      <c r="BW25" s="61">
        <f t="shared" si="23"/>
        <v>0</v>
      </c>
      <c r="BX25" s="61">
        <f>SUMIF($C$5:$C$18,$BM25,BX$5:BX$18)</f>
        <v>0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6.3</v>
      </c>
      <c r="I26" s="2">
        <f>H26/$H$28</f>
        <v>4.7875978417812902E-2</v>
      </c>
      <c r="J26" s="1"/>
      <c r="K26" s="86"/>
      <c r="L26" s="86"/>
      <c r="M26" s="87"/>
      <c r="N26" s="78"/>
      <c r="O26" s="3"/>
      <c r="P26" s="33"/>
      <c r="Q26" s="3"/>
      <c r="R26" s="56">
        <f>SUMIF($C$5:$C$18,C26,$R$5:$R$18)/2</f>
        <v>4.6199999999999992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5.1589999999999998</v>
      </c>
      <c r="Z26" s="55">
        <f t="shared" si="24"/>
        <v>3.15</v>
      </c>
      <c r="AA26" s="55">
        <f t="shared" si="25"/>
        <v>3.15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/>
      <c r="BW26" s="63"/>
      <c r="BX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X27" si="26">SUM(BN22:BN26)</f>
        <v>2.2799999999999998</v>
      </c>
      <c r="BO27" s="66">
        <f t="shared" si="26"/>
        <v>12.75</v>
      </c>
      <c r="BP27" s="66">
        <f t="shared" si="26"/>
        <v>0</v>
      </c>
      <c r="BQ27" s="66">
        <f t="shared" si="26"/>
        <v>9.84</v>
      </c>
      <c r="BR27" s="66">
        <f t="shared" si="26"/>
        <v>0</v>
      </c>
      <c r="BS27" s="66">
        <f t="shared" si="26"/>
        <v>40.337999999999987</v>
      </c>
      <c r="BT27" s="66">
        <f t="shared" si="26"/>
        <v>0</v>
      </c>
      <c r="BU27" s="66">
        <f t="shared" si="26"/>
        <v>42.449999999999996</v>
      </c>
      <c r="BV27" s="66">
        <f t="shared" si="26"/>
        <v>34.129999999999995</v>
      </c>
      <c r="BW27" s="66">
        <f t="shared" si="26"/>
        <v>72.700000000000017</v>
      </c>
      <c r="BX27" s="66">
        <f t="shared" si="26"/>
        <v>52.22999999999999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131.59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48.649999999999991</v>
      </c>
      <c r="S28" s="3"/>
      <c r="T28" s="3"/>
      <c r="U28" s="56">
        <f>SUM(U23:U26)</f>
        <v>55.832000000000001</v>
      </c>
      <c r="V28" s="3"/>
      <c r="W28" s="3"/>
      <c r="X28" s="3"/>
      <c r="Y28" s="72">
        <f>SUM(Y23:Y26)</f>
        <v>81.403999999999996</v>
      </c>
      <c r="Z28" s="73">
        <f>SUM(Z23:Z26)</f>
        <v>48.73</v>
      </c>
      <c r="AA28" s="73">
        <f>SUM(AA23:AA26)</f>
        <v>39.68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>
        <v>72.7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f>BV29/BV27</f>
        <v>2.1300908291825378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63.73599999999999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27">Y24+U24+R24</f>
        <v>37.953999999999994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27"/>
        <v>69.096999999999994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27"/>
        <v>15.098999999999998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0.52578582000140961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22" priority="2" operator="lessThan">
      <formula>0.03</formula>
    </cfRule>
  </conditionalFormatting>
  <conditionalFormatting sqref="I23:I28">
    <cfRule type="cellIs" dxfId="21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zoomScale="70" zoomScaleNormal="70" workbookViewId="0">
      <pane xSplit="2" ySplit="4" topLeftCell="BN14" activePane="bottomRight" state="frozen"/>
      <selection activeCell="X55" sqref="X55"/>
      <selection pane="topRight" activeCell="X55" sqref="X55"/>
      <selection pane="bottomLeft" activeCell="X55" sqref="X55"/>
      <selection pane="bottomRight" activeCell="CA26" sqref="CA26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5" width="12.85546875" customWidth="1"/>
    <col min="76" max="76" width="18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136</v>
      </c>
      <c r="D2" s="19"/>
      <c r="E2" s="19">
        <v>2014</v>
      </c>
      <c r="G2" s="19">
        <v>3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9"/>
      <c r="AI3" s="79"/>
      <c r="AJ3" s="20"/>
      <c r="AK3" s="88" t="s">
        <v>66</v>
      </c>
      <c r="AL3" s="89"/>
      <c r="AM3" s="89"/>
      <c r="AN3" s="89"/>
      <c r="AO3" s="79"/>
      <c r="AP3" s="79"/>
      <c r="AQ3" s="20"/>
      <c r="AR3" s="90" t="s">
        <v>67</v>
      </c>
      <c r="AS3" s="90"/>
      <c r="AT3" s="90"/>
      <c r="AU3" s="90"/>
      <c r="AV3" s="80"/>
      <c r="AW3" s="80"/>
      <c r="AX3" s="80"/>
      <c r="AY3" s="90" t="s">
        <v>68</v>
      </c>
      <c r="AZ3" s="90"/>
      <c r="BA3" s="90"/>
      <c r="BB3" s="90"/>
      <c r="BC3" s="80"/>
      <c r="BD3" s="80"/>
      <c r="BE3" s="80"/>
      <c r="BF3" s="85" t="s">
        <v>69</v>
      </c>
      <c r="BG3" s="85"/>
      <c r="BH3" s="85"/>
      <c r="BI3" s="85"/>
      <c r="BJ3" s="80"/>
      <c r="BK3" s="80"/>
      <c r="BL3" s="80"/>
      <c r="BM3" s="80"/>
      <c r="BN3" s="80"/>
      <c r="BO3" s="21" t="s">
        <v>28</v>
      </c>
      <c r="BP3" s="79"/>
      <c r="BQ3" s="79"/>
      <c r="BR3" s="79"/>
      <c r="BS3" s="22" t="s">
        <v>29</v>
      </c>
      <c r="BT3" s="79"/>
      <c r="BU3" s="79"/>
      <c r="BV3" s="22"/>
      <c r="BW3" s="22"/>
      <c r="BX3" s="22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2" t="s">
        <v>140</v>
      </c>
      <c r="BX4" s="91" t="s">
        <v>31</v>
      </c>
    </row>
    <row r="5" spans="1:77" x14ac:dyDescent="0.25">
      <c r="A5" s="40">
        <v>1</v>
      </c>
      <c r="B5" s="2" t="s">
        <v>93</v>
      </c>
      <c r="C5" s="2" t="s">
        <v>101</v>
      </c>
      <c r="D5" s="2"/>
      <c r="E5" s="37" t="s">
        <v>112</v>
      </c>
      <c r="F5" s="2"/>
      <c r="G5" s="37" t="s">
        <v>106</v>
      </c>
      <c r="H5" s="40">
        <v>32.4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f t="shared" ref="Q5:Q6" si="1">3.3-1.85</f>
        <v>1.4499999999999997</v>
      </c>
      <c r="R5" s="40">
        <f>Tabelle512182471251263641[[#This Row],[Height]]*Tabelle512182471251263641[[#This Row],[Length]]</f>
        <v>4.0599999999999987</v>
      </c>
      <c r="S5" s="42">
        <f t="shared" ref="S5:S16" si="2">$H$2</f>
        <v>2.8</v>
      </c>
      <c r="T5" s="3">
        <f t="shared" ref="T5" si="3">0.11+0.11+0.9+3.88</f>
        <v>5</v>
      </c>
      <c r="U5" s="40">
        <f>Tabelle512182471251263641[[#This Row],[Height2]]*Tabelle512182471251263641[[#This Row],[Length3]]</f>
        <v>14</v>
      </c>
      <c r="V5" s="42">
        <f t="shared" ref="V5:V16" si="4">$H$2</f>
        <v>2.8</v>
      </c>
      <c r="W5" s="3">
        <v>0</v>
      </c>
      <c r="X5" s="3">
        <f>(1-$BR$19)*Tabelle2915214948183338[[#This Row],[North2]]+(1-$BS$19)*Tabelle2915214948183338[[#This Row],[East2]]+(1-$BT$19)*Tabelle2915214948183338[[#This Row],[South2]]+(1-$BU$19)*Tabelle2915214948183338[[#This Row],[West2]]</f>
        <v>25.087999999999997</v>
      </c>
      <c r="Y5" s="40">
        <f>Tabelle512182471251263641[[#This Row],[Height22]]*Tabelle512182471251263641[[#This Row],[Length33]]+Tabelle512182471251263641[[#This Row],[Length332]]/2</f>
        <v>12.543999999999999</v>
      </c>
      <c r="Z5" s="42">
        <f>IF(Tabelle1814203847173237[[#This Row],[ceiling]]="c",Tabelle1814203847173237[[#This Row],[Total Area size '[m^2']]],0)</f>
        <v>32.4</v>
      </c>
      <c r="AA5" s="42">
        <f>IF(Tabelle1814203847173237[[#This Row],[floor]]="f",Tabelle1814203847173237[[#This Row],[Total Area size '[m^2']]],0)</f>
        <v>0</v>
      </c>
      <c r="AB5" s="5"/>
      <c r="AC5" s="2">
        <v>0</v>
      </c>
      <c r="AD5" s="2">
        <v>1</v>
      </c>
      <c r="AE5" s="2">
        <v>0</v>
      </c>
      <c r="AF5" s="2">
        <v>0</v>
      </c>
      <c r="AG5" s="42">
        <f t="shared" ref="AG5:AG16" si="5">$H$2</f>
        <v>2.8</v>
      </c>
      <c r="AH5" s="2">
        <v>4.0599999999999996</v>
      </c>
      <c r="AI5" s="44">
        <v>5.28</v>
      </c>
      <c r="AJ5" s="6">
        <v>0</v>
      </c>
      <c r="AK5" s="2">
        <v>0</v>
      </c>
      <c r="AL5" s="2">
        <v>1</v>
      </c>
      <c r="AM5" s="2">
        <v>0</v>
      </c>
      <c r="AN5" s="42">
        <f t="shared" ref="AN5:AN16" si="6">$H$2</f>
        <v>2.8</v>
      </c>
      <c r="AO5" s="2">
        <f t="shared" ref="AO5" si="7">8.78+0.18</f>
        <v>8.9599999999999991</v>
      </c>
      <c r="AP5" s="44">
        <v>0</v>
      </c>
      <c r="AQ5" s="6">
        <v>0</v>
      </c>
      <c r="AR5" s="2">
        <v>0</v>
      </c>
      <c r="AS5" s="2">
        <v>0</v>
      </c>
      <c r="AT5" s="2">
        <v>1</v>
      </c>
      <c r="AU5" s="42">
        <f t="shared" ref="AU5:AU14" si="8">$H$2</f>
        <v>2.8</v>
      </c>
      <c r="AV5" s="2">
        <f t="shared" ref="AV5" si="9">0.15+0.75+2.4+0.96</f>
        <v>4.26</v>
      </c>
      <c r="AW5" s="44">
        <v>2.88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Tabelle310162251049193439[[#This Row],[North]]*$AI5+AL5*$AP5+AS5*$AW5+AZ5*$BD5+BG5*$BK5</f>
        <v>0</v>
      </c>
      <c r="BO5" s="2">
        <f t="shared" ref="BO5:BO16" si="12">AD5*$AI5+AK5*$AP5+AR5*$AW5+AY5*$BD5+BF5*$BK5</f>
        <v>5.28</v>
      </c>
      <c r="BP5" s="2">
        <f t="shared" ref="BP5:BP16" si="13">AC5*$AI5+AJ5*$AP5+AQ5*$AW5+AX5*$BD5+BE5*$BK5</f>
        <v>0</v>
      </c>
      <c r="BQ5" s="2">
        <f t="shared" ref="BQ5:BQ16" si="14">AF5*$AI5+AM5*$AP5+AT5*$AW5+BA5*$BD5+BH5*$BK5</f>
        <v>2.88</v>
      </c>
      <c r="BR5" s="6">
        <f>Tabelle310162251049193439[[#This Row],[North]]*$AG5*$AH5+AL5*$AN5*$AO5+AS5*$AU5*$AV5+AZ5*$BB5*$BC5+BG5*$BI5*$BJ5-BN5</f>
        <v>25.087999999999997</v>
      </c>
      <c r="BS5" s="2">
        <f t="shared" ref="BS5:BS16" si="15">AD5*$AG5*$AH5+AK5*$AN5*$AO5+AR5*$AU5*$AV5+AY5*$BB5*$BC5+BF5*$BI5*$BJ5-BO5</f>
        <v>6.0879999999999983</v>
      </c>
      <c r="BT5" s="2">
        <f t="shared" ref="BT5:BT16" si="16">AC5*$AG5*$AH5+AJ5*$AN5*$AO5+AQ5*$AU5*$AV5+AX5*$BB5*$BC5+BE5*$BI5*$BJ5-BP5</f>
        <v>0</v>
      </c>
      <c r="BU5" s="7">
        <f t="shared" ref="BU5:BU16" si="17">AF5*$AG5*$AH5+AM5*$AN5*$AO5+AT5*$AU5*$AV5+BA5*$BB5*$BC5+BH5*$BI5*$BJ5-BQ5</f>
        <v>9.0479999999999983</v>
      </c>
      <c r="BV5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5" s="2"/>
      <c r="BX5" s="2">
        <f>IF(Tabelle1814203847[[#This Row],[(g)round/(r )oof2]]="G",Tabelle1814203847[[#This Row],[Total Area size '[m^2']]],IF(Tabelle1814203847[[#This Row],[(g)round/(r )oof2]]="B",Tabelle1814203847[[#This Row],[Total Area size '[m^2']]],0))</f>
        <v>32.4</v>
      </c>
    </row>
    <row r="6" spans="1:77" x14ac:dyDescent="0.25">
      <c r="A6" s="40">
        <v>2</v>
      </c>
      <c r="B6" s="2" t="s">
        <v>11</v>
      </c>
      <c r="C6" s="2" t="s">
        <v>101</v>
      </c>
      <c r="D6" s="2"/>
      <c r="E6" s="37" t="s">
        <v>112</v>
      </c>
      <c r="F6" s="2"/>
      <c r="G6" s="37" t="s">
        <v>106</v>
      </c>
      <c r="H6" s="40">
        <v>11.2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f t="shared" si="1"/>
        <v>1.4499999999999997</v>
      </c>
      <c r="R6" s="40">
        <f>Tabelle512182471251263641[[#This Row],[Height]]*Tabelle512182471251263641[[#This Row],[Length]]</f>
        <v>4.0599999999999987</v>
      </c>
      <c r="S6" s="42">
        <f t="shared" si="2"/>
        <v>2.8</v>
      </c>
      <c r="T6" s="3">
        <v>1.9</v>
      </c>
      <c r="U6" s="40">
        <f>Tabelle512182471251263641[[#This Row],[Height2]]*Tabelle512182471251263641[[#This Row],[Length3]]</f>
        <v>5.3199999999999994</v>
      </c>
      <c r="V6" s="42">
        <f t="shared" si="4"/>
        <v>2.8</v>
      </c>
      <c r="W6" s="3">
        <v>0</v>
      </c>
      <c r="X6" s="3">
        <f>(1-$BR$19)*Tabelle2915214948183338[[#This Row],[North2]]+(1-$BS$19)*Tabelle2915214948183338[[#This Row],[East2]]+(1-$BT$19)*Tabelle2915214948183338[[#This Row],[South2]]+(1-$BU$19)*Tabelle2915214948183338[[#This Row],[West2]]</f>
        <v>23.101999999999997</v>
      </c>
      <c r="Y6" s="40">
        <f>Tabelle512182471251263641[[#This Row],[Height22]]*Tabelle512182471251263641[[#This Row],[Length33]]+Tabelle512182471251263641[[#This Row],[Length332]]/2</f>
        <v>11.550999999999998</v>
      </c>
      <c r="Z6" s="42">
        <f>IF(Tabelle1814203847173237[[#This Row],[ceiling]]="c",Tabelle1814203847173237[[#This Row],[Total Area size '[m^2']]],0)</f>
        <v>11.2</v>
      </c>
      <c r="AA6" s="42">
        <f>IF(Tabelle1814203847173237[[#This Row],[floor]]="f",Tabelle1814203847173237[[#This Row],[Total Area size '[m^2']]],0)</f>
        <v>0</v>
      </c>
      <c r="AB6" s="5"/>
      <c r="AC6" s="2">
        <v>0</v>
      </c>
      <c r="AD6" s="2">
        <v>1</v>
      </c>
      <c r="AE6" s="2">
        <v>0</v>
      </c>
      <c r="AF6" s="2">
        <v>0</v>
      </c>
      <c r="AG6" s="42">
        <f t="shared" si="5"/>
        <v>2.8</v>
      </c>
      <c r="AH6" s="2">
        <v>2.38</v>
      </c>
      <c r="AI6" s="44">
        <v>0.63</v>
      </c>
      <c r="AJ6" s="6">
        <v>0</v>
      </c>
      <c r="AK6" s="3">
        <v>0</v>
      </c>
      <c r="AL6" s="2">
        <v>1</v>
      </c>
      <c r="AM6" s="2">
        <v>0</v>
      </c>
      <c r="AN6" s="42">
        <f t="shared" si="6"/>
        <v>2.8</v>
      </c>
      <c r="AO6" s="2">
        <f>2.6+0.18</f>
        <v>2.7800000000000002</v>
      </c>
      <c r="AP6" s="44">
        <v>2.2799999999999998</v>
      </c>
      <c r="AQ6" s="6">
        <v>1</v>
      </c>
      <c r="AR6" s="2">
        <v>0</v>
      </c>
      <c r="AS6" s="2">
        <v>0</v>
      </c>
      <c r="AT6" s="2">
        <v>0</v>
      </c>
      <c r="AU6" s="42">
        <f t="shared" si="8"/>
        <v>2.8</v>
      </c>
      <c r="AV6" s="2">
        <v>6.2850000000000001</v>
      </c>
      <c r="AW6" s="44">
        <v>0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Tabelle310162251049193439[[#This Row],[North]]*$AI6+AL6*$AP6+AS6*$AW6+AZ6*$BD6+BG6*$BK6</f>
        <v>2.2799999999999998</v>
      </c>
      <c r="BO6" s="2">
        <f t="shared" si="12"/>
        <v>0.63</v>
      </c>
      <c r="BP6" s="2">
        <f t="shared" si="13"/>
        <v>0</v>
      </c>
      <c r="BQ6" s="2">
        <f t="shared" si="14"/>
        <v>0</v>
      </c>
      <c r="BR6" s="6">
        <f>Tabelle310162251049193439[[#This Row],[North]]*$AG6*$AH6+AL6*$AN6*$AO6+AS6*$AU6*$AV6+AZ6*$BB6*$BC6+BG6*$BI6*$BJ6-BN6</f>
        <v>5.5039999999999996</v>
      </c>
      <c r="BS6" s="2">
        <f t="shared" si="15"/>
        <v>6.0339999999999998</v>
      </c>
      <c r="BT6" s="2">
        <f t="shared" si="16"/>
        <v>17.597999999999999</v>
      </c>
      <c r="BU6" s="7">
        <f t="shared" si="17"/>
        <v>0</v>
      </c>
      <c r="BV6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6" s="2"/>
      <c r="BX6" s="2">
        <f>IF(Tabelle1814203847[[#This Row],[(g)round/(r )oof2]]="G",Tabelle1814203847[[#This Row],[Total Area size '[m^2']]],IF(Tabelle1814203847[[#This Row],[(g)round/(r )oof2]]="B",Tabelle1814203847[[#This Row],[Total Area size '[m^2']]],0))</f>
        <v>11.2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/>
      <c r="H7" s="40">
        <v>17.399999999999999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f>3.9+3.3</f>
        <v>7.1999999999999993</v>
      </c>
      <c r="R7" s="40">
        <f>Tabelle512182471251263641[[#This Row],[Height]]*Tabelle512182471251263641[[#This Row],[Length]]</f>
        <v>20.159999999999997</v>
      </c>
      <c r="S7" s="42">
        <f t="shared" si="2"/>
        <v>2.8</v>
      </c>
      <c r="T7" s="3">
        <f>4.45-3.3</f>
        <v>1.1500000000000004</v>
      </c>
      <c r="U7" s="40">
        <f>Tabelle512182471251263641[[#This Row],[Height2]]*Tabelle512182471251263641[[#This Row],[Length3]]</f>
        <v>3.2200000000000006</v>
      </c>
      <c r="V7" s="42">
        <f t="shared" si="4"/>
        <v>2.8</v>
      </c>
      <c r="W7" s="3">
        <v>0</v>
      </c>
      <c r="X7" s="3">
        <f>(1-$BR$19)*Tabelle2915214948183338[[#This Row],[North2]]+(1-$BS$19)*Tabelle2915214948183338[[#This Row],[East2]]+(1-$BT$19)*Tabelle2915214948183338[[#This Row],[South2]]+(1-$BU$19)*Tabelle2915214948183338[[#This Row],[West2]]</f>
        <v>13.537999999999998</v>
      </c>
      <c r="Y7" s="40">
        <f>Tabelle512182471251263641[[#This Row],[Height22]]*Tabelle512182471251263641[[#This Row],[Length33]]+Tabelle512182471251263641[[#This Row],[Length332]]/2</f>
        <v>6.7689999999999992</v>
      </c>
      <c r="Z7" s="42">
        <f>IF(Tabelle1814203847173237[[#This Row],[ceiling]]="c",Tabelle1814203847173237[[#This Row],[Total Area size '[m^2']]],0)</f>
        <v>17.399999999999999</v>
      </c>
      <c r="AA7" s="42">
        <f>IF(Tabelle1814203847173237[[#This Row],[floor]]="f",Tabelle1814203847173237[[#This Row],[Total Area size '[m^2']]],0)</f>
        <v>17.399999999999999</v>
      </c>
      <c r="AB7" s="5"/>
      <c r="AC7" s="2">
        <v>0</v>
      </c>
      <c r="AD7" s="2">
        <v>1</v>
      </c>
      <c r="AE7" s="2">
        <v>0</v>
      </c>
      <c r="AF7" s="2">
        <v>0</v>
      </c>
      <c r="AG7" s="42">
        <f t="shared" si="5"/>
        <v>2.8</v>
      </c>
      <c r="AH7" s="3">
        <v>4.13</v>
      </c>
      <c r="AI7" s="44">
        <v>2.88</v>
      </c>
      <c r="AJ7" s="6">
        <v>0</v>
      </c>
      <c r="AK7" s="2">
        <v>0</v>
      </c>
      <c r="AL7" s="2">
        <v>1</v>
      </c>
      <c r="AM7" s="2">
        <v>0</v>
      </c>
      <c r="AN7" s="42">
        <f t="shared" si="6"/>
        <v>2.8</v>
      </c>
      <c r="AO7" s="2">
        <f>0.33+4.45+0.055</f>
        <v>4.835</v>
      </c>
      <c r="AP7" s="44">
        <v>0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Tabelle310162251049193439[[#This Row],[North]]*$AI7+AL7*$AP7+AS7*$AW7+AZ7*$BD7+BG7*$BK7</f>
        <v>0</v>
      </c>
      <c r="BO7" s="2">
        <f t="shared" si="12"/>
        <v>2.88</v>
      </c>
      <c r="BP7" s="2">
        <f t="shared" si="13"/>
        <v>0</v>
      </c>
      <c r="BQ7" s="2">
        <f t="shared" si="14"/>
        <v>0</v>
      </c>
      <c r="BR7" s="6">
        <f>Tabelle310162251049193439[[#This Row],[North]]*$AG7*$AH7+AL7*$AN7*$AO7+AS7*$AU7*$AV7+AZ7*$BB7*$BC7+BG7*$BI7*$BJ7-BN7</f>
        <v>13.537999999999998</v>
      </c>
      <c r="BS7" s="2">
        <f t="shared" si="15"/>
        <v>8.6839999999999975</v>
      </c>
      <c r="BT7" s="2">
        <f t="shared" si="16"/>
        <v>0</v>
      </c>
      <c r="BU7" s="7">
        <f t="shared" si="17"/>
        <v>0</v>
      </c>
      <c r="BV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7" s="2"/>
      <c r="BX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/>
      <c r="H8" s="40">
        <v>14.6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3.9</f>
        <v>3.9</v>
      </c>
      <c r="R8" s="40">
        <f>Tabelle512182471251263641[[#This Row],[Height]]*Tabelle512182471251263641[[#This Row],[Length]]</f>
        <v>10.92</v>
      </c>
      <c r="S8" s="42">
        <f t="shared" si="2"/>
        <v>2.8</v>
      </c>
      <c r="T8" s="3">
        <f>3.74+0.11</f>
        <v>3.85</v>
      </c>
      <c r="U8" s="40">
        <f>Tabelle512182471251263641[[#This Row],[Height2]]*Tabelle512182471251263641[[#This Row],[Length3]]</f>
        <v>10.78</v>
      </c>
      <c r="V8" s="42">
        <f t="shared" si="4"/>
        <v>2.8</v>
      </c>
      <c r="W8" s="3">
        <v>0</v>
      </c>
      <c r="X8" s="3">
        <f>(1-$BR$19)*Tabelle2915214948183338[[#This Row],[North2]]+(1-$BS$19)*Tabelle2915214948183338[[#This Row],[East2]]+(1-$BT$19)*Tabelle2915214948183338[[#This Row],[South2]]+(1-$BU$19)*Tabelle2915214948183338[[#This Row],[West2]]</f>
        <v>11.045999999999999</v>
      </c>
      <c r="Y8" s="40">
        <f>Tabelle512182471251263641[[#This Row],[Height22]]*Tabelle512182471251263641[[#This Row],[Length33]]+Tabelle512182471251263641[[#This Row],[Length332]]/2</f>
        <v>5.5229999999999997</v>
      </c>
      <c r="Z8" s="42">
        <f>IF(Tabelle1814203847173237[[#This Row],[ceiling]]="c",Tabelle1814203847173237[[#This Row],[Total Area size '[m^2']]],0)</f>
        <v>14.6</v>
      </c>
      <c r="AA8" s="42">
        <f>IF(Tabelle1814203847173237[[#This Row],[floor]]="f",Tabelle1814203847173237[[#This Row],[Total Area size '[m^2']]],0)</f>
        <v>14.6</v>
      </c>
      <c r="AB8" s="5"/>
      <c r="AC8" s="2">
        <v>0</v>
      </c>
      <c r="AD8" s="2">
        <v>0</v>
      </c>
      <c r="AE8" s="2">
        <v>1</v>
      </c>
      <c r="AF8" s="2">
        <v>0</v>
      </c>
      <c r="AG8" s="42">
        <f t="shared" si="5"/>
        <v>2.8</v>
      </c>
      <c r="AH8" s="2">
        <f>0.055+3.74+0.15</f>
        <v>3.9450000000000003</v>
      </c>
      <c r="AI8" s="44">
        <v>0</v>
      </c>
      <c r="AJ8" s="6">
        <v>0</v>
      </c>
      <c r="AK8" s="2">
        <v>0</v>
      </c>
      <c r="AL8" s="2">
        <v>0</v>
      </c>
      <c r="AM8" s="2">
        <v>1</v>
      </c>
      <c r="AN8" s="42">
        <f t="shared" si="6"/>
        <v>2.8</v>
      </c>
      <c r="AO8" s="2">
        <f>0.15+0.75+2.4+0.75+0.105</f>
        <v>4.1550000000000002</v>
      </c>
      <c r="AP8" s="44">
        <v>2.88</v>
      </c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Tabelle310162251049193439[[#This Row],[North]]*$AI8+AL8*$AP8+AS8*$AW8+AZ8*$BD8+BG8*$BK8</f>
        <v>0</v>
      </c>
      <c r="BO8" s="2">
        <f t="shared" si="12"/>
        <v>0</v>
      </c>
      <c r="BP8" s="2">
        <f t="shared" si="13"/>
        <v>0</v>
      </c>
      <c r="BQ8" s="2">
        <f t="shared" si="14"/>
        <v>2.88</v>
      </c>
      <c r="BR8" s="6">
        <f>Tabelle310162251049193439[[#This Row],[North]]*$AG8*$AH8+AL8*$AN8*$AO8+AS8*$AU8*$AV8+AZ8*$BB8*$BC8+BG8*$BI8*$BJ8-BN8</f>
        <v>11.045999999999999</v>
      </c>
      <c r="BS8" s="2">
        <f t="shared" si="15"/>
        <v>0</v>
      </c>
      <c r="BT8" s="2">
        <f t="shared" si="16"/>
        <v>0</v>
      </c>
      <c r="BU8" s="7">
        <f t="shared" si="17"/>
        <v>8.7540000000000013</v>
      </c>
      <c r="BV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8" s="2"/>
      <c r="BX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/>
      <c r="F9" s="2"/>
      <c r="G9" s="37" t="s">
        <v>107</v>
      </c>
      <c r="H9" s="40">
        <v>16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3.9</v>
      </c>
      <c r="R9" s="40">
        <f>Tabelle512182471251263641[[#This Row],[Height]]*Tabelle512182471251263641[[#This Row],[Length]]</f>
        <v>10.92</v>
      </c>
      <c r="S9" s="42">
        <f t="shared" si="2"/>
        <v>2.8</v>
      </c>
      <c r="T9" s="3">
        <f>4.99+0.11</f>
        <v>5.1000000000000005</v>
      </c>
      <c r="U9" s="40">
        <f>Tabelle512182471251263641[[#This Row],[Height2]]*Tabelle512182471251263641[[#This Row],[Length3]]</f>
        <v>14.280000000000001</v>
      </c>
      <c r="V9" s="42">
        <f t="shared" si="4"/>
        <v>2.8</v>
      </c>
      <c r="W9" s="3">
        <v>0</v>
      </c>
      <c r="X9" s="3">
        <f>(1-$BR$19)*Tabelle2915214948183338[[#This Row],[North2]]+(1-$BS$19)*Tabelle2915214948183338[[#This Row],[East2]]+(1-$BT$19)*Tabelle2915214948183338[[#This Row],[South2]]+(1-$BU$19)*Tabelle2915214948183338[[#This Row],[West2]]</f>
        <v>15.049999999999999</v>
      </c>
      <c r="Y9" s="40">
        <f>Tabelle512182471251263641[[#This Row],[Height22]]*Tabelle512182471251263641[[#This Row],[Length33]]+Tabelle512182471251263641[[#This Row],[Length332]]/2</f>
        <v>7.5249999999999995</v>
      </c>
      <c r="Z9" s="42">
        <f>IF(Tabelle1814203847173237[[#This Row],[ceiling]]="c",Tabelle1814203847173237[[#This Row],[Total Area size '[m^2']]],0)</f>
        <v>0</v>
      </c>
      <c r="AA9" s="42">
        <f>IF(Tabelle1814203847173237[[#This Row],[floor]]="f",Tabelle1814203847173237[[#This Row],[Total Area size '[m^2']]],0)</f>
        <v>16</v>
      </c>
      <c r="AB9" s="5"/>
      <c r="AC9" s="2">
        <v>0</v>
      </c>
      <c r="AD9" s="2">
        <v>0</v>
      </c>
      <c r="AE9" s="2">
        <v>1</v>
      </c>
      <c r="AF9" s="2">
        <v>0</v>
      </c>
      <c r="AG9" s="42">
        <f t="shared" si="5"/>
        <v>2.8</v>
      </c>
      <c r="AH9" s="2">
        <f>0.055+4.99+0.33</f>
        <v>5.375</v>
      </c>
      <c r="AI9" s="44">
        <v>0</v>
      </c>
      <c r="AJ9" s="6">
        <v>0</v>
      </c>
      <c r="AK9" s="2">
        <v>0</v>
      </c>
      <c r="AL9" s="2">
        <v>0</v>
      </c>
      <c r="AM9" s="2">
        <v>1</v>
      </c>
      <c r="AN9" s="42">
        <f t="shared" si="6"/>
        <v>2.8</v>
      </c>
      <c r="AO9" s="2">
        <f>0.15+0.59+2.4+0.91+0.08</f>
        <v>4.13</v>
      </c>
      <c r="AP9" s="44">
        <v>2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Tabelle310162251049193439[[#This Row],[North]]*$AI9+AL9*$AP9+AS9*$AW9+AZ9*$BD9+BG9*$BK9</f>
        <v>0</v>
      </c>
      <c r="BO9" s="2">
        <f t="shared" si="12"/>
        <v>0</v>
      </c>
      <c r="BP9" s="2">
        <f t="shared" si="13"/>
        <v>0</v>
      </c>
      <c r="BQ9" s="2">
        <f t="shared" si="14"/>
        <v>2</v>
      </c>
      <c r="BR9" s="6">
        <f>Tabelle310162251049193439[[#This Row],[North]]*$AG9*$AH9+AL9*$AN9*$AO9+AS9*$AU9*$AV9+AZ9*$BB9*$BC9+BG9*$BI9*$BJ9-BN9</f>
        <v>15.049999999999999</v>
      </c>
      <c r="BS9" s="2">
        <f t="shared" si="15"/>
        <v>0</v>
      </c>
      <c r="BT9" s="2">
        <f t="shared" si="16"/>
        <v>0</v>
      </c>
      <c r="BU9" s="7">
        <f t="shared" si="17"/>
        <v>9.5639999999999983</v>
      </c>
      <c r="BV9" s="2">
        <f>IF(Tabelle1814203847[[#This Row],[(g)round/(r )oof2]]="R",Tabelle1814203847[[#This Row],[Total Area size '[m^2']]],IF(Tabelle1814203847[[#This Row],[(g)round/(r )oof2]]="B",Tabelle1814203847[[#This Row],[Total Area size '[m^2']]],0))</f>
        <v>16</v>
      </c>
      <c r="BW9" s="2"/>
      <c r="BX9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/>
      <c r="H10" s="40">
        <v>6.3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v>3.3</v>
      </c>
      <c r="R10" s="40">
        <f>Tabelle512182471251263641[[#This Row],[Height]]*Tabelle512182471251263641[[#This Row],[Length]]</f>
        <v>9.2399999999999984</v>
      </c>
      <c r="S10" s="42">
        <f t="shared" si="2"/>
        <v>2.8</v>
      </c>
      <c r="T10" s="3">
        <v>1.9</v>
      </c>
      <c r="U10" s="40">
        <f>Tabelle512182471251263641[[#This Row],[Height2]]*Tabelle512182471251263641[[#This Row],[Length3]]</f>
        <v>5.3199999999999994</v>
      </c>
      <c r="V10" s="42">
        <f t="shared" si="4"/>
        <v>2.8</v>
      </c>
      <c r="W10" s="3">
        <v>0</v>
      </c>
      <c r="X10" s="3">
        <f>(1-$BR$19)*Tabelle2915214948183338[[#This Row],[North2]]+(1-$BS$19)*Tabelle2915214948183338[[#This Row],[East2]]+(1-$BT$19)*Tabelle2915214948183338[[#This Row],[South2]]+(1-$BU$19)*Tabelle2915214948183338[[#This Row],[West2]]</f>
        <v>10.318</v>
      </c>
      <c r="Y10" s="40">
        <f>Tabelle512182471251263641[[#This Row],[Height22]]*Tabelle512182471251263641[[#This Row],[Length33]]+Tabelle512182471251263641[[#This Row],[Length332]]/2</f>
        <v>5.1589999999999998</v>
      </c>
      <c r="Z10" s="42">
        <f>IF(Tabelle1814203847173237[[#This Row],[ceiling]]="c",Tabelle1814203847173237[[#This Row],[Total Area size '[m^2']]],0)</f>
        <v>6.3</v>
      </c>
      <c r="AA10" s="42">
        <f>IF(Tabelle1814203847173237[[#This Row],[floor]]="f",Tabelle1814203847173237[[#This Row],[Total Area size '[m^2']]],0)</f>
        <v>6.3</v>
      </c>
      <c r="AB10" s="5"/>
      <c r="AC10" s="2">
        <v>0</v>
      </c>
      <c r="AD10" s="2">
        <v>1</v>
      </c>
      <c r="AE10" s="2">
        <v>0</v>
      </c>
      <c r="AF10" s="2">
        <v>0</v>
      </c>
      <c r="AG10" s="42">
        <f t="shared" si="5"/>
        <v>2.8</v>
      </c>
      <c r="AH10" s="2">
        <v>2.13</v>
      </c>
      <c r="AI10" s="44">
        <v>0.96</v>
      </c>
      <c r="AJ10" s="6">
        <v>1</v>
      </c>
      <c r="AK10" s="2">
        <v>0</v>
      </c>
      <c r="AL10" s="3">
        <v>0</v>
      </c>
      <c r="AM10" s="2">
        <v>0</v>
      </c>
      <c r="AN10" s="42">
        <f t="shared" si="6"/>
        <v>2.8</v>
      </c>
      <c r="AO10" s="3">
        <v>3.6850000000000001</v>
      </c>
      <c r="AP10" s="44">
        <v>0</v>
      </c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Tabelle310162251049193439[[#This Row],[North]]*$AI10+AL10*$AP10+AS10*$AW10+AZ10*$BD10+BG10*$BK10</f>
        <v>0</v>
      </c>
      <c r="BO10" s="2">
        <f t="shared" si="12"/>
        <v>0.96</v>
      </c>
      <c r="BP10" s="2">
        <f t="shared" si="13"/>
        <v>0</v>
      </c>
      <c r="BQ10" s="2">
        <f t="shared" si="14"/>
        <v>0</v>
      </c>
      <c r="BR10" s="6">
        <f>Tabelle310162251049193439[[#This Row],[North]]*$AG10*$AH10+AL10*$AN10*$AO10+AS10*$AU10*$AV10+AZ10*$BB10*$BC10+BG10*$BI10*$BJ10-BN10</f>
        <v>0</v>
      </c>
      <c r="BS10" s="2">
        <f t="shared" si="15"/>
        <v>5.0039999999999996</v>
      </c>
      <c r="BT10" s="2">
        <f t="shared" si="16"/>
        <v>10.318</v>
      </c>
      <c r="BU10" s="7">
        <f t="shared" si="17"/>
        <v>0</v>
      </c>
      <c r="BV10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0" s="2"/>
      <c r="BX10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1" spans="1:77" x14ac:dyDescent="0.25">
      <c r="A11" s="40">
        <v>7</v>
      </c>
      <c r="B11" s="2" t="s">
        <v>99</v>
      </c>
      <c r="C11" s="2" t="s">
        <v>10</v>
      </c>
      <c r="D11" s="2"/>
      <c r="E11" s="37" t="s">
        <v>112</v>
      </c>
      <c r="F11" s="2"/>
      <c r="G11" s="37" t="s">
        <v>106</v>
      </c>
      <c r="H11" s="40">
        <v>1.7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1.9</f>
        <v>1.9</v>
      </c>
      <c r="R11" s="40">
        <f>Tabelle512182471251263641[[#This Row],[Height]]*Tabelle512182471251263641[[#This Row],[Length]]</f>
        <v>5.3199999999999994</v>
      </c>
      <c r="S11" s="42">
        <f t="shared" si="2"/>
        <v>2.8</v>
      </c>
      <c r="T11" s="3">
        <v>0</v>
      </c>
      <c r="U11" s="40">
        <f>Tabelle512182471251263641[[#This Row],[Height2]]*Tabelle512182471251263641[[#This Row],[Length3]]</f>
        <v>0</v>
      </c>
      <c r="V11" s="42">
        <f t="shared" si="4"/>
        <v>2.8</v>
      </c>
      <c r="W11" s="3">
        <v>0</v>
      </c>
      <c r="X11" s="3">
        <f>(1-$BR$19)*Tabelle2915214948183338[[#This Row],[North2]]+(1-$BS$19)*Tabelle2915214948183338[[#This Row],[East2]]+(1-$BT$19)*Tabelle2915214948183338[[#This Row],[South2]]+(1-$BU$19)*Tabelle2915214948183338[[#This Row],[West2]]</f>
        <v>2.8279999999999998</v>
      </c>
      <c r="Y11" s="40">
        <f>Tabelle512182471251263641[[#This Row],[Height22]]*Tabelle512182471251263641[[#This Row],[Length33]]+Tabelle512182471251263641[[#This Row],[Length332]]/2</f>
        <v>1.4139999999999999</v>
      </c>
      <c r="Z11" s="42">
        <f>IF(Tabelle1814203847173237[[#This Row],[ceiling]]="c",Tabelle1814203847173237[[#This Row],[Total Area size '[m^2']]],0)</f>
        <v>1.7</v>
      </c>
      <c r="AA11" s="42">
        <f>IF(Tabelle1814203847173237[[#This Row],[floor]]="f",Tabelle1814203847173237[[#This Row],[Total Area size '[m^2']]],0)</f>
        <v>0</v>
      </c>
      <c r="AB11" s="5"/>
      <c r="AC11" s="2">
        <v>1</v>
      </c>
      <c r="AD11" s="2">
        <v>0</v>
      </c>
      <c r="AE11" s="2">
        <v>0</v>
      </c>
      <c r="AF11" s="2">
        <v>0</v>
      </c>
      <c r="AG11" s="42">
        <f t="shared" si="5"/>
        <v>2.8</v>
      </c>
      <c r="AH11" s="2">
        <v>1.01</v>
      </c>
      <c r="AI11" s="44">
        <v>0</v>
      </c>
      <c r="AJ11" s="6"/>
      <c r="AK11" s="2"/>
      <c r="AL11" s="2"/>
      <c r="AM11" s="2"/>
      <c r="AN11" s="42">
        <f t="shared" si="6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Tabelle310162251049193439[[#This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Tabelle310162251049193439[[#This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2.8279999999999998</v>
      </c>
      <c r="BU11" s="7">
        <f t="shared" si="17"/>
        <v>0</v>
      </c>
      <c r="BV11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1" s="2"/>
      <c r="BX11" s="2">
        <f>IF(Tabelle1814203847[[#This Row],[(g)round/(r )oof2]]="G",Tabelle1814203847[[#This Row],[Total Area size '[m^2']]],IF(Tabelle1814203847[[#This Row],[(g)round/(r )oof2]]="B",Tabelle1814203847[[#This Row],[Total Area size '[m^2']]],0))</f>
        <v>1.7</v>
      </c>
    </row>
    <row r="12" spans="1:77" x14ac:dyDescent="0.25">
      <c r="A12" s="40">
        <v>8</v>
      </c>
      <c r="B12" s="2" t="s">
        <v>108</v>
      </c>
      <c r="C12" s="2" t="s">
        <v>10</v>
      </c>
      <c r="D12" s="2"/>
      <c r="E12" s="37" t="s">
        <v>112</v>
      </c>
      <c r="F12" s="2"/>
      <c r="G12" s="37" t="s">
        <v>106</v>
      </c>
      <c r="H12" s="40">
        <v>6.93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v>1.9</v>
      </c>
      <c r="R12" s="40">
        <f>Tabelle512182471251263641[[#This Row],[Height]]*Tabelle512182471251263641[[#This Row],[Length]]</f>
        <v>5.3199999999999994</v>
      </c>
      <c r="S12" s="42">
        <f t="shared" si="2"/>
        <v>2.8</v>
      </c>
      <c r="T12" s="3">
        <v>0</v>
      </c>
      <c r="U12" s="40">
        <f>Tabelle512182471251263641[[#This Row],[Height2]]*Tabelle512182471251263641[[#This Row],[Length3]]</f>
        <v>0</v>
      </c>
      <c r="V12" s="42">
        <f t="shared" si="4"/>
        <v>2.8</v>
      </c>
      <c r="W12" s="3">
        <v>0</v>
      </c>
      <c r="X12" s="3">
        <f>(1-$BR$19)*Tabelle2915214948183338[[#This Row],[North2]]+(1-$BS$19)*Tabelle2915214948183338[[#This Row],[East2]]+(1-$BT$19)*Tabelle2915214948183338[[#This Row],[South2]]+(1-$BU$19)*Tabelle2915214948183338[[#This Row],[West2]]</f>
        <v>11.941999999999998</v>
      </c>
      <c r="Y12" s="40">
        <f>Tabelle512182471251263641[[#This Row],[Height22]]*Tabelle512182471251263641[[#This Row],[Length33]]+Tabelle512182471251263641[[#This Row],[Length332]]/2</f>
        <v>5.9709999999999992</v>
      </c>
      <c r="Z12" s="42">
        <f>IF(Tabelle1814203847173237[[#This Row],[ceiling]]="c",Tabelle1814203847173237[[#This Row],[Total Area size '[m^2']]],0)</f>
        <v>6.93</v>
      </c>
      <c r="AA12" s="42">
        <f>IF(Tabelle1814203847173237[[#This Row],[floor]]="f",Tabelle1814203847173237[[#This Row],[Total Area size '[m^2']]],0)</f>
        <v>0</v>
      </c>
      <c r="AB12" s="5"/>
      <c r="AC12" s="2">
        <v>0</v>
      </c>
      <c r="AD12" s="2">
        <v>0</v>
      </c>
      <c r="AE12" s="2">
        <v>0</v>
      </c>
      <c r="AF12" s="2">
        <v>1</v>
      </c>
      <c r="AG12" s="42">
        <f t="shared" si="5"/>
        <v>2.8</v>
      </c>
      <c r="AH12" s="2">
        <f>0.15+0.95+0.9</f>
        <v>2</v>
      </c>
      <c r="AI12" s="44">
        <v>0</v>
      </c>
      <c r="AJ12" s="6">
        <v>1</v>
      </c>
      <c r="AK12" s="2">
        <v>0</v>
      </c>
      <c r="AL12" s="2">
        <v>0</v>
      </c>
      <c r="AM12" s="2">
        <v>0</v>
      </c>
      <c r="AN12" s="42">
        <f t="shared" si="6"/>
        <v>2.8</v>
      </c>
      <c r="AO12" s="2">
        <f>4.265</f>
        <v>4.2649999999999997</v>
      </c>
      <c r="AP12" s="44">
        <v>0</v>
      </c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Tabelle310162251049193439[[#This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Tabelle310162251049193439[[#This Row],[North]]*$AG12*$AH12+AL12*$AN12*$AO12+AS12*$AU12*$AV12+AZ12*$BB12*$BC12+BG12*$BI12*$BJ12-BN12</f>
        <v>0</v>
      </c>
      <c r="BS12" s="2">
        <f t="shared" si="15"/>
        <v>0</v>
      </c>
      <c r="BT12" s="2">
        <f t="shared" si="16"/>
        <v>11.941999999999998</v>
      </c>
      <c r="BU12" s="7">
        <f t="shared" si="17"/>
        <v>5.6</v>
      </c>
      <c r="BV12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2" s="2"/>
      <c r="BX12" s="2">
        <f>IF(Tabelle1814203847[[#This Row],[(g)round/(r )oof2]]="G",Tabelle1814203847[[#This Row],[Total Area size '[m^2']]],IF(Tabelle1814203847[[#This Row],[(g)round/(r )oof2]]="B",Tabelle1814203847[[#This Row],[Total Area size '[m^2']]],0))</f>
        <v>6.93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/>
      <c r="F13" s="2"/>
      <c r="G13" s="37" t="s">
        <v>107</v>
      </c>
      <c r="H13" s="40">
        <v>2.2000000000000002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v>1.9</v>
      </c>
      <c r="R13" s="40">
        <f>Tabelle512182471251263641[[#This Row],[Height]]*Tabelle512182471251263641[[#This Row],[Length]]</f>
        <v>5.3199999999999994</v>
      </c>
      <c r="S13" s="42">
        <f t="shared" si="2"/>
        <v>2.8</v>
      </c>
      <c r="T13" s="33">
        <v>0</v>
      </c>
      <c r="U13" s="40">
        <f>Tabelle512182471251263641[[#This Row],[Height2]]*Tabelle512182471251263641[[#This Row],[Length3]]</f>
        <v>0</v>
      </c>
      <c r="V13" s="42">
        <f t="shared" si="4"/>
        <v>2.8</v>
      </c>
      <c r="W13" s="3">
        <v>0</v>
      </c>
      <c r="X13" s="3">
        <f>(1-$BR$19)*Tabelle2915214948183338[[#This Row],[North2]]+(1-$BS$19)*Tabelle2915214948183338[[#This Row],[East2]]+(1-$BT$19)*Tabelle2915214948183338[[#This Row],[South2]]+(1-$BU$19)*Tabelle2915214948183338[[#This Row],[West2]]</f>
        <v>6.8179999999999996</v>
      </c>
      <c r="Y13" s="40">
        <f>Tabelle512182471251263641[[#This Row],[Height22]]*Tabelle512182471251263641[[#This Row],[Length33]]+Tabelle512182471251263641[[#This Row],[Length332]]/2</f>
        <v>3.4089999999999998</v>
      </c>
      <c r="Z13" s="42">
        <f>IF(Tabelle1814203847173237[[#This Row],[ceiling]]="c",Tabelle1814203847173237[[#This Row],[Total Area size '[m^2']]],0)</f>
        <v>0</v>
      </c>
      <c r="AA13" s="42">
        <f>IF(Tabelle1814203847173237[[#This Row],[floor]]="f",Tabelle1814203847173237[[#This Row],[Total Area size '[m^2']]],0)</f>
        <v>2.2000000000000002</v>
      </c>
      <c r="AB13" s="5"/>
      <c r="AC13" s="2">
        <v>0</v>
      </c>
      <c r="AD13" s="2">
        <v>1</v>
      </c>
      <c r="AE13" s="2">
        <v>0</v>
      </c>
      <c r="AF13" s="2">
        <v>0</v>
      </c>
      <c r="AG13" s="42">
        <f t="shared" si="5"/>
        <v>2.8</v>
      </c>
      <c r="AH13" s="2">
        <f>0.15+1.9+0.08</f>
        <v>2.13</v>
      </c>
      <c r="AI13" s="44">
        <v>1</v>
      </c>
      <c r="AJ13" s="6">
        <v>1</v>
      </c>
      <c r="AK13" s="2">
        <v>0</v>
      </c>
      <c r="AL13" s="2">
        <v>0</v>
      </c>
      <c r="AM13" s="2">
        <v>0</v>
      </c>
      <c r="AN13" s="42">
        <f t="shared" si="6"/>
        <v>2.8</v>
      </c>
      <c r="AO13" s="2">
        <f>0.33+2.05+0.055</f>
        <v>2.4350000000000001</v>
      </c>
      <c r="AP13" s="44">
        <v>0</v>
      </c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Tabelle310162251049193439[[#This Row],[North]]*$AI13+AL13*$AP13+AS13*$AW13+AZ13*$BD13+BG13*$BK13</f>
        <v>0</v>
      </c>
      <c r="BO13" s="2">
        <f t="shared" si="12"/>
        <v>1</v>
      </c>
      <c r="BP13" s="2">
        <f t="shared" si="13"/>
        <v>0</v>
      </c>
      <c r="BQ13" s="2">
        <f t="shared" si="14"/>
        <v>0</v>
      </c>
      <c r="BR13" s="6">
        <f>Tabelle310162251049193439[[#This Row],[North]]*$AG13*$AH13+AL13*$AN13*$AO13+AS13*$AU13*$AV13+AZ13*$BB13*$BC13+BG13*$BI13*$BJ13-BN13</f>
        <v>0</v>
      </c>
      <c r="BS13" s="2">
        <f t="shared" si="15"/>
        <v>4.9639999999999995</v>
      </c>
      <c r="BT13" s="2">
        <f t="shared" si="16"/>
        <v>6.8179999999999996</v>
      </c>
      <c r="BU13" s="7">
        <f t="shared" si="17"/>
        <v>0</v>
      </c>
      <c r="BV13" s="2">
        <f>IF(Tabelle1814203847[[#This Row],[(g)round/(r )oof2]]="R",Tabelle1814203847[[#This Row],[Total Area size '[m^2']]],IF(Tabelle1814203847[[#This Row],[(g)round/(r )oof2]]="B",Tabelle1814203847[[#This Row],[Total Area size '[m^2']]],0))</f>
        <v>2.2000000000000002</v>
      </c>
      <c r="BW13" s="2"/>
      <c r="BX13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4" spans="1:77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112</v>
      </c>
      <c r="F14" s="2"/>
      <c r="G14" s="37"/>
      <c r="H14" s="40">
        <v>6.93</v>
      </c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>
        <v>0</v>
      </c>
      <c r="R14" s="40">
        <f>Tabelle512182471251263641[[#This Row],[Height]]*Tabelle512182471251263641[[#This Row],[Length]]</f>
        <v>0</v>
      </c>
      <c r="S14" s="42">
        <f t="shared" si="2"/>
        <v>2.8</v>
      </c>
      <c r="T14" s="3">
        <v>0</v>
      </c>
      <c r="U14" s="40">
        <f>Tabelle512182471251263641[[#This Row],[Height2]]*Tabelle512182471251263641[[#This Row],[Length3]]</f>
        <v>0</v>
      </c>
      <c r="V14" s="42">
        <f t="shared" si="4"/>
        <v>2.8</v>
      </c>
      <c r="W14" s="3">
        <v>0</v>
      </c>
      <c r="X14" s="3">
        <f>(1-$BR$19)*Tabelle2915214948183338[[#This Row],[North2]]+(1-$BS$19)*Tabelle2915214948183338[[#This Row],[East2]]+(1-$BT$19)*Tabelle2915214948183338[[#This Row],[South2]]+(1-$BU$19)*Tabelle2915214948183338[[#This Row],[West2]]</f>
        <v>14.77</v>
      </c>
      <c r="Y14" s="40">
        <f>Tabelle512182471251263641[[#This Row],[Height22]]*Tabelle512182471251263641[[#This Row],[Length33]]+Tabelle512182471251263641[[#This Row],[Length332]]/2</f>
        <v>7.3849999999999998</v>
      </c>
      <c r="Z14" s="42">
        <f>IF(Tabelle1814203847173237[[#This Row],[ceiling]]="c",Tabelle1814203847173237[[#This Row],[Total Area size '[m^2']]],0)</f>
        <v>6.93</v>
      </c>
      <c r="AA14" s="42">
        <f>IF(Tabelle1814203847173237[[#This Row],[floor]]="f",Tabelle1814203847173237[[#This Row],[Total Area size '[m^2']]],0)</f>
        <v>6.93</v>
      </c>
      <c r="AB14" s="5"/>
      <c r="AC14" s="2">
        <v>0</v>
      </c>
      <c r="AD14" s="2">
        <v>0</v>
      </c>
      <c r="AE14" s="2">
        <v>0</v>
      </c>
      <c r="AF14" s="2">
        <v>1</v>
      </c>
      <c r="AG14" s="42">
        <f t="shared" si="5"/>
        <v>2.8</v>
      </c>
      <c r="AH14" s="2">
        <f>0.15+0.95+0.9</f>
        <v>2</v>
      </c>
      <c r="AI14" s="44">
        <v>1.08</v>
      </c>
      <c r="AJ14" s="6">
        <v>1</v>
      </c>
      <c r="AK14" s="2">
        <v>0</v>
      </c>
      <c r="AL14" s="2">
        <v>0</v>
      </c>
      <c r="AM14" s="2">
        <v>0</v>
      </c>
      <c r="AN14" s="42">
        <f t="shared" si="6"/>
        <v>2.8</v>
      </c>
      <c r="AO14" s="2">
        <f>5.275</f>
        <v>5.2750000000000004</v>
      </c>
      <c r="AP14" s="44">
        <v>0</v>
      </c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Tabelle310162251049193439[[#This Row],[North]]*$AI14+AL14*$AP14+AS14*$AW14+AZ14*$BD14+BG14*$BK14</f>
        <v>0</v>
      </c>
      <c r="BO14" s="2">
        <f t="shared" si="12"/>
        <v>0</v>
      </c>
      <c r="BP14" s="2">
        <f t="shared" si="13"/>
        <v>0</v>
      </c>
      <c r="BQ14" s="2">
        <f t="shared" si="14"/>
        <v>1.08</v>
      </c>
      <c r="BR14" s="6">
        <f>Tabelle310162251049193439[[#This Row],[North]]*$AG14*$AH14+AL14*$AN14*$AO14+AS14*$AU14*$AV14+AZ14*$BB14*$BC14+BG14*$BI14*$BJ14-BN14</f>
        <v>0</v>
      </c>
      <c r="BS14" s="2">
        <f t="shared" si="15"/>
        <v>0</v>
      </c>
      <c r="BT14" s="2">
        <f t="shared" si="16"/>
        <v>14.77</v>
      </c>
      <c r="BU14" s="7">
        <f t="shared" si="17"/>
        <v>4.5199999999999996</v>
      </c>
      <c r="BV14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4" s="2"/>
      <c r="BX14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5" spans="1:77" x14ac:dyDescent="0.25">
      <c r="A15" s="40">
        <v>11</v>
      </c>
      <c r="B15" s="2" t="s">
        <v>97</v>
      </c>
      <c r="C15" s="2" t="s">
        <v>101</v>
      </c>
      <c r="D15" s="2" t="s">
        <v>113</v>
      </c>
      <c r="E15" s="37"/>
      <c r="F15" s="2"/>
      <c r="G15" s="2" t="s">
        <v>107</v>
      </c>
      <c r="H15" s="40">
        <v>9</v>
      </c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>
        <f>3.9+2.05</f>
        <v>5.9499999999999993</v>
      </c>
      <c r="R15" s="40">
        <f>Tabelle512182471251263641[[#This Row],[Height]]*Tabelle512182471251263641[[#This Row],[Length]]</f>
        <v>16.659999999999997</v>
      </c>
      <c r="S15" s="42">
        <f t="shared" si="2"/>
        <v>2.8</v>
      </c>
      <c r="T15" s="3">
        <v>1.04</v>
      </c>
      <c r="U15" s="40">
        <f>Tabelle512182471251263641[[#This Row],[Height2]]*Tabelle512182471251263641[[#This Row],[Length3]]</f>
        <v>2.9119999999999999</v>
      </c>
      <c r="V15" s="42">
        <f t="shared" si="4"/>
        <v>2.8</v>
      </c>
      <c r="W15" s="3">
        <v>0</v>
      </c>
      <c r="X15" s="3">
        <f>(1-$BR$19)*Tabelle2915214948183338[[#This Row],[North2]]+(1-$BS$19)*Tabelle2915214948183338[[#This Row],[East2]]+(1-$BT$19)*Tabelle2915214948183338[[#This Row],[South2]]+(1-$BU$19)*Tabelle2915214948183338[[#This Row],[West2]]</f>
        <v>10.038</v>
      </c>
      <c r="Y15" s="40">
        <f>Tabelle512182471251263641[[#This Row],[Height22]]*Tabelle512182471251263641[[#This Row],[Length33]]+Tabelle512182471251263641[[#This Row],[Length332]]/2</f>
        <v>5.0190000000000001</v>
      </c>
      <c r="Z15" s="42">
        <f>IF(Tabelle1814203847173237[[#This Row],[ceiling]]="c",Tabelle1814203847173237[[#This Row],[Total Area size '[m^2']]],0)</f>
        <v>0</v>
      </c>
      <c r="AA15" s="42">
        <f>IF(Tabelle1814203847173237[[#This Row],[floor]]="f",Tabelle1814203847173237[[#This Row],[Total Area size '[m^2']]],0)</f>
        <v>9</v>
      </c>
      <c r="AB15" s="5"/>
      <c r="AC15" s="2">
        <v>0</v>
      </c>
      <c r="AD15" s="2">
        <v>1</v>
      </c>
      <c r="AE15" s="2">
        <v>0</v>
      </c>
      <c r="AF15" s="2">
        <v>0</v>
      </c>
      <c r="AG15" s="42">
        <f t="shared" si="5"/>
        <v>2.8</v>
      </c>
      <c r="AH15" s="2">
        <f>0.15+0.59+2.4+0.91+0.08</f>
        <v>4.13</v>
      </c>
      <c r="AI15" s="44">
        <v>2</v>
      </c>
      <c r="AJ15" s="6">
        <v>0</v>
      </c>
      <c r="AK15" s="2">
        <v>0</v>
      </c>
      <c r="AL15" s="2">
        <v>1</v>
      </c>
      <c r="AM15" s="2">
        <v>0</v>
      </c>
      <c r="AN15" s="42">
        <f t="shared" si="6"/>
        <v>2.8</v>
      </c>
      <c r="AO15" s="2">
        <f>0.33+3.2+0.055</f>
        <v>3.5850000000000004</v>
      </c>
      <c r="AP15" s="44">
        <v>0</v>
      </c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Tabelle310162251049193439[[#This Row],[North]]*$AI15+AL15*$AP15+AS15*$AW15+AZ15*$BD15+BG15*$BK15</f>
        <v>0</v>
      </c>
      <c r="BO15" s="2">
        <f t="shared" si="12"/>
        <v>2</v>
      </c>
      <c r="BP15" s="2">
        <f t="shared" si="13"/>
        <v>0</v>
      </c>
      <c r="BQ15" s="2">
        <f t="shared" si="14"/>
        <v>0</v>
      </c>
      <c r="BR15" s="6">
        <f>Tabelle310162251049193439[[#This Row],[North]]*$AG15*$AH15+AL15*$AN15*$AO15+AS15*$AU15*$AV15+AZ15*$BB15*$BC15+BG15*$BI15*$BJ15-BN15</f>
        <v>10.038</v>
      </c>
      <c r="BS15" s="2">
        <f t="shared" si="15"/>
        <v>9.5639999999999983</v>
      </c>
      <c r="BT15" s="2">
        <f t="shared" si="16"/>
        <v>0</v>
      </c>
      <c r="BU15" s="7">
        <f t="shared" si="17"/>
        <v>0</v>
      </c>
      <c r="BV15" s="2">
        <f>IF(Tabelle1814203847[[#This Row],[(g)round/(r )oof2]]="R",Tabelle1814203847[[#This Row],[Total Area size '[m^2']]],IF(Tabelle1814203847[[#This Row],[(g)round/(r )oof2]]="B",Tabelle1814203847[[#This Row],[Total Area size '[m^2']]],0))</f>
        <v>9</v>
      </c>
      <c r="BW15" s="2"/>
      <c r="BX15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6" spans="1:77" x14ac:dyDescent="0.25">
      <c r="A16" s="40">
        <v>12</v>
      </c>
      <c r="B16" s="2" t="s">
        <v>122</v>
      </c>
      <c r="C16" s="2" t="s">
        <v>10</v>
      </c>
      <c r="D16" s="2" t="s">
        <v>113</v>
      </c>
      <c r="E16" s="2"/>
      <c r="F16" s="2"/>
      <c r="G16" s="2" t="s">
        <v>107</v>
      </c>
      <c r="H16" s="40">
        <v>6.93</v>
      </c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>
        <v>1.9</v>
      </c>
      <c r="R16" s="40">
        <f>Tabelle512182471251263641[[#This Row],[Height]]*Tabelle512182471251263641[[#This Row],[Length]]</f>
        <v>5.3199999999999994</v>
      </c>
      <c r="S16" s="42">
        <f t="shared" si="2"/>
        <v>2.8</v>
      </c>
      <c r="T16" s="3">
        <v>0</v>
      </c>
      <c r="U16" s="40">
        <f>Tabelle512182471251263641[[#This Row],[Height2]]*Tabelle512182471251263641[[#This Row],[Length3]]</f>
        <v>0</v>
      </c>
      <c r="V16" s="42">
        <f t="shared" si="4"/>
        <v>2.8</v>
      </c>
      <c r="W16" s="3">
        <v>0</v>
      </c>
      <c r="X16" s="3">
        <f>(1-$BR$19)*Tabelle2915214948183338[[#This Row],[North2]]+(1-$BS$19)*Tabelle2915214948183338[[#This Row],[East2]]+(1-$BT$19)*Tabelle2915214948183338[[#This Row],[South2]]+(1-$BU$19)*Tabelle2915214948183338[[#This Row],[West2]]</f>
        <v>18.269999999999996</v>
      </c>
      <c r="Y16" s="40">
        <f>Tabelle512182471251263641[[#This Row],[Height22]]*Tabelle512182471251263641[[#This Row],[Length33]]+Tabelle512182471251263641[[#This Row],[Length332]]/2</f>
        <v>9.134999999999998</v>
      </c>
      <c r="Z16" s="42">
        <f>IF(Tabelle1814203847173237[[#This Row],[ceiling]]="c",Tabelle1814203847173237[[#This Row],[Total Area size '[m^2']]],0)</f>
        <v>0</v>
      </c>
      <c r="AA16" s="42">
        <f>IF(Tabelle1814203847173237[[#This Row],[floor]]="f",Tabelle1814203847173237[[#This Row],[Total Area size '[m^2']]],0)</f>
        <v>6.93</v>
      </c>
      <c r="AB16" s="5"/>
      <c r="AC16" s="2">
        <v>0</v>
      </c>
      <c r="AD16" s="2">
        <v>0</v>
      </c>
      <c r="AE16" s="2">
        <v>0</v>
      </c>
      <c r="AF16" s="2">
        <v>1</v>
      </c>
      <c r="AG16" s="42">
        <f t="shared" si="5"/>
        <v>2.8</v>
      </c>
      <c r="AH16" s="3">
        <f>0.15+1.9+0.08</f>
        <v>2.13</v>
      </c>
      <c r="AI16" s="44">
        <v>1</v>
      </c>
      <c r="AJ16" s="6">
        <v>1</v>
      </c>
      <c r="AK16" s="2">
        <v>0</v>
      </c>
      <c r="AL16" s="2">
        <v>0</v>
      </c>
      <c r="AM16" s="2">
        <v>0</v>
      </c>
      <c r="AN16" s="42">
        <f t="shared" si="6"/>
        <v>2.8</v>
      </c>
      <c r="AO16" s="2">
        <f>0.33+6.14+0.055</f>
        <v>6.5249999999999995</v>
      </c>
      <c r="AP16" s="44">
        <v>0</v>
      </c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Tabelle310162251049193439[[#This Row],[North]]*$AI16+AL16*$AP16+AS16*$AW16+AZ16*$BD16+BG16*$BK16</f>
        <v>0</v>
      </c>
      <c r="BO16" s="2">
        <f t="shared" si="12"/>
        <v>0</v>
      </c>
      <c r="BP16" s="2">
        <f t="shared" si="13"/>
        <v>0</v>
      </c>
      <c r="BQ16" s="2">
        <f t="shared" si="14"/>
        <v>1</v>
      </c>
      <c r="BR16" s="6">
        <f>Tabelle310162251049193439[[#This Row],[North]]*$AG16*$AH16+AL16*$AN16*$AO16+AS16*$AU16*$AV16+AZ16*$BB16*$BC16+BG16*$BI16*$BJ16-BN16</f>
        <v>0</v>
      </c>
      <c r="BS16" s="2">
        <f t="shared" si="15"/>
        <v>0</v>
      </c>
      <c r="BT16" s="2">
        <f t="shared" si="16"/>
        <v>18.269999999999996</v>
      </c>
      <c r="BU16" s="7">
        <f t="shared" si="17"/>
        <v>4.9639999999999995</v>
      </c>
      <c r="BV16" s="2">
        <f>IF(Tabelle1814203847[[#This Row],[(g)round/(r )oof2]]="R",Tabelle1814203847[[#This Row],[Total Area size '[m^2']]],IF(Tabelle1814203847[[#This Row],[(g)round/(r )oof2]]="B",Tabelle1814203847[[#This Row],[Total Area size '[m^2']]],0))</f>
        <v>6.93</v>
      </c>
      <c r="BW16" s="2"/>
      <c r="BX16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18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7" s="2"/>
      <c r="BX17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IF(Tabelle1814203847[[#This Row],[(g)round/(r )oof2]]="R",Tabelle1814203847[[#This Row],[Total Area size '[m^2']]],IF(Tabelle1814203847[[#This Row],[(g)round/(r )oof2]]="B",Tabelle1814203847[[#This Row],[Total Area size '[m^2']]],0))</f>
        <v>0</v>
      </c>
      <c r="BW18" s="2"/>
      <c r="BX18" s="2">
        <f>IF(Tabelle1814203847[[#This Row],[(g)round/(r )oof2]]="G",Tabelle1814203847[[#This Row],[Total Area size '[m^2']]],IF(Tabelle1814203847[[#This Row],[(g)round/(r )oof2]]="B",Tabelle1814203847[[#This Row],[Total Area size '[m^2']]],0))</f>
        <v>0</v>
      </c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0</v>
      </c>
      <c r="BS19" s="2">
        <v>1</v>
      </c>
      <c r="BT19" s="2">
        <v>0</v>
      </c>
      <c r="BU19" s="7">
        <v>1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2.2799999999999998</v>
      </c>
      <c r="BO22" s="61">
        <f t="shared" ref="BO22:BQ25" si="19">SUMIF($C$5:$C$18,$BM22,BO$5:BO$18)</f>
        <v>7.91</v>
      </c>
      <c r="BP22" s="61">
        <f t="shared" si="19"/>
        <v>0</v>
      </c>
      <c r="BQ22" s="61">
        <f t="shared" si="19"/>
        <v>2.88</v>
      </c>
      <c r="BR22" s="61">
        <f>SUMIF($C$5:$C$18,$BM22,BR$5:BR$18)*BR$19</f>
        <v>0</v>
      </c>
      <c r="BS22" s="61">
        <f t="shared" ref="BS22:BU22" si="20">SUMIF($C$5:$C$18,$BM22,BS$5:BS$18)*BS$19</f>
        <v>21.685999999999996</v>
      </c>
      <c r="BT22" s="61">
        <f t="shared" si="20"/>
        <v>0</v>
      </c>
      <c r="BU22" s="61">
        <f t="shared" si="20"/>
        <v>9.0479999999999983</v>
      </c>
      <c r="BV22" s="61">
        <f>SUMIF($C$5:$C$18,$BM22,BV$5:BV$18)</f>
        <v>9</v>
      </c>
      <c r="BW22" s="61">
        <f>BV22*$BV$30</f>
        <v>19.170817462642841</v>
      </c>
      <c r="BX22" s="61">
        <f>SUMIF($C$5:$C$18,$BM22,BX$5:BX$19)</f>
        <v>43.599999999999994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52.599999999999994</v>
      </c>
      <c r="I23" s="12">
        <f>H23/$H$28</f>
        <v>0.39972642298046956</v>
      </c>
      <c r="J23" s="1"/>
      <c r="K23" s="86" t="s">
        <v>86</v>
      </c>
      <c r="L23" s="86"/>
      <c r="M23" s="87"/>
      <c r="N23" s="78"/>
      <c r="O23" s="3"/>
      <c r="P23" s="33"/>
      <c r="Q23" s="3"/>
      <c r="R23" s="55">
        <f>SUMIF($C$5:$C$18,C23,$R$5:$R$18)/2</f>
        <v>12.389999999999997</v>
      </c>
      <c r="S23" s="3"/>
      <c r="T23" s="3"/>
      <c r="U23" s="55">
        <f>SUMIF($C$5:$C$18,$C23,$U$5:$U$18)</f>
        <v>22.231999999999999</v>
      </c>
      <c r="V23" s="3"/>
      <c r="W23" s="3"/>
      <c r="X23" s="3"/>
      <c r="Y23" s="55">
        <f>SUMIF($C$5:$C$18,$C23,$Y$5:$Y$18)</f>
        <v>29.113999999999997</v>
      </c>
      <c r="Z23" s="55">
        <f>SUMIF($C$5:$C$18,$C23,$Z$5:$Z$18)/2</f>
        <v>21.799999999999997</v>
      </c>
      <c r="AA23" s="55">
        <f>SUMIF($C$5:$C$18,$C23,$AA$5:$AA$18)/2</f>
        <v>4.5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0</v>
      </c>
      <c r="BO23" s="61">
        <f t="shared" si="19"/>
        <v>1</v>
      </c>
      <c r="BP23" s="61">
        <f t="shared" si="19"/>
        <v>0</v>
      </c>
      <c r="BQ23" s="61">
        <f t="shared" si="19"/>
        <v>2.08</v>
      </c>
      <c r="BR23" s="61">
        <f t="shared" ref="BR23:BU25" si="21">SUMIF($C$5:$C$18,$BM23,BR$5:BR$18)*BR$19</f>
        <v>0</v>
      </c>
      <c r="BS23" s="61">
        <f t="shared" si="21"/>
        <v>4.9639999999999995</v>
      </c>
      <c r="BT23" s="61">
        <f t="shared" si="21"/>
        <v>0</v>
      </c>
      <c r="BU23" s="61">
        <f t="shared" si="21"/>
        <v>15.084</v>
      </c>
      <c r="BV23" s="61">
        <f t="shared" ref="BV23:BV25" si="22">SUMIF($C$5:$C$18,$BM23,BV$5:BV$18)</f>
        <v>9.129999999999999</v>
      </c>
      <c r="BW23" s="61">
        <f t="shared" ref="BW23:BW25" si="23">BV23*$BV$30</f>
        <v>19.447729270436568</v>
      </c>
      <c r="BX23" s="61">
        <f>SUMIF($C$5:$C$18,$BM23,BX$5:BX$18)</f>
        <v>8.629999999999999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24.689999999999998</v>
      </c>
      <c r="I24" s="2">
        <f>H24/$H$28</f>
        <v>0.18762823922790484</v>
      </c>
      <c r="J24" s="1"/>
      <c r="K24" s="86"/>
      <c r="L24" s="86"/>
      <c r="M24" s="87"/>
      <c r="N24" s="78"/>
      <c r="O24" s="3"/>
      <c r="P24" s="33"/>
      <c r="Q24" s="3"/>
      <c r="R24" s="56">
        <f>SUMIF($C$5:$C$18,C24,$R$5:$R$18)/2</f>
        <v>10.639999999999999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27.313999999999997</v>
      </c>
      <c r="Z24" s="55">
        <f t="shared" ref="Z24:Z26" si="24">SUMIF($C$5:$C$18,$C24,$Z$5:$Z$18)/2</f>
        <v>7.7799999999999994</v>
      </c>
      <c r="AA24" s="55">
        <f t="shared" ref="AA24:AA26" si="25">SUMIF($C$5:$C$18,$C24,$AA$5:$AA$18)/2</f>
        <v>8.0299999999999994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0</v>
      </c>
      <c r="BO24" s="61">
        <f t="shared" si="19"/>
        <v>2.88</v>
      </c>
      <c r="BP24" s="61">
        <f t="shared" si="19"/>
        <v>0</v>
      </c>
      <c r="BQ24" s="61">
        <f t="shared" si="19"/>
        <v>4.88</v>
      </c>
      <c r="BR24" s="61">
        <f t="shared" si="21"/>
        <v>0</v>
      </c>
      <c r="BS24" s="61">
        <f t="shared" si="21"/>
        <v>8.6839999999999975</v>
      </c>
      <c r="BT24" s="61">
        <f t="shared" si="21"/>
        <v>0</v>
      </c>
      <c r="BU24" s="61">
        <f t="shared" si="21"/>
        <v>18.317999999999998</v>
      </c>
      <c r="BV24" s="61">
        <f t="shared" si="22"/>
        <v>16</v>
      </c>
      <c r="BW24" s="61">
        <f t="shared" si="23"/>
        <v>34.081453266920605</v>
      </c>
      <c r="BX24" s="61">
        <f>SUMIF($C$5:$C$18,$BM24,BX$5:BX$18)</f>
        <v>0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</v>
      </c>
      <c r="I25" s="2">
        <f>H25/$H$28</f>
        <v>0.36476935937381261</v>
      </c>
      <c r="J25" s="1"/>
      <c r="K25" s="86"/>
      <c r="L25" s="86"/>
      <c r="M25" s="87"/>
      <c r="N25" s="78"/>
      <c r="O25" s="3"/>
      <c r="P25" s="33"/>
      <c r="Q25" s="3"/>
      <c r="R25" s="56">
        <f>SUMIF($C$5:$C$18,C25,$R$5:$R$18)/2</f>
        <v>21</v>
      </c>
      <c r="S25" s="3"/>
      <c r="T25" s="3"/>
      <c r="U25" s="56">
        <f>SUMIF($C$5:$C$18,$C25,$U$5:$U$18)</f>
        <v>28.28</v>
      </c>
      <c r="V25" s="3"/>
      <c r="W25" s="3"/>
      <c r="X25" s="3"/>
      <c r="Y25" s="56">
        <f>SUMIF($C$5:$C$18,$C25,$Y$5:$Y$18)</f>
        <v>19.816999999999997</v>
      </c>
      <c r="Z25" s="55">
        <f t="shared" si="24"/>
        <v>16</v>
      </c>
      <c r="AA25" s="55">
        <f t="shared" si="25"/>
        <v>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0</v>
      </c>
      <c r="BO25" s="61">
        <f t="shared" si="19"/>
        <v>0.96</v>
      </c>
      <c r="BP25" s="61">
        <f t="shared" si="19"/>
        <v>0</v>
      </c>
      <c r="BQ25" s="61">
        <f t="shared" si="19"/>
        <v>0</v>
      </c>
      <c r="BR25" s="61">
        <f t="shared" si="21"/>
        <v>0</v>
      </c>
      <c r="BS25" s="61">
        <f t="shared" si="21"/>
        <v>5.0039999999999996</v>
      </c>
      <c r="BT25" s="61">
        <f t="shared" si="21"/>
        <v>0</v>
      </c>
      <c r="BU25" s="61">
        <f t="shared" si="21"/>
        <v>0</v>
      </c>
      <c r="BV25" s="61">
        <f t="shared" si="22"/>
        <v>0</v>
      </c>
      <c r="BW25" s="61">
        <f t="shared" si="23"/>
        <v>0</v>
      </c>
      <c r="BX25" s="61">
        <f>SUMIF($C$5:$C$18,$BM25,BX$5:BX$18)</f>
        <v>0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6.3</v>
      </c>
      <c r="I26" s="2">
        <f>H26/$H$28</f>
        <v>4.7875978417812902E-2</v>
      </c>
      <c r="J26" s="1"/>
      <c r="K26" s="86"/>
      <c r="L26" s="86"/>
      <c r="M26" s="87"/>
      <c r="N26" s="78"/>
      <c r="O26" s="3"/>
      <c r="P26" s="33"/>
      <c r="Q26" s="3"/>
      <c r="R26" s="56">
        <f>SUMIF($C$5:$C$18,C26,$R$5:$R$18)/2</f>
        <v>4.6199999999999992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5.1589999999999998</v>
      </c>
      <c r="Z26" s="55">
        <f t="shared" si="24"/>
        <v>3.15</v>
      </c>
      <c r="AA26" s="55">
        <f t="shared" si="25"/>
        <v>3.15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/>
      <c r="BW26" s="63"/>
      <c r="BX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X27" si="26">SUM(BN22:BN26)</f>
        <v>2.2799999999999998</v>
      </c>
      <c r="BO27" s="66">
        <f t="shared" si="26"/>
        <v>12.75</v>
      </c>
      <c r="BP27" s="66">
        <f t="shared" si="26"/>
        <v>0</v>
      </c>
      <c r="BQ27" s="66">
        <f t="shared" si="26"/>
        <v>9.84</v>
      </c>
      <c r="BR27" s="66">
        <f t="shared" si="26"/>
        <v>0</v>
      </c>
      <c r="BS27" s="66">
        <f t="shared" si="26"/>
        <v>40.337999999999987</v>
      </c>
      <c r="BT27" s="66">
        <f t="shared" si="26"/>
        <v>0</v>
      </c>
      <c r="BU27" s="66">
        <f t="shared" si="26"/>
        <v>42.449999999999996</v>
      </c>
      <c r="BV27" s="66">
        <f t="shared" si="26"/>
        <v>34.129999999999995</v>
      </c>
      <c r="BW27" s="66">
        <f t="shared" si="26"/>
        <v>72.700000000000017</v>
      </c>
      <c r="BX27" s="66">
        <f t="shared" si="26"/>
        <v>52.22999999999999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131.59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48.649999999999991</v>
      </c>
      <c r="S28" s="3"/>
      <c r="T28" s="3"/>
      <c r="U28" s="56">
        <f>SUM(U23:U26)</f>
        <v>55.832000000000001</v>
      </c>
      <c r="V28" s="3"/>
      <c r="W28" s="3"/>
      <c r="X28" s="3"/>
      <c r="Y28" s="72">
        <f>SUM(Y23:Y26)</f>
        <v>81.403999999999996</v>
      </c>
      <c r="Z28" s="73">
        <f>SUM(Z23:Z26)</f>
        <v>48.73</v>
      </c>
      <c r="AA28" s="73">
        <f>SUM(AA23:AA26)</f>
        <v>39.68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>
        <v>72.7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f>BV29/BV27</f>
        <v>2.1300908291825378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63.73599999999999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27">Y24+U24+R24</f>
        <v>37.953999999999994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27"/>
        <v>69.096999999999994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27"/>
        <v>15.098999999999998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0.52578582000140961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20" priority="2" operator="lessThan">
      <formula>0.03</formula>
    </cfRule>
  </conditionalFormatting>
  <conditionalFormatting sqref="I23:I28">
    <cfRule type="cellIs" dxfId="19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4"/>
  <sheetViews>
    <sheetView zoomScale="70" zoomScaleNormal="70" workbookViewId="0">
      <pane xSplit="2" ySplit="4" topLeftCell="C5" activePane="bottomRight" state="frozen"/>
      <selection activeCell="X55" sqref="X55"/>
      <selection pane="topRight" activeCell="X55" sqref="X55"/>
      <selection pane="bottomLeft" activeCell="X55" sqref="X55"/>
      <selection pane="bottomRight" activeCell="AK50" sqref="AK50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5" width="11.42578125" customWidth="1"/>
    <col min="16" max="17" width="19.42578125" customWidth="1"/>
    <col min="18" max="18" width="27.140625" customWidth="1"/>
    <col min="19" max="20" width="21.7109375" customWidth="1"/>
    <col min="21" max="25" width="26.28515625" customWidth="1"/>
    <col min="26" max="26" width="15.140625" bestFit="1" customWidth="1"/>
    <col min="27" max="27" width="16.7109375" bestFit="1" customWidth="1"/>
    <col min="28" max="28" width="11.42578125" customWidth="1"/>
    <col min="29" max="29" width="21.42578125" bestFit="1" customWidth="1"/>
    <col min="30" max="35" width="11.42578125" customWidth="1"/>
    <col min="36" max="36" width="19.28515625" bestFit="1" customWidth="1"/>
    <col min="37" max="42" width="11.42578125" customWidth="1"/>
    <col min="43" max="43" width="17" customWidth="1"/>
    <col min="44" max="49" width="11.42578125" customWidth="1"/>
    <col min="50" max="50" width="17.28515625" customWidth="1"/>
    <col min="51" max="54" width="11.42578125" customWidth="1"/>
    <col min="55" max="55" width="11.85546875" customWidth="1"/>
    <col min="56" max="56" width="11.42578125" customWidth="1"/>
    <col min="57" max="57" width="17.28515625" customWidth="1"/>
    <col min="58" max="61" width="11.42578125" customWidth="1"/>
    <col min="62" max="62" width="11.85546875" customWidth="1"/>
    <col min="63" max="64" width="11.42578125" customWidth="1"/>
    <col min="65" max="66" width="17.28515625" customWidth="1"/>
    <col min="67" max="73" width="11.42578125" customWidth="1"/>
    <col min="74" max="74" width="21.28515625" customWidth="1"/>
    <col min="75" max="75" width="18.140625" customWidth="1"/>
    <col min="76" max="76" width="20.140625" customWidth="1"/>
    <col min="77" max="77" width="19.5703125" customWidth="1"/>
    <col min="78" max="78" width="26.42578125" bestFit="1" customWidth="1"/>
    <col min="79" max="79" width="30" bestFit="1" customWidth="1"/>
    <col min="80" max="83" width="20.28515625" customWidth="1"/>
    <col min="84" max="84" width="21" customWidth="1"/>
    <col min="85" max="85" width="21.42578125" bestFit="1" customWidth="1"/>
    <col min="86" max="86" width="21.7109375" bestFit="1" customWidth="1"/>
  </cols>
  <sheetData>
    <row r="1" spans="1:77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7" s="34" customFormat="1" ht="21.75" thickBot="1" x14ac:dyDescent="0.4">
      <c r="A2" s="19"/>
      <c r="B2" s="19" t="s">
        <v>91</v>
      </c>
      <c r="C2" s="19" t="s">
        <v>137</v>
      </c>
      <c r="D2" s="19"/>
      <c r="E2" s="19">
        <v>2014</v>
      </c>
      <c r="G2" s="19">
        <v>5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7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1" t="s">
        <v>74</v>
      </c>
      <c r="Q3" s="22"/>
      <c r="R3" s="22"/>
      <c r="S3" s="22" t="s">
        <v>75</v>
      </c>
      <c r="T3" s="22"/>
      <c r="U3" s="22"/>
      <c r="V3" s="22" t="s">
        <v>78</v>
      </c>
      <c r="W3" s="22"/>
      <c r="X3" s="22"/>
      <c r="Y3" s="22"/>
      <c r="Z3" s="22" t="s">
        <v>71</v>
      </c>
      <c r="AA3" s="22" t="s">
        <v>2</v>
      </c>
      <c r="AB3" s="18"/>
      <c r="AC3" s="88" t="s">
        <v>65</v>
      </c>
      <c r="AD3" s="89"/>
      <c r="AE3" s="89"/>
      <c r="AF3" s="89"/>
      <c r="AG3" s="89"/>
      <c r="AH3" s="79"/>
      <c r="AI3" s="79"/>
      <c r="AJ3" s="20"/>
      <c r="AK3" s="88" t="s">
        <v>66</v>
      </c>
      <c r="AL3" s="89"/>
      <c r="AM3" s="89"/>
      <c r="AN3" s="89"/>
      <c r="AO3" s="79"/>
      <c r="AP3" s="79"/>
      <c r="AQ3" s="20"/>
      <c r="AR3" s="90" t="s">
        <v>67</v>
      </c>
      <c r="AS3" s="90"/>
      <c r="AT3" s="90"/>
      <c r="AU3" s="90"/>
      <c r="AV3" s="80"/>
      <c r="AW3" s="80"/>
      <c r="AX3" s="80"/>
      <c r="AY3" s="90" t="s">
        <v>68</v>
      </c>
      <c r="AZ3" s="90"/>
      <c r="BA3" s="90"/>
      <c r="BB3" s="90"/>
      <c r="BC3" s="80"/>
      <c r="BD3" s="80"/>
      <c r="BE3" s="80"/>
      <c r="BF3" s="85" t="s">
        <v>69</v>
      </c>
      <c r="BG3" s="85"/>
      <c r="BH3" s="85"/>
      <c r="BI3" s="85"/>
      <c r="BJ3" s="80"/>
      <c r="BK3" s="80"/>
      <c r="BL3" s="80"/>
      <c r="BM3" s="80"/>
      <c r="BN3" s="80"/>
      <c r="BO3" s="21" t="s">
        <v>28</v>
      </c>
      <c r="BP3" s="79"/>
      <c r="BQ3" s="79"/>
      <c r="BR3" s="79"/>
      <c r="BS3" s="22" t="s">
        <v>29</v>
      </c>
      <c r="BT3" s="79"/>
      <c r="BU3" s="79"/>
      <c r="BV3" s="22"/>
      <c r="BW3" s="22"/>
      <c r="BX3" s="23"/>
      <c r="BY3" s="35"/>
    </row>
    <row r="4" spans="1:77" x14ac:dyDescent="0.25">
      <c r="A4" s="40" t="s">
        <v>5</v>
      </c>
      <c r="B4" s="2" t="s">
        <v>6</v>
      </c>
      <c r="C4" s="2" t="s">
        <v>7</v>
      </c>
      <c r="D4" s="2" t="s">
        <v>2</v>
      </c>
      <c r="E4" s="2" t="s">
        <v>71</v>
      </c>
      <c r="F4" s="2" t="s">
        <v>8</v>
      </c>
      <c r="G4" s="2" t="s">
        <v>121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5"/>
      <c r="P4" s="41" t="s">
        <v>27</v>
      </c>
      <c r="Q4" s="13" t="s">
        <v>26</v>
      </c>
      <c r="R4" s="43" t="s">
        <v>79</v>
      </c>
      <c r="S4" s="41" t="s">
        <v>62</v>
      </c>
      <c r="T4" s="13" t="s">
        <v>70</v>
      </c>
      <c r="U4" s="43" t="s">
        <v>80</v>
      </c>
      <c r="V4" s="41" t="s">
        <v>76</v>
      </c>
      <c r="W4" s="13" t="s">
        <v>77</v>
      </c>
      <c r="X4" s="13" t="s">
        <v>135</v>
      </c>
      <c r="Y4" s="43" t="s">
        <v>81</v>
      </c>
      <c r="Z4" s="41" t="s">
        <v>72</v>
      </c>
      <c r="AA4" s="40" t="s">
        <v>73</v>
      </c>
      <c r="AB4" s="5"/>
      <c r="AC4" s="2" t="s">
        <v>23</v>
      </c>
      <c r="AD4" s="2" t="s">
        <v>22</v>
      </c>
      <c r="AE4" s="2" t="s">
        <v>21</v>
      </c>
      <c r="AF4" s="2" t="s">
        <v>24</v>
      </c>
      <c r="AG4" s="40" t="s">
        <v>27</v>
      </c>
      <c r="AH4" s="2" t="s">
        <v>26</v>
      </c>
      <c r="AI4" s="44" t="s">
        <v>30</v>
      </c>
      <c r="AJ4" s="6" t="s">
        <v>87</v>
      </c>
      <c r="AK4" s="2" t="s">
        <v>33</v>
      </c>
      <c r="AL4" s="2" t="s">
        <v>32</v>
      </c>
      <c r="AM4" s="2" t="s">
        <v>35</v>
      </c>
      <c r="AN4" s="40" t="s">
        <v>36</v>
      </c>
      <c r="AO4" s="2" t="s">
        <v>37</v>
      </c>
      <c r="AP4" s="44" t="s">
        <v>38</v>
      </c>
      <c r="AQ4" s="11" t="s">
        <v>34</v>
      </c>
      <c r="AR4" s="12" t="s">
        <v>39</v>
      </c>
      <c r="AS4" s="12" t="s">
        <v>64</v>
      </c>
      <c r="AT4" s="12" t="s">
        <v>40</v>
      </c>
      <c r="AU4" s="43" t="s">
        <v>41</v>
      </c>
      <c r="AV4" s="12" t="s">
        <v>42</v>
      </c>
      <c r="AW4" s="45" t="s">
        <v>43</v>
      </c>
      <c r="AX4" s="11" t="s">
        <v>88</v>
      </c>
      <c r="AY4" s="12" t="s">
        <v>44</v>
      </c>
      <c r="AZ4" s="12" t="s">
        <v>89</v>
      </c>
      <c r="BA4" s="12" t="s">
        <v>45</v>
      </c>
      <c r="BB4" s="43" t="s">
        <v>46</v>
      </c>
      <c r="BC4" s="12" t="s">
        <v>47</v>
      </c>
      <c r="BD4" s="45" t="s">
        <v>48</v>
      </c>
      <c r="BE4" s="11" t="s">
        <v>90</v>
      </c>
      <c r="BF4" s="12" t="s">
        <v>58</v>
      </c>
      <c r="BG4" s="12" t="s">
        <v>61</v>
      </c>
      <c r="BH4" s="12" t="s">
        <v>60</v>
      </c>
      <c r="BI4" s="43" t="s">
        <v>62</v>
      </c>
      <c r="BJ4" s="12" t="s">
        <v>63</v>
      </c>
      <c r="BK4" s="43" t="s">
        <v>49</v>
      </c>
      <c r="BL4" s="1"/>
      <c r="BM4" s="1"/>
      <c r="BN4" s="2" t="s">
        <v>21</v>
      </c>
      <c r="BO4" s="2" t="s">
        <v>22</v>
      </c>
      <c r="BP4" s="2" t="s">
        <v>23</v>
      </c>
      <c r="BQ4" s="2" t="s">
        <v>24</v>
      </c>
      <c r="BR4" s="6" t="s">
        <v>32</v>
      </c>
      <c r="BS4" s="2" t="s">
        <v>58</v>
      </c>
      <c r="BT4" s="2" t="s">
        <v>59</v>
      </c>
      <c r="BU4" s="7" t="s">
        <v>60</v>
      </c>
      <c r="BV4" s="2" t="s">
        <v>139</v>
      </c>
      <c r="BW4" s="6" t="s">
        <v>31</v>
      </c>
      <c r="BX4" s="2" t="s">
        <v>52</v>
      </c>
    </row>
    <row r="5" spans="1:77" x14ac:dyDescent="0.25">
      <c r="A5" s="40">
        <v>1</v>
      </c>
      <c r="B5" s="2" t="s">
        <v>93</v>
      </c>
      <c r="C5" s="2" t="s">
        <v>101</v>
      </c>
      <c r="D5" s="2" t="s">
        <v>113</v>
      </c>
      <c r="E5" s="37" t="s">
        <v>112</v>
      </c>
      <c r="F5" s="2"/>
      <c r="G5" s="37" t="s">
        <v>106</v>
      </c>
      <c r="H5" s="40">
        <v>45.7</v>
      </c>
      <c r="I5" s="2"/>
      <c r="J5" s="2"/>
      <c r="K5" s="2"/>
      <c r="L5" s="2"/>
      <c r="M5" s="2"/>
      <c r="N5" s="2"/>
      <c r="O5" s="5"/>
      <c r="P5" s="42">
        <f t="shared" ref="P5:P16" si="0">$H$2</f>
        <v>2.8</v>
      </c>
      <c r="Q5" s="3">
        <v>0.6</v>
      </c>
      <c r="R5" s="40">
        <f>Tabelle51218247125146[[#This Row],[Height]]*Tabelle51218247125146[[#This Row],[Length]]</f>
        <v>1.68</v>
      </c>
      <c r="S5" s="42">
        <f t="shared" ref="S5:S16" si="1">$H$2</f>
        <v>2.8</v>
      </c>
      <c r="T5" s="3">
        <f t="shared" ref="T5" si="2">2.6+0.16+1.5+4.46+2.1+0.84+3.81</f>
        <v>15.469999999999999</v>
      </c>
      <c r="U5" s="40">
        <f>Tabelle51218247125146[[#This Row],[Height2]]*Tabelle51218247125146[[#This Row],[Length3]]</f>
        <v>43.315999999999995</v>
      </c>
      <c r="V5" s="42">
        <f t="shared" ref="V5:V16" si="3">$H$2</f>
        <v>2.8</v>
      </c>
      <c r="W5" s="3">
        <v>0</v>
      </c>
      <c r="X5" s="3">
        <f>(1-$BR$19)*Tabelle291521494843[[#This Row],[North2]]+(1-$BS$19)*Tabelle291521494843[[#This Row],[East2]]+(1-$BT$19)*Tabelle291521494843[[#This Row],[South2]]+(1-$BU$19)*Tabelle291521494843[[#This Row],[West2]]</f>
        <v>22.456</v>
      </c>
      <c r="Y5" s="40">
        <f>Tabelle51218247125146[[#This Row],[Height22]]*Tabelle51218247125146[[#This Row],[Length33]]+Tabelle51218247125146[[#This Row],[Length332]]/2</f>
        <v>11.228</v>
      </c>
      <c r="Z5" s="42">
        <f>IF(Tabelle181420384742[[#This Row],[ceiling]]="c",Tabelle181420384742[[#This Row],[Total Area size '[m^2']]],0)</f>
        <v>45.7</v>
      </c>
      <c r="AA5" s="42">
        <f>IF(Tabelle181420384742[[#This Row],[floor]]="f",Tabelle181420384742[[#This Row],[Total Area size '[m^2']]],0)</f>
        <v>45.7</v>
      </c>
      <c r="AB5" s="5"/>
      <c r="AC5" s="2">
        <v>0</v>
      </c>
      <c r="AD5" s="2">
        <v>0</v>
      </c>
      <c r="AE5" s="2">
        <v>0</v>
      </c>
      <c r="AF5" s="2">
        <v>1</v>
      </c>
      <c r="AG5" s="42">
        <f t="shared" ref="AG5:AG16" si="4">$H$2</f>
        <v>2.8</v>
      </c>
      <c r="AH5" s="2">
        <f>5.8+0.16+0.16</f>
        <v>6.12</v>
      </c>
      <c r="AI5" s="44">
        <v>0</v>
      </c>
      <c r="AJ5" s="6">
        <v>1</v>
      </c>
      <c r="AK5" s="2">
        <v>0</v>
      </c>
      <c r="AL5" s="2">
        <v>0</v>
      </c>
      <c r="AM5" s="2">
        <v>0</v>
      </c>
      <c r="AN5" s="42">
        <f t="shared" ref="AN5:AN16" si="5">$H$2</f>
        <v>2.8</v>
      </c>
      <c r="AO5" s="2">
        <f t="shared" ref="AO5" si="6">4.51+4.16</f>
        <v>8.67</v>
      </c>
      <c r="AP5" s="44">
        <f t="shared" ref="AP5" si="7">4.08+8.36</f>
        <v>12.44</v>
      </c>
      <c r="AQ5" s="6">
        <v>0</v>
      </c>
      <c r="AR5" s="2">
        <v>1</v>
      </c>
      <c r="AS5" s="2">
        <v>0</v>
      </c>
      <c r="AT5" s="2">
        <v>0</v>
      </c>
      <c r="AU5" s="42">
        <f t="shared" ref="AU5:AU14" si="8">$H$2</f>
        <v>2.8</v>
      </c>
      <c r="AV5" s="2">
        <f t="shared" ref="AV5" si="9">1.9</f>
        <v>1.9</v>
      </c>
      <c r="AW5" s="44">
        <v>0</v>
      </c>
      <c r="AX5" s="6"/>
      <c r="AY5" s="2"/>
      <c r="AZ5" s="2"/>
      <c r="BA5" s="2"/>
      <c r="BB5" s="42">
        <f t="shared" ref="BB5:BB14" si="10">$H$2</f>
        <v>2.8</v>
      </c>
      <c r="BC5" s="2"/>
      <c r="BD5" s="44">
        <v>0</v>
      </c>
      <c r="BE5" s="6"/>
      <c r="BF5" s="2"/>
      <c r="BG5" s="2"/>
      <c r="BH5" s="2"/>
      <c r="BI5" s="42">
        <f t="shared" ref="BI5:BI14" si="11">$H$2</f>
        <v>2.8</v>
      </c>
      <c r="BJ5" s="2"/>
      <c r="BK5" s="44">
        <v>0</v>
      </c>
      <c r="BL5" s="1"/>
      <c r="BM5" s="1"/>
      <c r="BN5" s="2">
        <f>Tabelle31016225104944[[#This Row],[North]]*$AI5+AL5*$AP5+AS5*$AW5+AZ5*$BD5+BG5*$BK5</f>
        <v>0</v>
      </c>
      <c r="BO5" s="2">
        <f t="shared" ref="BO5:BO16" si="12">AD5*$AI5+AK5*$AP5+AR5*$AW5+AY5*$BD5+BF5*$BK5</f>
        <v>0</v>
      </c>
      <c r="BP5" s="2">
        <f t="shared" ref="BP5:BP16" si="13">AC5*$AI5+AJ5*$AP5+AQ5*$AW5+AX5*$BD5+BE5*$BK5</f>
        <v>12.44</v>
      </c>
      <c r="BQ5" s="2">
        <f t="shared" ref="BQ5:BQ16" si="14">AF5*$AI5+AM5*$AP5+AT5*$AW5+BA5*$BD5+BH5*$BK5</f>
        <v>0</v>
      </c>
      <c r="BR5" s="6">
        <f>Tabelle31016225104944[[#This Row],[North]]*$AG5*$AH5+AL5*$AN5*$AO5+AS5*$AU5*$AV5+AZ5*$BB5*$BC5+BG5*$BI5*$BJ5-BN5</f>
        <v>0</v>
      </c>
      <c r="BS5" s="2">
        <f t="shared" ref="BS5:BS16" si="15">AD5*$AG5*$AH5+AK5*$AN5*$AO5+AR5*$AU5*$AV5+AY5*$BB5*$BC5+BF5*$BI5*$BJ5-BO5</f>
        <v>5.3199999999999994</v>
      </c>
      <c r="BT5" s="2">
        <f t="shared" ref="BT5:BT16" si="16">AC5*$AG5*$AH5+AJ5*$AN5*$AO5+AQ5*$AU5*$AV5+AX5*$BB5*$BC5+BE5*$BI5*$BJ5-BP5</f>
        <v>11.836</v>
      </c>
      <c r="BU5" s="7">
        <f t="shared" ref="BU5:BU16" si="17">AF5*$AG5*$AH5+AM5*$AN5*$AO5+AT5*$AU5*$AV5+BA5*$BB5*$BC5+BH5*$BI5*$BJ5-BQ5</f>
        <v>17.135999999999999</v>
      </c>
      <c r="BV5" s="6">
        <f>Tabelle291521494843[[#This Row],[Spalte1]]/$BX$19*$BV$27</f>
        <v>55.129999142857145</v>
      </c>
      <c r="BW5" s="6">
        <f>Tabelle291521494843[[#This Row],[Spalte1]]/$BX$19*$BW$27</f>
        <v>55.129999142857145</v>
      </c>
      <c r="BX5" s="6">
        <f>IF(Tabelle181420384742[[#This Row],[(g)round/(r )oof2]]="G",Tabelle181420384742[[#This Row],[Total Area size '[m^2']]],0)</f>
        <v>45.7</v>
      </c>
    </row>
    <row r="6" spans="1:77" x14ac:dyDescent="0.25">
      <c r="A6" s="40">
        <v>2</v>
      </c>
      <c r="B6" s="2" t="s">
        <v>11</v>
      </c>
      <c r="C6" s="2" t="s">
        <v>101</v>
      </c>
      <c r="D6" s="2" t="s">
        <v>113</v>
      </c>
      <c r="E6" s="37" t="s">
        <v>112</v>
      </c>
      <c r="F6" s="2"/>
      <c r="G6" s="37" t="s">
        <v>106</v>
      </c>
      <c r="H6" s="40">
        <v>14.7</v>
      </c>
      <c r="I6" s="2"/>
      <c r="J6" s="2"/>
      <c r="K6" s="2"/>
      <c r="L6" s="2"/>
      <c r="M6" s="2"/>
      <c r="N6" s="2"/>
      <c r="O6" s="5"/>
      <c r="P6" s="42">
        <f t="shared" si="0"/>
        <v>2.8</v>
      </c>
      <c r="Q6" s="3">
        <v>0.6</v>
      </c>
      <c r="R6" s="40">
        <f>Tabelle51218247125146[[#This Row],[Height]]*Tabelle51218247125146[[#This Row],[Length]]</f>
        <v>1.68</v>
      </c>
      <c r="S6" s="42">
        <f t="shared" si="1"/>
        <v>2.8</v>
      </c>
      <c r="T6" s="3">
        <f>3.81</f>
        <v>3.81</v>
      </c>
      <c r="U6" s="40">
        <f>Tabelle51218247125146[[#This Row],[Height2]]*Tabelle51218247125146[[#This Row],[Length3]]</f>
        <v>10.667999999999999</v>
      </c>
      <c r="V6" s="42">
        <f t="shared" si="3"/>
        <v>2.8</v>
      </c>
      <c r="W6" s="3">
        <v>0</v>
      </c>
      <c r="X6" s="3">
        <f>(1-$BR$19)*Tabelle291521494843[[#This Row],[North2]]+(1-$BS$19)*Tabelle291521494843[[#This Row],[East2]]+(1-$BT$19)*Tabelle291521494843[[#This Row],[South2]]+(1-$BU$19)*Tabelle291521494843[[#This Row],[West2]]</f>
        <v>16.366</v>
      </c>
      <c r="Y6" s="40">
        <f>Tabelle51218247125146[[#This Row],[Height22]]*Tabelle51218247125146[[#This Row],[Length33]]+Tabelle51218247125146[[#This Row],[Length332]]/2</f>
        <v>8.1829999999999998</v>
      </c>
      <c r="Z6" s="42">
        <f>IF(Tabelle181420384742[[#This Row],[ceiling]]="c",Tabelle181420384742[[#This Row],[Total Area size '[m^2']]],0)</f>
        <v>14.7</v>
      </c>
      <c r="AA6" s="42">
        <f>IF(Tabelle181420384742[[#This Row],[floor]]="f",Tabelle181420384742[[#This Row],[Total Area size '[m^2']]],0)</f>
        <v>14.7</v>
      </c>
      <c r="AB6" s="5"/>
      <c r="AC6" s="2">
        <v>1</v>
      </c>
      <c r="AD6" s="2">
        <v>0</v>
      </c>
      <c r="AE6" s="2">
        <v>0</v>
      </c>
      <c r="AF6" s="2">
        <v>0</v>
      </c>
      <c r="AG6" s="42">
        <f t="shared" si="4"/>
        <v>2.8</v>
      </c>
      <c r="AH6" s="2">
        <f>4.11</f>
        <v>4.1100000000000003</v>
      </c>
      <c r="AI6" s="44">
        <v>2.88</v>
      </c>
      <c r="AJ6" s="6">
        <v>0</v>
      </c>
      <c r="AK6" s="3">
        <v>1</v>
      </c>
      <c r="AL6" s="2">
        <v>0</v>
      </c>
      <c r="AM6" s="2">
        <v>0</v>
      </c>
      <c r="AN6" s="42">
        <f t="shared" si="5"/>
        <v>2.8</v>
      </c>
      <c r="AO6" s="2">
        <f>3.85+0.16+0.16</f>
        <v>4.17</v>
      </c>
      <c r="AP6" s="44">
        <v>0</v>
      </c>
      <c r="AQ6" s="6">
        <v>0</v>
      </c>
      <c r="AR6" s="2">
        <v>0</v>
      </c>
      <c r="AS6" s="2">
        <v>0</v>
      </c>
      <c r="AT6" s="2">
        <v>1</v>
      </c>
      <c r="AU6" s="42">
        <f t="shared" si="8"/>
        <v>2.8</v>
      </c>
      <c r="AV6" s="2">
        <v>1.9</v>
      </c>
      <c r="AW6" s="44">
        <v>0.63</v>
      </c>
      <c r="AX6" s="6"/>
      <c r="AY6" s="2"/>
      <c r="AZ6" s="2"/>
      <c r="BA6" s="2"/>
      <c r="BB6" s="42">
        <f t="shared" si="10"/>
        <v>2.8</v>
      </c>
      <c r="BC6" s="2"/>
      <c r="BD6" s="44">
        <v>0</v>
      </c>
      <c r="BE6" s="6"/>
      <c r="BF6" s="2"/>
      <c r="BG6" s="2"/>
      <c r="BH6" s="2"/>
      <c r="BI6" s="42">
        <f t="shared" si="11"/>
        <v>2.8</v>
      </c>
      <c r="BJ6" s="2"/>
      <c r="BK6" s="44">
        <v>0</v>
      </c>
      <c r="BL6" s="1"/>
      <c r="BM6" s="1"/>
      <c r="BN6" s="2">
        <f>Tabelle31016225104944[[#This Row],[North]]*$AI6+AL6*$AP6+AS6*$AW6+AZ6*$BD6+BG6*$BK6</f>
        <v>0</v>
      </c>
      <c r="BO6" s="2">
        <f t="shared" si="12"/>
        <v>0</v>
      </c>
      <c r="BP6" s="2">
        <f t="shared" si="13"/>
        <v>2.88</v>
      </c>
      <c r="BQ6" s="2">
        <f t="shared" si="14"/>
        <v>0.63</v>
      </c>
      <c r="BR6" s="6">
        <f>Tabelle31016225104944[[#This Row],[North]]*$AG6*$AH6+AL6*$AN6*$AO6+AS6*$AU6*$AV6+AZ6*$BB6*$BC6+BG6*$BI6*$BJ6-BN6</f>
        <v>0</v>
      </c>
      <c r="BS6" s="2">
        <f t="shared" si="15"/>
        <v>11.675999999999998</v>
      </c>
      <c r="BT6" s="2">
        <f t="shared" si="16"/>
        <v>8.6280000000000001</v>
      </c>
      <c r="BU6" s="7">
        <f t="shared" si="17"/>
        <v>4.6899999999999995</v>
      </c>
      <c r="BV6" s="6">
        <f>Tabelle291521494843[[#This Row],[Spalte1]]/$BX$19*$BV$27</f>
        <v>17.733281999999999</v>
      </c>
      <c r="BW6" s="6">
        <f>Tabelle291521494843[[#This Row],[Spalte1]]/$BX$19*$BW$27</f>
        <v>17.733281999999999</v>
      </c>
      <c r="BX6" s="6">
        <f>IF(Tabelle181420384742[[#This Row],[(g)round/(r )oof2]]="G",Tabelle181420384742[[#This Row],[Total Area size '[m^2']]],0)</f>
        <v>14.7</v>
      </c>
    </row>
    <row r="7" spans="1:77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112</v>
      </c>
      <c r="F7" s="2"/>
      <c r="G7" s="37" t="s">
        <v>106</v>
      </c>
      <c r="H7" s="40">
        <v>17.2</v>
      </c>
      <c r="I7" s="2"/>
      <c r="J7" s="2"/>
      <c r="K7" s="2"/>
      <c r="L7" s="2"/>
      <c r="M7" s="2"/>
      <c r="N7" s="2"/>
      <c r="O7" s="5"/>
      <c r="P7" s="42">
        <f t="shared" si="0"/>
        <v>2.8</v>
      </c>
      <c r="Q7" s="3">
        <v>4.5999999999999996</v>
      </c>
      <c r="R7" s="40">
        <f>Tabelle51218247125146[[#This Row],[Height]]*Tabelle51218247125146[[#This Row],[Length]]</f>
        <v>12.879999999999999</v>
      </c>
      <c r="S7" s="42">
        <f t="shared" si="1"/>
        <v>2.8</v>
      </c>
      <c r="T7" s="3">
        <v>3.74</v>
      </c>
      <c r="U7" s="40">
        <f>Tabelle51218247125146[[#This Row],[Height2]]*Tabelle51218247125146[[#This Row],[Length3]]</f>
        <v>10.472</v>
      </c>
      <c r="V7" s="42">
        <f t="shared" si="3"/>
        <v>2.8</v>
      </c>
      <c r="W7" s="3">
        <v>0</v>
      </c>
      <c r="X7" s="3">
        <f>(1-$BR$19)*Tabelle291521494843[[#This Row],[North2]]+(1-$BS$19)*Tabelle291521494843[[#This Row],[East2]]+(1-$BT$19)*Tabelle291521494843[[#This Row],[South2]]+(1-$BU$19)*Tabelle291521494843[[#This Row],[West2]]</f>
        <v>13.776</v>
      </c>
      <c r="Y7" s="40">
        <f>Tabelle51218247125146[[#This Row],[Height22]]*Tabelle51218247125146[[#This Row],[Length33]]+Tabelle51218247125146[[#This Row],[Length332]]/2</f>
        <v>6.8879999999999999</v>
      </c>
      <c r="Z7" s="42">
        <f>IF(Tabelle181420384742[[#This Row],[ceiling]]="c",Tabelle181420384742[[#This Row],[Total Area size '[m^2']]],0)</f>
        <v>17.2</v>
      </c>
      <c r="AA7" s="42">
        <f>IF(Tabelle181420384742[[#This Row],[floor]]="f",Tabelle181420384742[[#This Row],[Total Area size '[m^2']]],0)</f>
        <v>17.2</v>
      </c>
      <c r="AB7" s="5"/>
      <c r="AC7" s="2">
        <v>0</v>
      </c>
      <c r="AD7" s="2">
        <v>0</v>
      </c>
      <c r="AE7" s="2">
        <v>0</v>
      </c>
      <c r="AF7" s="2">
        <v>1</v>
      </c>
      <c r="AG7" s="42">
        <f t="shared" si="4"/>
        <v>2.8</v>
      </c>
      <c r="AH7" s="3">
        <f>4.6+0.16+0.16</f>
        <v>4.92</v>
      </c>
      <c r="AI7" s="44">
        <v>0</v>
      </c>
      <c r="AJ7" s="6">
        <v>0</v>
      </c>
      <c r="AK7" s="2">
        <v>0</v>
      </c>
      <c r="AL7" s="2">
        <v>1</v>
      </c>
      <c r="AM7" s="2">
        <v>0</v>
      </c>
      <c r="AN7" s="42">
        <f t="shared" si="5"/>
        <v>2.8</v>
      </c>
      <c r="AO7" s="2">
        <f>3.74+0.16+0.08</f>
        <v>3.9800000000000004</v>
      </c>
      <c r="AP7" s="44">
        <v>2.64</v>
      </c>
      <c r="AQ7" s="6"/>
      <c r="AR7" s="2"/>
      <c r="AS7" s="2"/>
      <c r="AT7" s="2"/>
      <c r="AU7" s="42">
        <f t="shared" si="8"/>
        <v>2.8</v>
      </c>
      <c r="AV7" s="2"/>
      <c r="AW7" s="44"/>
      <c r="AX7" s="6"/>
      <c r="AY7" s="2"/>
      <c r="AZ7" s="2"/>
      <c r="BA7" s="2"/>
      <c r="BB7" s="42">
        <f t="shared" si="10"/>
        <v>2.8</v>
      </c>
      <c r="BC7" s="2"/>
      <c r="BD7" s="44">
        <v>0</v>
      </c>
      <c r="BE7" s="6"/>
      <c r="BF7" s="2"/>
      <c r="BG7" s="2"/>
      <c r="BH7" s="2"/>
      <c r="BI7" s="42">
        <f t="shared" si="11"/>
        <v>2.8</v>
      </c>
      <c r="BJ7" s="2"/>
      <c r="BK7" s="44">
        <v>0</v>
      </c>
      <c r="BL7" s="1"/>
      <c r="BM7" s="1"/>
      <c r="BN7" s="2">
        <f>Tabelle31016225104944[[#This Row],[North]]*$AI7+AL7*$AP7+AS7*$AW7+AZ7*$BD7+BG7*$BK7</f>
        <v>2.64</v>
      </c>
      <c r="BO7" s="2">
        <f t="shared" si="12"/>
        <v>0</v>
      </c>
      <c r="BP7" s="2">
        <f t="shared" si="13"/>
        <v>0</v>
      </c>
      <c r="BQ7" s="2">
        <f t="shared" si="14"/>
        <v>0</v>
      </c>
      <c r="BR7" s="6">
        <f>Tabelle31016225104944[[#This Row],[North]]*$AG7*$AH7+AL7*$AN7*$AO7+AS7*$AU7*$AV7+AZ7*$BB7*$BC7+BG7*$BI7*$BJ7-BN7</f>
        <v>8.5039999999999996</v>
      </c>
      <c r="BS7" s="2">
        <f t="shared" si="15"/>
        <v>0</v>
      </c>
      <c r="BT7" s="2">
        <f t="shared" si="16"/>
        <v>0</v>
      </c>
      <c r="BU7" s="7">
        <f t="shared" si="17"/>
        <v>13.776</v>
      </c>
      <c r="BV7" s="6">
        <f>Tabelle291521494843[[#This Row],[Spalte1]]/$BX$19*$BV$27</f>
        <v>20.749146285714282</v>
      </c>
      <c r="BW7" s="6">
        <f>Tabelle291521494843[[#This Row],[Spalte1]]/$BX$19*$BW$27</f>
        <v>20.749146285714282</v>
      </c>
      <c r="BX7" s="6">
        <f>IF(Tabelle181420384742[[#This Row],[(g)round/(r )oof2]]="G",Tabelle181420384742[[#This Row],[Total Area size '[m^2']]],0)</f>
        <v>17.2</v>
      </c>
    </row>
    <row r="8" spans="1:77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112</v>
      </c>
      <c r="F8" s="2"/>
      <c r="G8" s="37" t="s">
        <v>106</v>
      </c>
      <c r="H8" s="40">
        <v>13.3</v>
      </c>
      <c r="I8" s="2"/>
      <c r="J8" s="2"/>
      <c r="K8" s="2"/>
      <c r="L8" s="2"/>
      <c r="M8" s="2"/>
      <c r="N8" s="2"/>
      <c r="O8" s="5"/>
      <c r="P8" s="42">
        <f t="shared" si="0"/>
        <v>2.8</v>
      </c>
      <c r="Q8" s="3">
        <f>4.6+4.6</f>
        <v>9.1999999999999993</v>
      </c>
      <c r="R8" s="40">
        <f>Tabelle51218247125146[[#This Row],[Height]]*Tabelle51218247125146[[#This Row],[Length]]</f>
        <v>25.759999999999998</v>
      </c>
      <c r="S8" s="42">
        <f t="shared" si="1"/>
        <v>2.8</v>
      </c>
      <c r="T8" s="3">
        <v>2.9</v>
      </c>
      <c r="U8" s="40">
        <f>Tabelle51218247125146[[#This Row],[Height2]]*Tabelle51218247125146[[#This Row],[Length3]]</f>
        <v>8.1199999999999992</v>
      </c>
      <c r="V8" s="42">
        <f t="shared" si="3"/>
        <v>2.8</v>
      </c>
      <c r="W8" s="3">
        <v>0</v>
      </c>
      <c r="X8" s="3">
        <f>(1-$BR$19)*Tabelle291521494843[[#This Row],[North2]]+(1-$BS$19)*Tabelle291521494843[[#This Row],[East2]]+(1-$BT$19)*Tabelle291521494843[[#This Row],[South2]]+(1-$BU$19)*Tabelle291521494843[[#This Row],[West2]]</f>
        <v>0</v>
      </c>
      <c r="Y8" s="40">
        <f>Tabelle51218247125146[[#This Row],[Height22]]*Tabelle51218247125146[[#This Row],[Length33]]+Tabelle51218247125146[[#This Row],[Length332]]/2</f>
        <v>0</v>
      </c>
      <c r="Z8" s="42">
        <f>IF(Tabelle181420384742[[#This Row],[ceiling]]="c",Tabelle181420384742[[#This Row],[Total Area size '[m^2']]],0)</f>
        <v>13.3</v>
      </c>
      <c r="AA8" s="42">
        <f>IF(Tabelle181420384742[[#This Row],[floor]]="f",Tabelle181420384742[[#This Row],[Total Area size '[m^2']]],0)</f>
        <v>13.3</v>
      </c>
      <c r="AB8" s="5"/>
      <c r="AC8" s="2">
        <v>0</v>
      </c>
      <c r="AD8" s="2">
        <v>0</v>
      </c>
      <c r="AE8" s="2">
        <v>1</v>
      </c>
      <c r="AF8" s="2">
        <v>0</v>
      </c>
      <c r="AG8" s="42">
        <f t="shared" si="4"/>
        <v>2.8</v>
      </c>
      <c r="AH8" s="2">
        <f>2.9+0.16</f>
        <v>3.06</v>
      </c>
      <c r="AI8" s="44">
        <v>2.16</v>
      </c>
      <c r="AJ8" s="6"/>
      <c r="AK8" s="2"/>
      <c r="AL8" s="2"/>
      <c r="AM8" s="2"/>
      <c r="AN8" s="42">
        <f t="shared" si="5"/>
        <v>2.8</v>
      </c>
      <c r="AO8" s="2"/>
      <c r="AP8" s="44"/>
      <c r="AQ8" s="6"/>
      <c r="AR8" s="2"/>
      <c r="AS8" s="2"/>
      <c r="AT8" s="2"/>
      <c r="AU8" s="42">
        <f t="shared" si="8"/>
        <v>2.8</v>
      </c>
      <c r="AV8" s="2"/>
      <c r="AW8" s="44"/>
      <c r="AX8" s="6"/>
      <c r="AY8" s="2"/>
      <c r="AZ8" s="2"/>
      <c r="BA8" s="2"/>
      <c r="BB8" s="42">
        <f t="shared" si="10"/>
        <v>2.8</v>
      </c>
      <c r="BC8" s="2"/>
      <c r="BD8" s="44">
        <v>0</v>
      </c>
      <c r="BE8" s="6"/>
      <c r="BF8" s="2"/>
      <c r="BG8" s="2"/>
      <c r="BH8" s="2"/>
      <c r="BI8" s="42">
        <f t="shared" si="11"/>
        <v>2.8</v>
      </c>
      <c r="BJ8" s="2"/>
      <c r="BK8" s="44">
        <v>0</v>
      </c>
      <c r="BL8" s="1"/>
      <c r="BM8" s="1"/>
      <c r="BN8" s="2">
        <f>Tabelle31016225104944[[#This Row],[North]]*$AI8+AL8*$AP8+AS8*$AW8+AZ8*$BD8+BG8*$BK8</f>
        <v>2.16</v>
      </c>
      <c r="BO8" s="2">
        <f t="shared" si="12"/>
        <v>0</v>
      </c>
      <c r="BP8" s="2">
        <f t="shared" si="13"/>
        <v>0</v>
      </c>
      <c r="BQ8" s="2">
        <f t="shared" si="14"/>
        <v>0</v>
      </c>
      <c r="BR8" s="6">
        <f>Tabelle31016225104944[[#This Row],[North]]*$AG8*$AH8+AL8*$AN8*$AO8+AS8*$AU8*$AV8+AZ8*$BB8*$BC8+BG8*$BI8*$BJ8-BN8</f>
        <v>6.4079999999999995</v>
      </c>
      <c r="BS8" s="2">
        <f t="shared" si="15"/>
        <v>0</v>
      </c>
      <c r="BT8" s="2">
        <f t="shared" si="16"/>
        <v>0</v>
      </c>
      <c r="BU8" s="7">
        <f t="shared" si="17"/>
        <v>0</v>
      </c>
      <c r="BV8" s="6">
        <f>Tabelle291521494843[[#This Row],[Spalte1]]/$BX$19*$BV$27</f>
        <v>16.044397999999997</v>
      </c>
      <c r="BW8" s="6">
        <f>Tabelle291521494843[[#This Row],[Spalte1]]/$BX$19*$BW$27</f>
        <v>16.044397999999997</v>
      </c>
      <c r="BX8" s="6">
        <f>IF(Tabelle181420384742[[#This Row],[(g)round/(r )oof2]]="G",Tabelle181420384742[[#This Row],[Total Area size '[m^2']]],0)</f>
        <v>13.3</v>
      </c>
    </row>
    <row r="9" spans="1:77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112</v>
      </c>
      <c r="F9" s="2"/>
      <c r="G9" s="37" t="s">
        <v>106</v>
      </c>
      <c r="H9" s="40">
        <v>16.600000000000001</v>
      </c>
      <c r="I9" s="2"/>
      <c r="J9" s="2"/>
      <c r="K9" s="2"/>
      <c r="L9" s="2"/>
      <c r="M9" s="2"/>
      <c r="N9" s="2"/>
      <c r="O9" s="5"/>
      <c r="P9" s="42">
        <f t="shared" si="0"/>
        <v>2.8</v>
      </c>
      <c r="Q9" s="3">
        <v>4.5999999999999996</v>
      </c>
      <c r="R9" s="40">
        <f>Tabelle51218247125146[[#This Row],[Height]]*Tabelle51218247125146[[#This Row],[Length]]</f>
        <v>12.879999999999999</v>
      </c>
      <c r="S9" s="42">
        <f t="shared" si="1"/>
        <v>2.8</v>
      </c>
      <c r="T9" s="3">
        <v>3.6</v>
      </c>
      <c r="U9" s="40">
        <f>Tabelle51218247125146[[#This Row],[Height2]]*Tabelle51218247125146[[#This Row],[Length3]]</f>
        <v>10.08</v>
      </c>
      <c r="V9" s="42">
        <f t="shared" si="3"/>
        <v>2.8</v>
      </c>
      <c r="W9" s="3">
        <v>0</v>
      </c>
      <c r="X9" s="3">
        <f>(1-$BR$19)*Tabelle291521494843[[#This Row],[North2]]+(1-$BS$19)*Tabelle291521494843[[#This Row],[East2]]+(1-$BT$19)*Tabelle291521494843[[#This Row],[South2]]+(1-$BU$19)*Tabelle291521494843[[#This Row],[West2]]</f>
        <v>13.944000000000001</v>
      </c>
      <c r="Y9" s="40">
        <f>Tabelle51218247125146[[#This Row],[Height22]]*Tabelle51218247125146[[#This Row],[Length33]]+Tabelle51218247125146[[#This Row],[Length332]]/2</f>
        <v>6.9720000000000004</v>
      </c>
      <c r="Z9" s="42">
        <f>IF(Tabelle181420384742[[#This Row],[ceiling]]="c",Tabelle181420384742[[#This Row],[Total Area size '[m^2']]],0)</f>
        <v>16.600000000000001</v>
      </c>
      <c r="AA9" s="42">
        <f>IF(Tabelle181420384742[[#This Row],[floor]]="f",Tabelle181420384742[[#This Row],[Total Area size '[m^2']]],0)</f>
        <v>16.600000000000001</v>
      </c>
      <c r="AB9" s="5"/>
      <c r="AC9" s="2">
        <v>0</v>
      </c>
      <c r="AD9" s="2">
        <v>1</v>
      </c>
      <c r="AE9" s="2">
        <v>0</v>
      </c>
      <c r="AF9" s="2">
        <v>0</v>
      </c>
      <c r="AG9" s="42">
        <f t="shared" si="4"/>
        <v>2.8</v>
      </c>
      <c r="AH9" s="2">
        <f>4.9+0.08</f>
        <v>4.9800000000000004</v>
      </c>
      <c r="AI9" s="44">
        <v>0</v>
      </c>
      <c r="AJ9" s="6">
        <v>0</v>
      </c>
      <c r="AK9" s="2">
        <v>0</v>
      </c>
      <c r="AL9" s="2">
        <v>1</v>
      </c>
      <c r="AM9" s="2">
        <v>0</v>
      </c>
      <c r="AN9" s="42">
        <f t="shared" si="5"/>
        <v>2.8</v>
      </c>
      <c r="AO9" s="2">
        <f>3.6+0.16+0.08</f>
        <v>3.8400000000000003</v>
      </c>
      <c r="AP9" s="44">
        <v>2.64</v>
      </c>
      <c r="AQ9" s="6"/>
      <c r="AR9" s="2"/>
      <c r="AS9" s="2"/>
      <c r="AT9" s="2"/>
      <c r="AU9" s="42">
        <f t="shared" si="8"/>
        <v>2.8</v>
      </c>
      <c r="AV9" s="2"/>
      <c r="AW9" s="44"/>
      <c r="AX9" s="6"/>
      <c r="AY9" s="2"/>
      <c r="AZ9" s="2"/>
      <c r="BA9" s="2"/>
      <c r="BB9" s="42">
        <f t="shared" si="10"/>
        <v>2.8</v>
      </c>
      <c r="BC9" s="2"/>
      <c r="BD9" s="44">
        <v>0</v>
      </c>
      <c r="BE9" s="6"/>
      <c r="BF9" s="2"/>
      <c r="BG9" s="2"/>
      <c r="BH9" s="2"/>
      <c r="BI9" s="42">
        <f t="shared" si="11"/>
        <v>2.8</v>
      </c>
      <c r="BJ9" s="2"/>
      <c r="BK9" s="44">
        <v>0</v>
      </c>
      <c r="BL9" s="1"/>
      <c r="BM9" s="1"/>
      <c r="BN9" s="2">
        <f>Tabelle31016225104944[[#This Row],[North]]*$AI9+AL9*$AP9+AS9*$AW9+AZ9*$BD9+BG9*$BK9</f>
        <v>2.64</v>
      </c>
      <c r="BO9" s="2">
        <f t="shared" si="12"/>
        <v>0</v>
      </c>
      <c r="BP9" s="2">
        <f t="shared" si="13"/>
        <v>0</v>
      </c>
      <c r="BQ9" s="2">
        <f t="shared" si="14"/>
        <v>0</v>
      </c>
      <c r="BR9" s="6">
        <f>Tabelle31016225104944[[#This Row],[North]]*$AG9*$AH9+AL9*$AN9*$AO9+AS9*$AU9*$AV9+AZ9*$BB9*$BC9+BG9*$BI9*$BJ9-BN9</f>
        <v>8.1120000000000001</v>
      </c>
      <c r="BS9" s="2">
        <f t="shared" si="15"/>
        <v>13.944000000000001</v>
      </c>
      <c r="BT9" s="2">
        <f t="shared" si="16"/>
        <v>0</v>
      </c>
      <c r="BU9" s="7">
        <f t="shared" si="17"/>
        <v>0</v>
      </c>
      <c r="BV9" s="6">
        <f>Tabelle291521494843[[#This Row],[Spalte1]]/$BX$19*$BV$27</f>
        <v>20.025338857142856</v>
      </c>
      <c r="BW9" s="6">
        <f>Tabelle291521494843[[#This Row],[Spalte1]]/$BX$19*$BW$27</f>
        <v>20.025338857142856</v>
      </c>
      <c r="BX9" s="6">
        <f>IF(Tabelle181420384742[[#This Row],[(g)round/(r )oof2]]="G",Tabelle181420384742[[#This Row],[Total Area size '[m^2']]],0)</f>
        <v>16.600000000000001</v>
      </c>
    </row>
    <row r="10" spans="1:77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112</v>
      </c>
      <c r="F10" s="2"/>
      <c r="G10" s="37" t="s">
        <v>106</v>
      </c>
      <c r="H10" s="40">
        <v>8.6999999999999993</v>
      </c>
      <c r="I10" s="2"/>
      <c r="J10" s="2"/>
      <c r="K10" s="2"/>
      <c r="L10" s="2"/>
      <c r="M10" s="2"/>
      <c r="N10" s="2"/>
      <c r="O10" s="5"/>
      <c r="P10" s="42">
        <f t="shared" si="0"/>
        <v>2.8</v>
      </c>
      <c r="Q10" s="3">
        <f>4.6+4.6</f>
        <v>9.1999999999999993</v>
      </c>
      <c r="R10" s="40">
        <f>Tabelle51218247125146[[#This Row],[Height]]*Tabelle51218247125146[[#This Row],[Length]]</f>
        <v>25.759999999999998</v>
      </c>
      <c r="S10" s="42">
        <f t="shared" si="1"/>
        <v>2.8</v>
      </c>
      <c r="T10" s="3">
        <v>1.9</v>
      </c>
      <c r="U10" s="40">
        <f>Tabelle51218247125146[[#This Row],[Height2]]*Tabelle51218247125146[[#This Row],[Length3]]</f>
        <v>5.3199999999999994</v>
      </c>
      <c r="V10" s="42">
        <f t="shared" si="3"/>
        <v>2.8</v>
      </c>
      <c r="W10" s="3">
        <v>0</v>
      </c>
      <c r="X10" s="3">
        <f>(1-$BR$19)*Tabelle291521494843[[#This Row],[North2]]+(1-$BS$19)*Tabelle291521494843[[#This Row],[East2]]+(1-$BT$19)*Tabelle291521494843[[#This Row],[South2]]+(1-$BU$19)*Tabelle291521494843[[#This Row],[West2]]</f>
        <v>0</v>
      </c>
      <c r="Y10" s="40">
        <f>Tabelle51218247125146[[#This Row],[Height22]]*Tabelle51218247125146[[#This Row],[Length33]]+Tabelle51218247125146[[#This Row],[Length332]]/2</f>
        <v>0</v>
      </c>
      <c r="Z10" s="42">
        <f>IF(Tabelle181420384742[[#This Row],[ceiling]]="c",Tabelle181420384742[[#This Row],[Total Area size '[m^2']]],0)</f>
        <v>8.6999999999999993</v>
      </c>
      <c r="AA10" s="42">
        <f>IF(Tabelle181420384742[[#This Row],[floor]]="f",Tabelle181420384742[[#This Row],[Total Area size '[m^2']]],0)</f>
        <v>8.6999999999999993</v>
      </c>
      <c r="AB10" s="5"/>
      <c r="AC10" s="2">
        <v>0</v>
      </c>
      <c r="AD10" s="2">
        <v>0</v>
      </c>
      <c r="AE10" s="2">
        <v>1</v>
      </c>
      <c r="AF10" s="2">
        <v>0</v>
      </c>
      <c r="AG10" s="42">
        <f t="shared" si="4"/>
        <v>2.8</v>
      </c>
      <c r="AH10" s="2">
        <f>1.9+0.16</f>
        <v>2.06</v>
      </c>
      <c r="AI10" s="44">
        <v>1.08</v>
      </c>
      <c r="AJ10" s="6"/>
      <c r="AK10" s="2"/>
      <c r="AL10" s="3"/>
      <c r="AM10" s="2"/>
      <c r="AN10" s="42">
        <f t="shared" si="5"/>
        <v>2.8</v>
      </c>
      <c r="AO10" s="3"/>
      <c r="AP10" s="44"/>
      <c r="AQ10" s="6"/>
      <c r="AR10" s="2"/>
      <c r="AS10" s="2"/>
      <c r="AT10" s="2"/>
      <c r="AU10" s="42">
        <f t="shared" si="8"/>
        <v>2.8</v>
      </c>
      <c r="AV10" s="2"/>
      <c r="AW10" s="44"/>
      <c r="AX10" s="6"/>
      <c r="AY10" s="2"/>
      <c r="AZ10" s="2"/>
      <c r="BA10" s="2"/>
      <c r="BB10" s="42">
        <f t="shared" si="10"/>
        <v>2.8</v>
      </c>
      <c r="BC10" s="2"/>
      <c r="BD10" s="44">
        <v>0</v>
      </c>
      <c r="BE10" s="6"/>
      <c r="BF10" s="2"/>
      <c r="BG10" s="2"/>
      <c r="BH10" s="2"/>
      <c r="BI10" s="42">
        <f t="shared" si="11"/>
        <v>2.8</v>
      </c>
      <c r="BJ10" s="2"/>
      <c r="BK10" s="44">
        <v>0</v>
      </c>
      <c r="BL10" s="1"/>
      <c r="BM10" s="1"/>
      <c r="BN10" s="2">
        <f>Tabelle31016225104944[[#This Row],[North]]*$AI10+AL10*$AP10+AS10*$AW10+AZ10*$BD10+BG10*$BK10</f>
        <v>1.08</v>
      </c>
      <c r="BO10" s="2">
        <f t="shared" si="12"/>
        <v>0</v>
      </c>
      <c r="BP10" s="2">
        <f t="shared" si="13"/>
        <v>0</v>
      </c>
      <c r="BQ10" s="2">
        <f t="shared" si="14"/>
        <v>0</v>
      </c>
      <c r="BR10" s="6">
        <f>Tabelle31016225104944[[#This Row],[North]]*$AG10*$AH10+AL10*$AN10*$AO10+AS10*$AU10*$AV10+AZ10*$BB10*$BC10+BG10*$BI10*$BJ10-BN10</f>
        <v>4.6879999999999997</v>
      </c>
      <c r="BS10" s="2">
        <f t="shared" si="15"/>
        <v>0</v>
      </c>
      <c r="BT10" s="2">
        <f t="shared" si="16"/>
        <v>0</v>
      </c>
      <c r="BU10" s="7">
        <f t="shared" si="17"/>
        <v>0</v>
      </c>
      <c r="BV10" s="6">
        <f>Tabelle291521494843[[#This Row],[Spalte1]]/$BX$19*$BV$27</f>
        <v>10.495207714285712</v>
      </c>
      <c r="BW10" s="6">
        <f>Tabelle291521494843[[#This Row],[Spalte1]]/$BX$19*$BW$27</f>
        <v>10.495207714285712</v>
      </c>
      <c r="BX10" s="6">
        <f>IF(Tabelle181420384742[[#This Row],[(g)round/(r )oof2]]="G",Tabelle181420384742[[#This Row],[Total Area size '[m^2']]],0)</f>
        <v>8.6999999999999993</v>
      </c>
    </row>
    <row r="11" spans="1:77" x14ac:dyDescent="0.25">
      <c r="A11" s="40">
        <v>7</v>
      </c>
      <c r="B11" s="2" t="s">
        <v>99</v>
      </c>
      <c r="C11" s="2" t="s">
        <v>10</v>
      </c>
      <c r="D11" s="2" t="s">
        <v>113</v>
      </c>
      <c r="E11" s="37" t="s">
        <v>112</v>
      </c>
      <c r="F11" s="2"/>
      <c r="G11" s="37" t="s">
        <v>106</v>
      </c>
      <c r="H11" s="40">
        <v>1.4</v>
      </c>
      <c r="I11" s="2"/>
      <c r="J11" s="2"/>
      <c r="K11" s="2"/>
      <c r="L11" s="2"/>
      <c r="M11" s="2"/>
      <c r="N11" s="2"/>
      <c r="O11" s="5"/>
      <c r="P11" s="42">
        <f t="shared" si="0"/>
        <v>2.8</v>
      </c>
      <c r="Q11" s="3">
        <f>0.84+1.61</f>
        <v>2.4500000000000002</v>
      </c>
      <c r="R11" s="40">
        <f>Tabelle51218247125146[[#This Row],[Height]]*Tabelle51218247125146[[#This Row],[Length]]</f>
        <v>6.86</v>
      </c>
      <c r="S11" s="42">
        <f t="shared" si="1"/>
        <v>2.8</v>
      </c>
      <c r="T11" s="3">
        <v>0</v>
      </c>
      <c r="U11" s="40">
        <f>Tabelle51218247125146[[#This Row],[Height2]]*Tabelle51218247125146[[#This Row],[Length3]]</f>
        <v>0</v>
      </c>
      <c r="V11" s="42">
        <f t="shared" si="3"/>
        <v>2.8</v>
      </c>
      <c r="W11" s="3">
        <v>0</v>
      </c>
      <c r="X11" s="3">
        <f>(1-$BR$19)*Tabelle291521494843[[#This Row],[North2]]+(1-$BS$19)*Tabelle291521494843[[#This Row],[East2]]+(1-$BT$19)*Tabelle291521494843[[#This Row],[South2]]+(1-$BU$19)*Tabelle291521494843[[#This Row],[West2]]</f>
        <v>0</v>
      </c>
      <c r="Y11" s="40">
        <f>Tabelle51218247125146[[#This Row],[Height22]]*Tabelle51218247125146[[#This Row],[Length33]]+Tabelle51218247125146[[#This Row],[Length332]]/2</f>
        <v>0</v>
      </c>
      <c r="Z11" s="42">
        <f>IF(Tabelle181420384742[[#This Row],[ceiling]]="c",Tabelle181420384742[[#This Row],[Total Area size '[m^2']]],0)</f>
        <v>1.4</v>
      </c>
      <c r="AA11" s="42">
        <f>IF(Tabelle181420384742[[#This Row],[floor]]="f",Tabelle181420384742[[#This Row],[Total Area size '[m^2']]],0)</f>
        <v>1.4</v>
      </c>
      <c r="AB11" s="5"/>
      <c r="AC11" s="2"/>
      <c r="AD11" s="2"/>
      <c r="AE11" s="2"/>
      <c r="AF11" s="2"/>
      <c r="AG11" s="42">
        <f t="shared" si="4"/>
        <v>2.8</v>
      </c>
      <c r="AH11" s="2"/>
      <c r="AI11" s="44"/>
      <c r="AJ11" s="6"/>
      <c r="AK11" s="2"/>
      <c r="AL11" s="2"/>
      <c r="AM11" s="2"/>
      <c r="AN11" s="42">
        <f t="shared" si="5"/>
        <v>2.8</v>
      </c>
      <c r="AO11" s="2"/>
      <c r="AP11" s="44"/>
      <c r="AQ11" s="6"/>
      <c r="AR11" s="2"/>
      <c r="AS11" s="2"/>
      <c r="AT11" s="2"/>
      <c r="AU11" s="42">
        <f t="shared" si="8"/>
        <v>2.8</v>
      </c>
      <c r="AV11" s="2"/>
      <c r="AW11" s="44"/>
      <c r="AX11" s="6"/>
      <c r="AY11" s="2"/>
      <c r="AZ11" s="2"/>
      <c r="BA11" s="2"/>
      <c r="BB11" s="42">
        <f t="shared" si="10"/>
        <v>2.8</v>
      </c>
      <c r="BC11" s="2"/>
      <c r="BD11" s="44">
        <v>0</v>
      </c>
      <c r="BE11" s="6"/>
      <c r="BF11" s="2"/>
      <c r="BG11" s="2"/>
      <c r="BH11" s="2"/>
      <c r="BI11" s="42">
        <f t="shared" si="11"/>
        <v>2.8</v>
      </c>
      <c r="BJ11" s="2"/>
      <c r="BK11" s="44">
        <v>0</v>
      </c>
      <c r="BL11" s="1"/>
      <c r="BM11" s="1"/>
      <c r="BN11" s="2">
        <f>Tabelle31016225104944[[#This Row],[North]]*$AI11+AL11*$AP11+AS11*$AW11+AZ11*$BD11+BG11*$BK11</f>
        <v>0</v>
      </c>
      <c r="BO11" s="2">
        <f t="shared" si="12"/>
        <v>0</v>
      </c>
      <c r="BP11" s="2">
        <f t="shared" si="13"/>
        <v>0</v>
      </c>
      <c r="BQ11" s="2">
        <f t="shared" si="14"/>
        <v>0</v>
      </c>
      <c r="BR11" s="6">
        <f>Tabelle31016225104944[[#This Row],[North]]*$AG11*$AH11+AL11*$AN11*$AO11+AS11*$AU11*$AV11+AZ11*$BB11*$BC11+BG11*$BI11*$BJ11-BN11</f>
        <v>0</v>
      </c>
      <c r="BS11" s="2">
        <f t="shared" si="15"/>
        <v>0</v>
      </c>
      <c r="BT11" s="2">
        <f t="shared" si="16"/>
        <v>0</v>
      </c>
      <c r="BU11" s="7">
        <f t="shared" si="17"/>
        <v>0</v>
      </c>
      <c r="BV11" s="6">
        <f>Tabelle291521494843[[#This Row],[Spalte1]]/$BX$19*$BV$27</f>
        <v>1.6888839999999998</v>
      </c>
      <c r="BW11" s="6">
        <f>Tabelle291521494843[[#This Row],[Spalte1]]/$BX$19*$BW$27</f>
        <v>1.6888839999999998</v>
      </c>
      <c r="BX11" s="6">
        <f>IF(Tabelle181420384742[[#This Row],[(g)round/(r )oof2]]="G",Tabelle181420384742[[#This Row],[Total Area size '[m^2']]],0)</f>
        <v>1.4</v>
      </c>
    </row>
    <row r="12" spans="1:77" x14ac:dyDescent="0.25">
      <c r="A12" s="40">
        <v>8</v>
      </c>
      <c r="B12" s="2" t="s">
        <v>138</v>
      </c>
      <c r="C12" s="2" t="s">
        <v>10</v>
      </c>
      <c r="D12" s="2" t="s">
        <v>113</v>
      </c>
      <c r="E12" s="37" t="s">
        <v>112</v>
      </c>
      <c r="F12" s="2"/>
      <c r="G12" s="37" t="s">
        <v>106</v>
      </c>
      <c r="H12" s="40">
        <v>16.2</v>
      </c>
      <c r="I12" s="2"/>
      <c r="J12" s="2"/>
      <c r="K12" s="2"/>
      <c r="L12" s="2"/>
      <c r="M12" s="2"/>
      <c r="N12" s="2"/>
      <c r="O12" s="5"/>
      <c r="P12" s="42">
        <f t="shared" si="0"/>
        <v>2.8</v>
      </c>
      <c r="Q12" s="3">
        <f>2.4+2+2.1+1.3</f>
        <v>7.8</v>
      </c>
      <c r="R12" s="40">
        <f>Tabelle51218247125146[[#This Row],[Height]]*Tabelle51218247125146[[#This Row],[Length]]</f>
        <v>21.84</v>
      </c>
      <c r="S12" s="42">
        <f t="shared" si="1"/>
        <v>2.8</v>
      </c>
      <c r="T12" s="3">
        <v>0</v>
      </c>
      <c r="U12" s="40">
        <f>Tabelle51218247125146[[#This Row],[Height2]]*Tabelle51218247125146[[#This Row],[Length3]]</f>
        <v>0</v>
      </c>
      <c r="V12" s="42">
        <f t="shared" si="3"/>
        <v>2.8</v>
      </c>
      <c r="W12" s="3">
        <v>0</v>
      </c>
      <c r="X12" s="3">
        <f>(1-$BR$19)*Tabelle291521494843[[#This Row],[North2]]+(1-$BS$19)*Tabelle291521494843[[#This Row],[East2]]+(1-$BT$19)*Tabelle291521494843[[#This Row],[South2]]+(1-$BU$19)*Tabelle291521494843[[#This Row],[West2]]</f>
        <v>12.683999999999999</v>
      </c>
      <c r="Y12" s="40">
        <f>Tabelle51218247125146[[#This Row],[Height22]]*Tabelle51218247125146[[#This Row],[Length33]]+Tabelle51218247125146[[#This Row],[Length332]]/2</f>
        <v>6.3419999999999996</v>
      </c>
      <c r="Z12" s="42">
        <f>IF(Tabelle181420384742[[#This Row],[ceiling]]="c",Tabelle181420384742[[#This Row],[Total Area size '[m^2']]],0)</f>
        <v>16.2</v>
      </c>
      <c r="AA12" s="42">
        <f>IF(Tabelle181420384742[[#This Row],[floor]]="f",Tabelle181420384742[[#This Row],[Total Area size '[m^2']]],0)</f>
        <v>16.2</v>
      </c>
      <c r="AB12" s="5"/>
      <c r="AC12" s="2">
        <v>0</v>
      </c>
      <c r="AD12" s="2">
        <v>1</v>
      </c>
      <c r="AE12" s="2">
        <v>0</v>
      </c>
      <c r="AF12" s="2">
        <v>0</v>
      </c>
      <c r="AG12" s="42">
        <f t="shared" si="4"/>
        <v>2.8</v>
      </c>
      <c r="AH12" s="2">
        <f>4.37+0.16</f>
        <v>4.53</v>
      </c>
      <c r="AI12" s="44">
        <v>0</v>
      </c>
      <c r="AJ12" s="6"/>
      <c r="AK12" s="2"/>
      <c r="AL12" s="2"/>
      <c r="AM12" s="2"/>
      <c r="AN12" s="42">
        <f t="shared" si="5"/>
        <v>2.8</v>
      </c>
      <c r="AO12" s="2"/>
      <c r="AP12" s="44"/>
      <c r="AQ12" s="6"/>
      <c r="AR12" s="2"/>
      <c r="AS12" s="2"/>
      <c r="AT12" s="2"/>
      <c r="AU12" s="42">
        <f t="shared" si="8"/>
        <v>2.8</v>
      </c>
      <c r="AV12" s="2"/>
      <c r="AW12" s="44"/>
      <c r="AX12" s="6"/>
      <c r="AY12" s="2"/>
      <c r="AZ12" s="2"/>
      <c r="BA12" s="2"/>
      <c r="BB12" s="42">
        <f t="shared" si="10"/>
        <v>2.8</v>
      </c>
      <c r="BC12" s="2"/>
      <c r="BD12" s="44">
        <v>0</v>
      </c>
      <c r="BE12" s="6"/>
      <c r="BF12" s="2"/>
      <c r="BG12" s="2"/>
      <c r="BH12" s="2"/>
      <c r="BI12" s="42">
        <f t="shared" si="11"/>
        <v>2.8</v>
      </c>
      <c r="BJ12" s="2"/>
      <c r="BK12" s="44">
        <v>0</v>
      </c>
      <c r="BL12" s="1"/>
      <c r="BM12" s="1"/>
      <c r="BN12" s="2">
        <f>Tabelle31016225104944[[#This Row],[North]]*$AI12+AL12*$AP12+AS12*$AW12+AZ12*$BD12+BG12*$BK12</f>
        <v>0</v>
      </c>
      <c r="BO12" s="2">
        <f t="shared" si="12"/>
        <v>0</v>
      </c>
      <c r="BP12" s="2">
        <f t="shared" si="13"/>
        <v>0</v>
      </c>
      <c r="BQ12" s="2">
        <f t="shared" si="14"/>
        <v>0</v>
      </c>
      <c r="BR12" s="6">
        <f>Tabelle31016225104944[[#This Row],[North]]*$AG12*$AH12+AL12*$AN12*$AO12+AS12*$AU12*$AV12+AZ12*$BB12*$BC12+BG12*$BI12*$BJ12-BN12</f>
        <v>0</v>
      </c>
      <c r="BS12" s="2">
        <f t="shared" si="15"/>
        <v>12.683999999999999</v>
      </c>
      <c r="BT12" s="2">
        <f t="shared" si="16"/>
        <v>0</v>
      </c>
      <c r="BU12" s="7">
        <f t="shared" si="17"/>
        <v>0</v>
      </c>
      <c r="BV12" s="6">
        <f>Tabelle291521494843[[#This Row],[Spalte1]]/$BX$19*$BV$27</f>
        <v>19.542800571428572</v>
      </c>
      <c r="BW12" s="6">
        <f>Tabelle291521494843[[#This Row],[Spalte1]]/$BX$19*$BW$27</f>
        <v>19.542800571428572</v>
      </c>
      <c r="BX12" s="6">
        <f>IF(Tabelle181420384742[[#This Row],[(g)round/(r )oof2]]="G",Tabelle181420384742[[#This Row],[Total Area size '[m^2']]],0)</f>
        <v>16.2</v>
      </c>
    </row>
    <row r="13" spans="1:77" x14ac:dyDescent="0.25">
      <c r="A13" s="40">
        <v>9</v>
      </c>
      <c r="B13" s="2" t="s">
        <v>100</v>
      </c>
      <c r="C13" s="2" t="s">
        <v>10</v>
      </c>
      <c r="D13" s="2" t="s">
        <v>113</v>
      </c>
      <c r="E13" s="37" t="s">
        <v>112</v>
      </c>
      <c r="F13" s="2"/>
      <c r="G13" s="37" t="s">
        <v>106</v>
      </c>
      <c r="H13" s="40">
        <v>6.2</v>
      </c>
      <c r="I13" s="2"/>
      <c r="J13" s="2"/>
      <c r="K13" s="2"/>
      <c r="L13" s="2"/>
      <c r="M13" s="2"/>
      <c r="N13" s="2"/>
      <c r="O13" s="5"/>
      <c r="P13" s="42">
        <f t="shared" si="0"/>
        <v>2.8</v>
      </c>
      <c r="Q13" s="3">
        <f>2.4</f>
        <v>2.4</v>
      </c>
      <c r="R13" s="40">
        <f>Tabelle51218247125146[[#This Row],[Height]]*Tabelle51218247125146[[#This Row],[Length]]</f>
        <v>6.72</v>
      </c>
      <c r="S13" s="42">
        <f t="shared" si="1"/>
        <v>2.8</v>
      </c>
      <c r="T13" s="33">
        <v>0</v>
      </c>
      <c r="U13" s="40">
        <f>Tabelle51218247125146[[#This Row],[Height2]]*Tabelle51218247125146[[#This Row],[Length3]]</f>
        <v>0</v>
      </c>
      <c r="V13" s="42">
        <f t="shared" si="3"/>
        <v>2.8</v>
      </c>
      <c r="W13" s="3">
        <v>0</v>
      </c>
      <c r="X13" s="3">
        <f>(1-$BR$19)*Tabelle291521494843[[#This Row],[North2]]+(1-$BS$19)*Tabelle291521494843[[#This Row],[East2]]+(1-$BT$19)*Tabelle291521494843[[#This Row],[South2]]+(1-$BU$19)*Tabelle291521494843[[#This Row],[West2]]</f>
        <v>7.1679999999999993</v>
      </c>
      <c r="Y13" s="40">
        <f>Tabelle51218247125146[[#This Row],[Height22]]*Tabelle51218247125146[[#This Row],[Length33]]+Tabelle51218247125146[[#This Row],[Length332]]/2</f>
        <v>3.5839999999999996</v>
      </c>
      <c r="Z13" s="42">
        <f>IF(Tabelle181420384742[[#This Row],[ceiling]]="c",Tabelle181420384742[[#This Row],[Total Area size '[m^2']]],0)</f>
        <v>6.2</v>
      </c>
      <c r="AA13" s="42">
        <f>IF(Tabelle181420384742[[#This Row],[floor]]="f",Tabelle181420384742[[#This Row],[Total Area size '[m^2']]],0)</f>
        <v>6.2</v>
      </c>
      <c r="AB13" s="5"/>
      <c r="AC13" s="2">
        <v>0</v>
      </c>
      <c r="AD13" s="2">
        <v>0</v>
      </c>
      <c r="AE13" s="2">
        <v>0</v>
      </c>
      <c r="AF13" s="2">
        <v>1</v>
      </c>
      <c r="AG13" s="42">
        <f t="shared" si="4"/>
        <v>2.8</v>
      </c>
      <c r="AH13" s="2">
        <f>2.4+0.16</f>
        <v>2.56</v>
      </c>
      <c r="AI13" s="44">
        <v>0</v>
      </c>
      <c r="AJ13" s="6"/>
      <c r="AK13" s="2"/>
      <c r="AL13" s="2"/>
      <c r="AM13" s="2"/>
      <c r="AN13" s="42">
        <f t="shared" si="5"/>
        <v>2.8</v>
      </c>
      <c r="AO13" s="2"/>
      <c r="AP13" s="44"/>
      <c r="AQ13" s="6"/>
      <c r="AR13" s="2"/>
      <c r="AS13" s="2"/>
      <c r="AT13" s="2"/>
      <c r="AU13" s="42">
        <f t="shared" si="8"/>
        <v>2.8</v>
      </c>
      <c r="AV13" s="2"/>
      <c r="AW13" s="44"/>
      <c r="AX13" s="6"/>
      <c r="AY13" s="2"/>
      <c r="AZ13" s="2"/>
      <c r="BA13" s="2"/>
      <c r="BB13" s="42">
        <f t="shared" si="10"/>
        <v>2.8</v>
      </c>
      <c r="BC13" s="2"/>
      <c r="BD13" s="44">
        <v>0</v>
      </c>
      <c r="BE13" s="6"/>
      <c r="BF13" s="2"/>
      <c r="BG13" s="2"/>
      <c r="BH13" s="2"/>
      <c r="BI13" s="42">
        <f t="shared" si="11"/>
        <v>2.8</v>
      </c>
      <c r="BJ13" s="2"/>
      <c r="BK13" s="44">
        <v>0</v>
      </c>
      <c r="BL13" s="1"/>
      <c r="BM13" s="1"/>
      <c r="BN13" s="2">
        <f>Tabelle31016225104944[[#This Row],[North]]*$AI13+AL13*$AP13+AS13*$AW13+AZ13*$BD13+BG13*$BK13</f>
        <v>0</v>
      </c>
      <c r="BO13" s="2">
        <f t="shared" si="12"/>
        <v>0</v>
      </c>
      <c r="BP13" s="2">
        <f t="shared" si="13"/>
        <v>0</v>
      </c>
      <c r="BQ13" s="2">
        <f t="shared" si="14"/>
        <v>0</v>
      </c>
      <c r="BR13" s="6">
        <f>Tabelle31016225104944[[#This Row],[North]]*$AG13*$AH13+AL13*$AN13*$AO13+AS13*$AU13*$AV13+AZ13*$BB13*$BC13+BG13*$BI13*$BJ13-BN13</f>
        <v>0</v>
      </c>
      <c r="BS13" s="2">
        <f t="shared" si="15"/>
        <v>0</v>
      </c>
      <c r="BT13" s="2">
        <f t="shared" si="16"/>
        <v>0</v>
      </c>
      <c r="BU13" s="7">
        <f t="shared" si="17"/>
        <v>7.1679999999999993</v>
      </c>
      <c r="BV13" s="6">
        <f>Tabelle291521494843[[#This Row],[Spalte1]]/$BX$19*$BV$27</f>
        <v>7.4793434285714291</v>
      </c>
      <c r="BW13" s="6">
        <f>Tabelle291521494843[[#This Row],[Spalte1]]/$BX$19*$BW$27</f>
        <v>7.4793434285714291</v>
      </c>
      <c r="BX13" s="6">
        <f>IF(Tabelle181420384742[[#This Row],[(g)round/(r )oof2]]="G",Tabelle181420384742[[#This Row],[Total Area size '[m^2']]],0)</f>
        <v>6.2</v>
      </c>
    </row>
    <row r="14" spans="1:77" x14ac:dyDescent="0.25">
      <c r="A14" s="40">
        <v>10</v>
      </c>
      <c r="B14" s="2"/>
      <c r="C14" s="2"/>
      <c r="D14" s="2"/>
      <c r="E14" s="37"/>
      <c r="F14" s="2"/>
      <c r="G14" s="37"/>
      <c r="H14" s="40"/>
      <c r="I14" s="2"/>
      <c r="J14" s="2"/>
      <c r="K14" s="2"/>
      <c r="L14" s="2"/>
      <c r="M14" s="2"/>
      <c r="N14" s="2"/>
      <c r="O14" s="5"/>
      <c r="P14" s="42">
        <f t="shared" si="0"/>
        <v>2.8</v>
      </c>
      <c r="Q14" s="3"/>
      <c r="R14" s="40">
        <f>Tabelle51218247125146[[#This Row],[Height]]*Tabelle51218247125146[[#This Row],[Length]]</f>
        <v>0</v>
      </c>
      <c r="S14" s="42">
        <f t="shared" si="1"/>
        <v>2.8</v>
      </c>
      <c r="T14" s="3"/>
      <c r="U14" s="40">
        <f>Tabelle51218247125146[[#This Row],[Height2]]*Tabelle51218247125146[[#This Row],[Length3]]</f>
        <v>0</v>
      </c>
      <c r="V14" s="42">
        <f t="shared" si="3"/>
        <v>2.8</v>
      </c>
      <c r="W14" s="3">
        <v>0</v>
      </c>
      <c r="X14" s="3">
        <f>(1-$BR$19)*Tabelle291521494843[[#This Row],[North2]]+(1-$BS$19)*Tabelle291521494843[[#This Row],[East2]]+(1-$BT$19)*Tabelle291521494843[[#This Row],[South2]]+(1-$BU$19)*Tabelle291521494843[[#This Row],[West2]]</f>
        <v>0</v>
      </c>
      <c r="Y14" s="40">
        <f>Tabelle51218247125146[[#This Row],[Height22]]*Tabelle51218247125146[[#This Row],[Length33]]+Tabelle51218247125146[[#This Row],[Length332]]/2</f>
        <v>0</v>
      </c>
      <c r="Z14" s="42">
        <f>IF(Tabelle181420384742[[#This Row],[ceiling]]="c",Tabelle181420384742[[#This Row],[Total Area size '[m^2']]],0)</f>
        <v>0</v>
      </c>
      <c r="AA14" s="42">
        <f>IF(Tabelle181420384742[[#This Row],[floor]]="f",Tabelle181420384742[[#This Row],[Total Area size '[m^2']]],0)</f>
        <v>0</v>
      </c>
      <c r="AB14" s="5"/>
      <c r="AC14" s="2"/>
      <c r="AD14" s="2"/>
      <c r="AE14" s="2"/>
      <c r="AF14" s="2"/>
      <c r="AG14" s="42">
        <f t="shared" si="4"/>
        <v>2.8</v>
      </c>
      <c r="AH14" s="2"/>
      <c r="AI14" s="44"/>
      <c r="AJ14" s="6"/>
      <c r="AK14" s="2"/>
      <c r="AL14" s="2"/>
      <c r="AM14" s="2"/>
      <c r="AN14" s="42">
        <f t="shared" si="5"/>
        <v>2.8</v>
      </c>
      <c r="AO14" s="2"/>
      <c r="AP14" s="44"/>
      <c r="AQ14" s="6"/>
      <c r="AR14" s="2"/>
      <c r="AS14" s="2"/>
      <c r="AT14" s="2"/>
      <c r="AU14" s="42">
        <f t="shared" si="8"/>
        <v>2.8</v>
      </c>
      <c r="AV14" s="2"/>
      <c r="AW14" s="44"/>
      <c r="AX14" s="6"/>
      <c r="AY14" s="2"/>
      <c r="AZ14" s="2"/>
      <c r="BA14" s="2"/>
      <c r="BB14" s="42">
        <f t="shared" si="10"/>
        <v>2.8</v>
      </c>
      <c r="BC14" s="2"/>
      <c r="BD14" s="44">
        <v>0</v>
      </c>
      <c r="BE14" s="6"/>
      <c r="BF14" s="2"/>
      <c r="BG14" s="2"/>
      <c r="BH14" s="2"/>
      <c r="BI14" s="42">
        <f t="shared" si="11"/>
        <v>2.8</v>
      </c>
      <c r="BJ14" s="2"/>
      <c r="BK14" s="44">
        <v>0</v>
      </c>
      <c r="BL14" s="1"/>
      <c r="BM14" s="1"/>
      <c r="BN14" s="2">
        <f>Tabelle31016225104944[[#This Row],[North]]*$AI14+AL14*$AP14+AS14*$AW14+AZ14*$BD14+BG14*$BK14</f>
        <v>0</v>
      </c>
      <c r="BO14" s="2">
        <f t="shared" si="12"/>
        <v>0</v>
      </c>
      <c r="BP14" s="2">
        <f t="shared" si="13"/>
        <v>0</v>
      </c>
      <c r="BQ14" s="2">
        <f t="shared" si="14"/>
        <v>0</v>
      </c>
      <c r="BR14" s="6">
        <f>Tabelle31016225104944[[#This Row],[North]]*$AG14*$AH14+AL14*$AN14*$AO14+AS14*$AU14*$AV14+AZ14*$BB14*$BC14+BG14*$BI14*$BJ14-BN14</f>
        <v>0</v>
      </c>
      <c r="BS14" s="2">
        <f t="shared" si="15"/>
        <v>0</v>
      </c>
      <c r="BT14" s="2">
        <f t="shared" si="16"/>
        <v>0</v>
      </c>
      <c r="BU14" s="7">
        <f t="shared" si="17"/>
        <v>0</v>
      </c>
      <c r="BV14" s="6">
        <f>Tabelle291521494843[[#This Row],[Spalte1]]/$BX$19*$BV$27</f>
        <v>0</v>
      </c>
      <c r="BW14" s="6">
        <f>Tabelle291521494843[[#This Row],[Spalte1]]/$BX$19*$BW$27</f>
        <v>0</v>
      </c>
      <c r="BX14" s="6">
        <f>IF(Tabelle181420384742[[#This Row],[(g)round/(r )oof2]]="G",Tabelle181420384742[[#This Row],[Total Area size '[m^2']]],0)</f>
        <v>0</v>
      </c>
    </row>
    <row r="15" spans="1:77" x14ac:dyDescent="0.25">
      <c r="A15" s="40">
        <v>11</v>
      </c>
      <c r="B15" s="2"/>
      <c r="C15" s="2"/>
      <c r="D15" s="2"/>
      <c r="E15" s="37"/>
      <c r="F15" s="2"/>
      <c r="G15" s="37"/>
      <c r="H15" s="40"/>
      <c r="I15" s="2"/>
      <c r="J15" s="2"/>
      <c r="K15" s="2"/>
      <c r="L15" s="2"/>
      <c r="M15" s="2"/>
      <c r="N15" s="2"/>
      <c r="O15" s="5"/>
      <c r="P15" s="42">
        <f t="shared" si="0"/>
        <v>2.8</v>
      </c>
      <c r="Q15" s="3"/>
      <c r="R15" s="40">
        <f>Tabelle51218247125146[[#This Row],[Height]]*Tabelle51218247125146[[#This Row],[Length]]</f>
        <v>0</v>
      </c>
      <c r="S15" s="42">
        <f t="shared" si="1"/>
        <v>2.8</v>
      </c>
      <c r="T15" s="3"/>
      <c r="U15" s="40">
        <f>Tabelle51218247125146[[#This Row],[Height2]]*Tabelle51218247125146[[#This Row],[Length3]]</f>
        <v>0</v>
      </c>
      <c r="V15" s="42">
        <f t="shared" si="3"/>
        <v>2.8</v>
      </c>
      <c r="W15" s="3">
        <v>0</v>
      </c>
      <c r="X15" s="3">
        <f>(1-$BR$19)*Tabelle291521494843[[#This Row],[North2]]+(1-$BS$19)*Tabelle291521494843[[#This Row],[East2]]+(1-$BT$19)*Tabelle291521494843[[#This Row],[South2]]+(1-$BU$19)*Tabelle291521494843[[#This Row],[West2]]</f>
        <v>0</v>
      </c>
      <c r="Y15" s="40">
        <f>Tabelle51218247125146[[#This Row],[Height22]]*Tabelle51218247125146[[#This Row],[Length33]]+Tabelle51218247125146[[#This Row],[Length332]]/2</f>
        <v>0</v>
      </c>
      <c r="Z15" s="42">
        <f>IF(Tabelle181420384742[[#This Row],[ceiling]]="c",Tabelle181420384742[[#This Row],[Total Area size '[m^2']]],0)</f>
        <v>0</v>
      </c>
      <c r="AA15" s="42">
        <f>IF(Tabelle181420384742[[#This Row],[floor]]="f",Tabelle181420384742[[#This Row],[Total Area size '[m^2']]],0)</f>
        <v>0</v>
      </c>
      <c r="AB15" s="5"/>
      <c r="AC15" s="2"/>
      <c r="AD15" s="2"/>
      <c r="AE15" s="2"/>
      <c r="AF15" s="2"/>
      <c r="AG15" s="42">
        <f t="shared" si="4"/>
        <v>2.8</v>
      </c>
      <c r="AH15" s="2"/>
      <c r="AI15" s="44"/>
      <c r="AJ15" s="6"/>
      <c r="AK15" s="2"/>
      <c r="AL15" s="2"/>
      <c r="AM15" s="2"/>
      <c r="AN15" s="42">
        <f t="shared" si="5"/>
        <v>2.8</v>
      </c>
      <c r="AO15" s="2"/>
      <c r="AP15" s="44"/>
      <c r="AQ15" s="6"/>
      <c r="AR15" s="2"/>
      <c r="AS15" s="2"/>
      <c r="AT15" s="2"/>
      <c r="AU15" s="42"/>
      <c r="AV15" s="2"/>
      <c r="AW15" s="44"/>
      <c r="AX15" s="6"/>
      <c r="AY15" s="2"/>
      <c r="AZ15" s="2"/>
      <c r="BA15" s="2"/>
      <c r="BB15" s="42"/>
      <c r="BC15" s="2"/>
      <c r="BD15" s="44"/>
      <c r="BE15" s="6"/>
      <c r="BF15" s="2"/>
      <c r="BG15" s="2"/>
      <c r="BH15" s="2"/>
      <c r="BI15" s="42"/>
      <c r="BJ15" s="2"/>
      <c r="BK15" s="44"/>
      <c r="BL15" s="1"/>
      <c r="BM15" s="1"/>
      <c r="BN15" s="2">
        <f>Tabelle31016225104944[[#This Row],[North]]*$AI15+AL15*$AP15+AS15*$AW15+AZ15*$BD15+BG15*$BK15</f>
        <v>0</v>
      </c>
      <c r="BO15" s="2">
        <f t="shared" si="12"/>
        <v>0</v>
      </c>
      <c r="BP15" s="2">
        <f t="shared" si="13"/>
        <v>0</v>
      </c>
      <c r="BQ15" s="2">
        <f t="shared" si="14"/>
        <v>0</v>
      </c>
      <c r="BR15" s="6">
        <f>Tabelle31016225104944[[#This Row],[North]]*$AG15*$AH15+AL15*$AN15*$AO15+AS15*$AU15*$AV15+AZ15*$BB15*$BC15+BG15*$BI15*$BJ15-BN15</f>
        <v>0</v>
      </c>
      <c r="BS15" s="2">
        <f t="shared" si="15"/>
        <v>0</v>
      </c>
      <c r="BT15" s="2">
        <f t="shared" si="16"/>
        <v>0</v>
      </c>
      <c r="BU15" s="7">
        <f t="shared" si="17"/>
        <v>0</v>
      </c>
      <c r="BV15" s="6">
        <f>Tabelle291521494843[[#This Row],[Spalte1]]/$BX$19*$BV$27</f>
        <v>0</v>
      </c>
      <c r="BW15" s="6">
        <f>Tabelle291521494843[[#This Row],[Spalte1]]/$BX$19*$BW$27</f>
        <v>0</v>
      </c>
      <c r="BX15" s="6">
        <f>IF(Tabelle181420384742[[#This Row],[(g)round/(r )oof2]]="G",Tabelle181420384742[[#This Row],[Total Area size '[m^2']]],0)</f>
        <v>0</v>
      </c>
    </row>
    <row r="16" spans="1:77" x14ac:dyDescent="0.25">
      <c r="A16" s="40">
        <v>12</v>
      </c>
      <c r="B16" s="2"/>
      <c r="C16" s="2"/>
      <c r="D16" s="2"/>
      <c r="E16" s="2"/>
      <c r="F16" s="2"/>
      <c r="G16" s="37"/>
      <c r="H16" s="40"/>
      <c r="I16" s="2"/>
      <c r="J16" s="2"/>
      <c r="K16" s="2"/>
      <c r="L16" s="2"/>
      <c r="M16" s="2"/>
      <c r="N16" s="2"/>
      <c r="O16" s="5"/>
      <c r="P16" s="42">
        <f t="shared" si="0"/>
        <v>2.8</v>
      </c>
      <c r="Q16" s="3"/>
      <c r="R16" s="40">
        <f>Tabelle51218247125146[[#This Row],[Height]]*Tabelle51218247125146[[#This Row],[Length]]</f>
        <v>0</v>
      </c>
      <c r="S16" s="42">
        <f t="shared" si="1"/>
        <v>2.8</v>
      </c>
      <c r="T16" s="3"/>
      <c r="U16" s="40">
        <f>Tabelle51218247125146[[#This Row],[Height2]]*Tabelle51218247125146[[#This Row],[Length3]]</f>
        <v>0</v>
      </c>
      <c r="V16" s="42">
        <f t="shared" si="3"/>
        <v>2.8</v>
      </c>
      <c r="W16" s="3">
        <v>0</v>
      </c>
      <c r="X16" s="3">
        <f>(1-$BR$19)*Tabelle291521494843[[#This Row],[North2]]+(1-$BS$19)*Tabelle291521494843[[#This Row],[East2]]+(1-$BT$19)*Tabelle291521494843[[#This Row],[South2]]+(1-$BU$19)*Tabelle291521494843[[#This Row],[West2]]</f>
        <v>0</v>
      </c>
      <c r="Y16" s="40">
        <f>Tabelle51218247125146[[#This Row],[Height22]]*Tabelle51218247125146[[#This Row],[Length33]]+Tabelle51218247125146[[#This Row],[Length332]]/2</f>
        <v>0</v>
      </c>
      <c r="Z16" s="42">
        <f>IF(Tabelle181420384742[[#This Row],[ceiling]]="c",Tabelle181420384742[[#This Row],[Total Area size '[m^2']]],0)</f>
        <v>0</v>
      </c>
      <c r="AA16" s="42">
        <f>IF(Tabelle181420384742[[#This Row],[floor]]="f",Tabelle181420384742[[#This Row],[Total Area size '[m^2']]],0)</f>
        <v>0</v>
      </c>
      <c r="AB16" s="5"/>
      <c r="AC16" s="2"/>
      <c r="AD16" s="2"/>
      <c r="AE16" s="2"/>
      <c r="AF16" s="2"/>
      <c r="AG16" s="42">
        <f t="shared" si="4"/>
        <v>2.8</v>
      </c>
      <c r="AH16" s="3"/>
      <c r="AI16" s="44"/>
      <c r="AJ16" s="6"/>
      <c r="AK16" s="2"/>
      <c r="AL16" s="2"/>
      <c r="AM16" s="2"/>
      <c r="AN16" s="42">
        <f t="shared" si="5"/>
        <v>2.8</v>
      </c>
      <c r="AO16" s="2"/>
      <c r="AP16" s="44"/>
      <c r="AQ16" s="6"/>
      <c r="AR16" s="2"/>
      <c r="AS16" s="2"/>
      <c r="AT16" s="2"/>
      <c r="AU16" s="42"/>
      <c r="AV16" s="2"/>
      <c r="AW16" s="44"/>
      <c r="AX16" s="6"/>
      <c r="AY16" s="2"/>
      <c r="AZ16" s="2"/>
      <c r="BA16" s="2"/>
      <c r="BB16" s="42"/>
      <c r="BC16" s="2"/>
      <c r="BD16" s="44"/>
      <c r="BE16" s="6"/>
      <c r="BF16" s="2"/>
      <c r="BG16" s="2"/>
      <c r="BH16" s="2"/>
      <c r="BI16" s="42"/>
      <c r="BJ16" s="2"/>
      <c r="BK16" s="44"/>
      <c r="BL16" s="1"/>
      <c r="BM16" s="1"/>
      <c r="BN16" s="2">
        <f>Tabelle31016225104944[[#This Row],[North]]*$AI16+AL16*$AP16+AS16*$AW16+AZ16*$BD16+BG16*$BK16</f>
        <v>0</v>
      </c>
      <c r="BO16" s="2">
        <f t="shared" si="12"/>
        <v>0</v>
      </c>
      <c r="BP16" s="2">
        <f t="shared" si="13"/>
        <v>0</v>
      </c>
      <c r="BQ16" s="2">
        <f t="shared" si="14"/>
        <v>0</v>
      </c>
      <c r="BR16" s="6">
        <f>Tabelle31016225104944[[#This Row],[North]]*$AG16*$AH16+AL16*$AN16*$AO16+AS16*$AU16*$AV16+AZ16*$BB16*$BC16+BG16*$BI16*$BJ16-BN16</f>
        <v>0</v>
      </c>
      <c r="BS16" s="2">
        <f t="shared" si="15"/>
        <v>0</v>
      </c>
      <c r="BT16" s="2">
        <f t="shared" si="16"/>
        <v>0</v>
      </c>
      <c r="BU16" s="7">
        <f t="shared" si="17"/>
        <v>0</v>
      </c>
      <c r="BV16" s="6">
        <f>Tabelle291521494843[[#This Row],[Spalte1]]/$BX$19*$BV$27</f>
        <v>0</v>
      </c>
      <c r="BW16" s="6">
        <f>Tabelle291521494843[[#This Row],[Spalte1]]/$BX$19*$BW$27</f>
        <v>0</v>
      </c>
      <c r="BX16" s="6">
        <f>IF(Tabelle181420384742[[#This Row],[(g)round/(r )oof2]]="G",Tabelle181420384742[[#This Row],[Total Area size '[m^2']]],0)</f>
        <v>0</v>
      </c>
    </row>
    <row r="17" spans="1:84" x14ac:dyDescent="0.25">
      <c r="A17" s="40">
        <v>13</v>
      </c>
      <c r="B17" s="2"/>
      <c r="C17" s="2"/>
      <c r="D17" s="2"/>
      <c r="E17" s="2"/>
      <c r="F17" s="2"/>
      <c r="G17" s="2"/>
      <c r="H17" s="40">
        <f t="shared" ref="H17:H18" si="18">SUM(I17,J17,K17,L17,M17)</f>
        <v>0</v>
      </c>
      <c r="I17" s="2"/>
      <c r="J17" s="2"/>
      <c r="K17" s="2"/>
      <c r="L17" s="2"/>
      <c r="M17" s="2"/>
      <c r="N17" s="2"/>
      <c r="O17" s="5"/>
      <c r="P17" s="42"/>
      <c r="Q17" s="3"/>
      <c r="R17" s="40"/>
      <c r="S17" s="42"/>
      <c r="T17" s="3"/>
      <c r="U17" s="40"/>
      <c r="V17" s="42"/>
      <c r="W17" s="3"/>
      <c r="X17" s="3"/>
      <c r="Y17" s="40"/>
      <c r="Z17" s="42"/>
      <c r="AA17" s="40"/>
      <c r="AB17" s="5"/>
      <c r="AC17" s="2"/>
      <c r="AD17" s="2"/>
      <c r="AE17" s="2"/>
      <c r="AF17" s="2"/>
      <c r="AG17" s="42"/>
      <c r="AH17" s="2"/>
      <c r="AI17" s="44"/>
      <c r="AJ17" s="6"/>
      <c r="AK17" s="2"/>
      <c r="AL17" s="2"/>
      <c r="AM17" s="2"/>
      <c r="AN17" s="42"/>
      <c r="AO17" s="2"/>
      <c r="AP17" s="44"/>
      <c r="AQ17" s="6"/>
      <c r="AR17" s="2"/>
      <c r="AS17" s="2"/>
      <c r="AT17" s="2"/>
      <c r="AU17" s="42"/>
      <c r="AV17" s="2"/>
      <c r="AW17" s="44"/>
      <c r="AX17" s="6"/>
      <c r="AY17" s="2"/>
      <c r="AZ17" s="2"/>
      <c r="BA17" s="2"/>
      <c r="BB17" s="42"/>
      <c r="BC17" s="2"/>
      <c r="BD17" s="44"/>
      <c r="BE17" s="6"/>
      <c r="BF17" s="2"/>
      <c r="BG17" s="2"/>
      <c r="BH17" s="2"/>
      <c r="BI17" s="42"/>
      <c r="BJ17" s="2"/>
      <c r="BK17" s="44"/>
      <c r="BL17" s="1"/>
      <c r="BM17" s="1"/>
      <c r="BN17" s="2"/>
      <c r="BO17" s="2"/>
      <c r="BP17" s="2"/>
      <c r="BQ17" s="2"/>
      <c r="BR17" s="6"/>
      <c r="BS17" s="2"/>
      <c r="BT17" s="2"/>
      <c r="BU17" s="7"/>
      <c r="BV17" s="2">
        <f>Tabelle291521494843[[#This Row],[Spalte1]]/$BX$19*$BV$27</f>
        <v>0</v>
      </c>
      <c r="BW17" s="6"/>
      <c r="BX17" s="2"/>
    </row>
    <row r="18" spans="1:84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2"/>
      <c r="O18" s="5"/>
      <c r="P18" s="42"/>
      <c r="Q18" s="3"/>
      <c r="R18" s="40"/>
      <c r="S18" s="42"/>
      <c r="T18" s="3"/>
      <c r="U18" s="40"/>
      <c r="V18" s="42"/>
      <c r="W18" s="3"/>
      <c r="X18" s="3"/>
      <c r="Y18" s="40"/>
      <c r="Z18" s="42"/>
      <c r="AA18" s="40"/>
      <c r="AB18" s="5"/>
      <c r="AC18" s="2"/>
      <c r="AD18" s="2"/>
      <c r="AE18" s="2"/>
      <c r="AF18" s="2"/>
      <c r="AG18" s="42"/>
      <c r="AH18" s="2"/>
      <c r="AI18" s="44"/>
      <c r="AJ18" s="6"/>
      <c r="AK18" s="2"/>
      <c r="AL18" s="2"/>
      <c r="AM18" s="2"/>
      <c r="AN18" s="42"/>
      <c r="AO18" s="2"/>
      <c r="AP18" s="44"/>
      <c r="AQ18" s="6"/>
      <c r="AR18" s="2"/>
      <c r="AS18" s="2"/>
      <c r="AT18" s="2"/>
      <c r="AU18" s="42"/>
      <c r="AV18" s="2"/>
      <c r="AW18" s="44"/>
      <c r="AX18" s="6"/>
      <c r="AY18" s="2"/>
      <c r="AZ18" s="2"/>
      <c r="BA18" s="2"/>
      <c r="BB18" s="42"/>
      <c r="BC18" s="2"/>
      <c r="BD18" s="44"/>
      <c r="BE18" s="6"/>
      <c r="BF18" s="2"/>
      <c r="BG18" s="2"/>
      <c r="BH18" s="2"/>
      <c r="BI18" s="42"/>
      <c r="BJ18" s="2"/>
      <c r="BK18" s="44"/>
      <c r="BL18" s="1"/>
      <c r="BM18" s="1"/>
      <c r="BN18" s="2"/>
      <c r="BO18" s="2"/>
      <c r="BP18" s="2"/>
      <c r="BQ18" s="2"/>
      <c r="BR18" s="6"/>
      <c r="BS18" s="2"/>
      <c r="BT18" s="2"/>
      <c r="BU18" s="7"/>
      <c r="BV18" s="2">
        <f>Tabelle291521494843[[#This Row],[Spalte1]]/$BX$19*$BV$27</f>
        <v>0</v>
      </c>
      <c r="BW18" s="6"/>
      <c r="BX18" s="2"/>
    </row>
    <row r="19" spans="1:84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"/>
      <c r="BM19" s="1"/>
      <c r="BN19" s="81"/>
      <c r="BO19" s="3"/>
      <c r="BP19" s="81"/>
      <c r="BQ19" s="3"/>
      <c r="BR19" s="6">
        <v>1</v>
      </c>
      <c r="BS19" s="2">
        <v>0</v>
      </c>
      <c r="BT19" s="2">
        <v>1</v>
      </c>
      <c r="BU19" s="7">
        <v>0</v>
      </c>
      <c r="BV19" s="81">
        <f>Tabelle291521494843[[#This Row],[Spalte1]]/$BX$19*$BV$27</f>
        <v>168.88839999999999</v>
      </c>
      <c r="BW19" s="6">
        <f>Tabelle291521494843[[#This Row],[Spalte1]]/$BX$19*$BW$27</f>
        <v>168.88839999999999</v>
      </c>
      <c r="BX19" s="81">
        <f>SUM(BX5:BX18)</f>
        <v>140</v>
      </c>
      <c r="BY19" s="3"/>
      <c r="BZ19" s="3"/>
      <c r="CA19" s="3"/>
      <c r="CB19" s="3"/>
      <c r="CC19" s="3"/>
      <c r="CD19" s="3"/>
      <c r="CE19" s="3"/>
      <c r="CF19" s="3"/>
    </row>
    <row r="20" spans="1:84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Y20" s="3"/>
      <c r="BZ20" s="3"/>
      <c r="CA20" s="3"/>
      <c r="CB20" s="3"/>
      <c r="CC20" s="3"/>
      <c r="CD20" s="3"/>
      <c r="CE20" s="3"/>
      <c r="CF20" s="3"/>
    </row>
    <row r="21" spans="1:84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24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Y21" s="3"/>
      <c r="BZ21" s="3"/>
      <c r="CA21" s="3"/>
      <c r="CB21" s="3"/>
      <c r="CC21" s="3"/>
      <c r="CD21" s="3"/>
      <c r="CE21" s="3"/>
      <c r="CF21" s="3"/>
    </row>
    <row r="22" spans="1:84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1"/>
      <c r="O22" s="3"/>
      <c r="P22" s="33"/>
      <c r="Q22" s="3"/>
      <c r="R22" s="3"/>
      <c r="S22" s="3"/>
      <c r="T22" s="3"/>
      <c r="U22" s="3"/>
      <c r="V22" s="3"/>
      <c r="W22" s="3"/>
      <c r="X22" s="3"/>
      <c r="Y22" s="3"/>
      <c r="Z22" s="3"/>
      <c r="AA22" s="2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12"/>
      <c r="BL22" s="12"/>
      <c r="BM22" s="3" t="s">
        <v>101</v>
      </c>
      <c r="BN22" s="61">
        <f>SUMIF($C$5:$C$18,$BM22,BN$5:BN$19)</f>
        <v>0</v>
      </c>
      <c r="BO22" s="61">
        <f t="shared" ref="BO22:BQ25" si="19">SUMIF($C$5:$C$18,$BM22,BO$5:BO$18)</f>
        <v>0</v>
      </c>
      <c r="BP22" s="61">
        <f t="shared" si="19"/>
        <v>15.32</v>
      </c>
      <c r="BQ22" s="61">
        <f t="shared" si="19"/>
        <v>0.63</v>
      </c>
      <c r="BR22" s="61">
        <f>SUMIF($C$5:$C$18,$BM22,BR$5:BR$18)*BR$19</f>
        <v>0</v>
      </c>
      <c r="BS22" s="61">
        <f t="shared" ref="BS22:BU22" si="20">SUMIF($C$5:$C$18,$BM22,BS$5:BS$18)*BS$19</f>
        <v>0</v>
      </c>
      <c r="BT22" s="61">
        <f t="shared" si="20"/>
        <v>20.463999999999999</v>
      </c>
      <c r="BU22" s="61">
        <f t="shared" si="20"/>
        <v>0</v>
      </c>
      <c r="BV22" s="61">
        <f ca="1">SUMIF($C$5:$C$18,$BM22,BV$5:BV$16)</f>
        <v>72.863281142857147</v>
      </c>
      <c r="BW22" s="61">
        <f ca="1">SUMIF($C$5:$C$18,$BM22,BW$5:BW$16)</f>
        <v>72.863281142857147</v>
      </c>
      <c r="BY22" s="3"/>
      <c r="BZ22" s="3"/>
      <c r="CA22" s="3"/>
      <c r="CB22" s="3"/>
      <c r="CC22" s="3"/>
      <c r="CD22" s="3"/>
      <c r="CE22" s="3"/>
      <c r="CF22" s="3"/>
    </row>
    <row r="23" spans="1:84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60.400000000000006</v>
      </c>
      <c r="I23" s="12">
        <f>H23/$H$28</f>
        <v>0.43142857142857149</v>
      </c>
      <c r="J23" s="1"/>
      <c r="K23" s="86" t="s">
        <v>86</v>
      </c>
      <c r="L23" s="86"/>
      <c r="M23" s="87"/>
      <c r="N23" s="78"/>
      <c r="O23" s="3"/>
      <c r="P23" s="33"/>
      <c r="Q23" s="3"/>
      <c r="R23" s="55">
        <f>SUMIF($C$5:$C$18,C23,$R$5:$R$18)/2</f>
        <v>1.68</v>
      </c>
      <c r="S23" s="3"/>
      <c r="T23" s="3"/>
      <c r="U23" s="55">
        <f>SUMIF($C$5:$C$18,$C23,$U$5:$U$18)</f>
        <v>53.983999999999995</v>
      </c>
      <c r="V23" s="3"/>
      <c r="W23" s="3"/>
      <c r="X23" s="3"/>
      <c r="Y23" s="55">
        <f>SUMIF($C$5:$C$18,$C23,$Y$5:$Y$18)</f>
        <v>19.411000000000001</v>
      </c>
      <c r="Z23" s="55">
        <f>SUMIF($C$5:$C$18,$C23,$Z$5:$Z$18)/2</f>
        <v>30.200000000000003</v>
      </c>
      <c r="AA23" s="55">
        <f>SUMIF($C$5:$C$18,$C23,$AA$5:$AA$18)/2</f>
        <v>30.200000000000003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2"/>
      <c r="BL23" s="2"/>
      <c r="BM23" s="3" t="s">
        <v>10</v>
      </c>
      <c r="BN23" s="61">
        <f>SUMIF($C$5:$C$18,$BM23,BN$5:BN$18)</f>
        <v>0</v>
      </c>
      <c r="BO23" s="61">
        <f t="shared" si="19"/>
        <v>0</v>
      </c>
      <c r="BP23" s="61">
        <f t="shared" si="19"/>
        <v>0</v>
      </c>
      <c r="BQ23" s="61">
        <f t="shared" si="19"/>
        <v>0</v>
      </c>
      <c r="BR23" s="61">
        <f t="shared" ref="BR23:BU25" si="21">SUMIF($C$5:$C$18,$BM23,BR$5:BR$18)*BR$19</f>
        <v>0</v>
      </c>
      <c r="BS23" s="61">
        <f t="shared" si="21"/>
        <v>0</v>
      </c>
      <c r="BT23" s="61">
        <f t="shared" si="21"/>
        <v>0</v>
      </c>
      <c r="BU23" s="61">
        <f t="shared" si="21"/>
        <v>0</v>
      </c>
      <c r="BV23" s="61">
        <f t="shared" ref="BV23:BW25" ca="1" si="22">SUMIF($C$5:$C$18,$BM23,BV$5:BV$16)</f>
        <v>28.711028000000002</v>
      </c>
      <c r="BW23" s="61">
        <f t="shared" ca="1" si="22"/>
        <v>28.711028000000002</v>
      </c>
      <c r="BY23" s="3"/>
      <c r="BZ23" s="3"/>
      <c r="CA23" s="3"/>
      <c r="CB23" s="3"/>
      <c r="CC23" s="3"/>
      <c r="CD23" s="3"/>
      <c r="CE23" s="3"/>
      <c r="CF23" s="3"/>
    </row>
    <row r="24" spans="1:84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23.799999999999997</v>
      </c>
      <c r="I24" s="2">
        <f>H24/$H$28</f>
        <v>0.16999999999999998</v>
      </c>
      <c r="J24" s="1"/>
      <c r="K24" s="86"/>
      <c r="L24" s="86"/>
      <c r="M24" s="87"/>
      <c r="N24" s="78"/>
      <c r="O24" s="3"/>
      <c r="P24" s="33"/>
      <c r="Q24" s="3"/>
      <c r="R24" s="56">
        <f>SUMIF($C$5:$C$18,C24,$R$5:$R$18)/2</f>
        <v>17.71</v>
      </c>
      <c r="S24" s="3"/>
      <c r="T24" s="3"/>
      <c r="U24" s="56">
        <f>SUMIF($C$5:$C$18,$C24,$U$5:$U$18)</f>
        <v>0</v>
      </c>
      <c r="V24" s="3"/>
      <c r="W24" s="3"/>
      <c r="X24" s="3"/>
      <c r="Y24" s="56">
        <f>SUMIF($C$5:$C$18,$C24,$Y$5:$Y$18)</f>
        <v>9.9259999999999984</v>
      </c>
      <c r="Z24" s="55">
        <f t="shared" ref="Z24:Z26" si="23">SUMIF($C$5:$C$18,$C24,$Z$5:$Z$18)/2</f>
        <v>11.899999999999999</v>
      </c>
      <c r="AA24" s="55">
        <f t="shared" ref="AA24:AA26" si="24">SUMIF($C$5:$C$18,$C24,$AA$5:$AA$18)/2</f>
        <v>11.899999999999999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2"/>
      <c r="BL24" s="2"/>
      <c r="BM24" s="3" t="s">
        <v>102</v>
      </c>
      <c r="BN24" s="61">
        <f>SUMIF($C$5:$C$18,$BM24,BN$5:BN$18)</f>
        <v>7.4400000000000013</v>
      </c>
      <c r="BO24" s="61">
        <f t="shared" si="19"/>
        <v>0</v>
      </c>
      <c r="BP24" s="61">
        <f t="shared" si="19"/>
        <v>0</v>
      </c>
      <c r="BQ24" s="61">
        <f t="shared" si="19"/>
        <v>0</v>
      </c>
      <c r="BR24" s="61">
        <f t="shared" si="21"/>
        <v>23.024000000000001</v>
      </c>
      <c r="BS24" s="61">
        <f t="shared" si="21"/>
        <v>0</v>
      </c>
      <c r="BT24" s="61">
        <f t="shared" si="21"/>
        <v>0</v>
      </c>
      <c r="BU24" s="61">
        <f t="shared" si="21"/>
        <v>0</v>
      </c>
      <c r="BV24" s="61">
        <f t="shared" ca="1" si="22"/>
        <v>56.818883142857132</v>
      </c>
      <c r="BW24" s="61">
        <f t="shared" ca="1" si="22"/>
        <v>56.818883142857132</v>
      </c>
      <c r="BY24" s="3"/>
      <c r="BZ24" s="3"/>
      <c r="CA24" s="3"/>
      <c r="CB24" s="3"/>
      <c r="CC24" s="3"/>
      <c r="CD24" s="3"/>
      <c r="CE24" s="3"/>
      <c r="CF24" s="3"/>
    </row>
    <row r="25" spans="1:84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47.1</v>
      </c>
      <c r="I25" s="2">
        <f>H25/$H$28</f>
        <v>0.33642857142857147</v>
      </c>
      <c r="J25" s="1"/>
      <c r="K25" s="86"/>
      <c r="L25" s="86"/>
      <c r="M25" s="87"/>
      <c r="N25" s="78"/>
      <c r="O25" s="3"/>
      <c r="P25" s="33"/>
      <c r="Q25" s="3"/>
      <c r="R25" s="56">
        <f>SUMIF($C$5:$C$18,C25,$R$5:$R$18)/2</f>
        <v>25.759999999999998</v>
      </c>
      <c r="S25" s="3"/>
      <c r="T25" s="3"/>
      <c r="U25" s="56">
        <f>SUMIF($C$5:$C$18,$C25,$U$5:$U$18)</f>
        <v>28.671999999999997</v>
      </c>
      <c r="V25" s="3"/>
      <c r="W25" s="3"/>
      <c r="X25" s="3"/>
      <c r="Y25" s="56">
        <f>SUMIF($C$5:$C$18,$C25,$Y$5:$Y$18)</f>
        <v>13.86</v>
      </c>
      <c r="Z25" s="55">
        <f t="shared" si="23"/>
        <v>23.55</v>
      </c>
      <c r="AA25" s="55">
        <f t="shared" si="24"/>
        <v>23.55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2"/>
      <c r="BL25" s="2"/>
      <c r="BM25" s="3" t="s">
        <v>103</v>
      </c>
      <c r="BN25" s="61">
        <f>SUMIF($C$5:$C$18,$BM25,BN$5:BN$18)</f>
        <v>1.08</v>
      </c>
      <c r="BO25" s="61">
        <f t="shared" si="19"/>
        <v>0</v>
      </c>
      <c r="BP25" s="61">
        <f t="shared" si="19"/>
        <v>0</v>
      </c>
      <c r="BQ25" s="61">
        <f t="shared" si="19"/>
        <v>0</v>
      </c>
      <c r="BR25" s="61">
        <f t="shared" si="21"/>
        <v>4.6879999999999997</v>
      </c>
      <c r="BS25" s="61">
        <f t="shared" si="21"/>
        <v>0</v>
      </c>
      <c r="BT25" s="61">
        <f t="shared" si="21"/>
        <v>0</v>
      </c>
      <c r="BU25" s="61">
        <f t="shared" si="21"/>
        <v>0</v>
      </c>
      <c r="BV25" s="61">
        <f t="shared" ca="1" si="22"/>
        <v>10.495207714285712</v>
      </c>
      <c r="BW25" s="61">
        <f t="shared" ca="1" si="22"/>
        <v>10.495207714285712</v>
      </c>
      <c r="BY25" s="3"/>
      <c r="BZ25" s="3"/>
      <c r="CA25" s="3"/>
      <c r="CB25" s="3"/>
      <c r="CC25" s="3"/>
      <c r="CD25" s="3"/>
      <c r="CE25" s="3"/>
      <c r="CF25" s="3"/>
    </row>
    <row r="26" spans="1:84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8.6999999999999993</v>
      </c>
      <c r="I26" s="2">
        <f>H26/$H$28</f>
        <v>6.2142857142857139E-2</v>
      </c>
      <c r="J26" s="1"/>
      <c r="K26" s="86"/>
      <c r="L26" s="86"/>
      <c r="M26" s="87"/>
      <c r="N26" s="78"/>
      <c r="O26" s="3"/>
      <c r="P26" s="33"/>
      <c r="Q26" s="3"/>
      <c r="R26" s="56">
        <f>SUMIF($C$5:$C$18,C26,$R$5:$R$18)/2</f>
        <v>12.879999999999999</v>
      </c>
      <c r="S26" s="3"/>
      <c r="T26" s="3"/>
      <c r="U26" s="56">
        <f>SUMIF($C$5:$C$18,$C26,$U$5:$U$18)</f>
        <v>5.3199999999999994</v>
      </c>
      <c r="V26" s="3"/>
      <c r="W26" s="3"/>
      <c r="X26" s="3"/>
      <c r="Y26" s="56">
        <f>SUMIF($C$5:$C$18,$C26,$Y$5:$Y$18)</f>
        <v>0</v>
      </c>
      <c r="Z26" s="55">
        <f t="shared" si="23"/>
        <v>4.3499999999999996</v>
      </c>
      <c r="AA26" s="55">
        <f t="shared" si="24"/>
        <v>4.3499999999999996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2"/>
      <c r="BL26" s="2"/>
      <c r="BM26" s="3"/>
      <c r="BN26" s="62"/>
      <c r="BO26" s="63"/>
      <c r="BP26" s="63"/>
      <c r="BQ26" s="63"/>
      <c r="BR26" s="63"/>
      <c r="BS26" s="63"/>
      <c r="BT26" s="63"/>
      <c r="BU26" s="63"/>
      <c r="BV26" s="63" t="s">
        <v>116</v>
      </c>
      <c r="BW26" s="64"/>
      <c r="BY26" s="3"/>
      <c r="BZ26" s="3"/>
      <c r="CA26" s="3"/>
      <c r="CB26" s="3"/>
      <c r="CC26" s="3"/>
      <c r="CD26" s="3"/>
      <c r="CE26" s="3"/>
      <c r="CF26" s="3"/>
    </row>
    <row r="27" spans="1:84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4"/>
      <c r="O27" s="3"/>
      <c r="P27" s="33"/>
      <c r="Q27" s="3"/>
      <c r="R27" s="57"/>
      <c r="S27" s="3"/>
      <c r="T27" s="3"/>
      <c r="U27" s="57"/>
      <c r="V27" s="3"/>
      <c r="W27" s="3"/>
      <c r="X27" s="3"/>
      <c r="Y27" s="57"/>
      <c r="Z27" s="71"/>
      <c r="AA27" s="25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2"/>
      <c r="BL27" s="2"/>
      <c r="BM27" s="3" t="s">
        <v>12</v>
      </c>
      <c r="BN27" s="65">
        <f t="shared" ref="BN27:BU27" si="25">SUM(BN22:BN26)</f>
        <v>8.5200000000000014</v>
      </c>
      <c r="BO27" s="66">
        <f t="shared" si="25"/>
        <v>0</v>
      </c>
      <c r="BP27" s="66">
        <f t="shared" si="25"/>
        <v>15.32</v>
      </c>
      <c r="BQ27" s="66">
        <f t="shared" si="25"/>
        <v>0.63</v>
      </c>
      <c r="BR27" s="66">
        <f t="shared" si="25"/>
        <v>27.712</v>
      </c>
      <c r="BS27" s="66">
        <f t="shared" si="25"/>
        <v>0</v>
      </c>
      <c r="BT27" s="66">
        <f t="shared" si="25"/>
        <v>20.463999999999999</v>
      </c>
      <c r="BU27" s="66">
        <f t="shared" si="25"/>
        <v>0</v>
      </c>
      <c r="BV27" s="67">
        <f>13.78*12.78-1.9*3.8</f>
        <v>168.88839999999999</v>
      </c>
      <c r="BW27" s="67">
        <f>13.78*12.78-1.9*3.8</f>
        <v>168.88839999999999</v>
      </c>
      <c r="BX27" t="s">
        <v>115</v>
      </c>
      <c r="BY27" s="3"/>
      <c r="BZ27" s="3"/>
      <c r="CA27" s="3"/>
      <c r="CB27" s="3"/>
      <c r="CC27" s="3"/>
      <c r="CD27" s="3"/>
      <c r="CE27" s="3"/>
      <c r="CF27" s="3"/>
    </row>
    <row r="28" spans="1:84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140</v>
      </c>
      <c r="I28" s="2"/>
      <c r="J28" s="1"/>
      <c r="K28" s="4" t="s">
        <v>7</v>
      </c>
      <c r="L28" s="58"/>
      <c r="M28" s="26"/>
      <c r="N28" s="4"/>
      <c r="O28" s="3"/>
      <c r="P28" s="33"/>
      <c r="Q28" s="3"/>
      <c r="R28" s="56">
        <f>SUM(R23:R26)</f>
        <v>58.03</v>
      </c>
      <c r="S28" s="3"/>
      <c r="T28" s="3"/>
      <c r="U28" s="56">
        <f>SUM(U23:U26)</f>
        <v>87.975999999999985</v>
      </c>
      <c r="V28" s="3"/>
      <c r="W28" s="3"/>
      <c r="X28" s="3"/>
      <c r="Y28" s="72">
        <f>SUM(Y23:Y26)</f>
        <v>43.197000000000003</v>
      </c>
      <c r="Z28" s="73">
        <f>SUM(Z23:Z26)</f>
        <v>70</v>
      </c>
      <c r="AA28" s="73">
        <f>SUM(AA23:AA26)</f>
        <v>70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2"/>
      <c r="BY28" s="3"/>
      <c r="BZ28" s="3"/>
      <c r="CA28" s="3"/>
      <c r="CB28" s="3"/>
      <c r="CC28" s="3"/>
      <c r="CD28" s="3"/>
      <c r="CE28" s="3"/>
      <c r="CF28" s="3"/>
    </row>
    <row r="29" spans="1:84" ht="15.75" thickBot="1" x14ac:dyDescent="0.3">
      <c r="I29" s="2"/>
      <c r="J29" s="1"/>
      <c r="K29" s="4"/>
      <c r="L29" s="4"/>
      <c r="M29" s="26"/>
      <c r="N29" s="4"/>
      <c r="P29" s="6"/>
      <c r="Q29" s="2"/>
      <c r="R29" s="3"/>
      <c r="S29" s="3"/>
      <c r="T29" s="3"/>
      <c r="U29" s="3"/>
      <c r="V29" s="3"/>
      <c r="W29" s="3"/>
      <c r="X29" s="3"/>
      <c r="Y29" s="3"/>
      <c r="Z29" s="2"/>
      <c r="AA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N30" s="4"/>
      <c r="P30" s="6"/>
      <c r="Q30" s="2"/>
      <c r="R30" s="2"/>
      <c r="S30" s="2"/>
      <c r="T30" s="2"/>
      <c r="U30" s="2"/>
      <c r="V30" s="46"/>
      <c r="W30" s="47"/>
      <c r="X30" s="50"/>
      <c r="Y30" s="47" t="s">
        <v>82</v>
      </c>
      <c r="Z30" s="48"/>
      <c r="AA30" s="7"/>
      <c r="AC30" s="3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N31" s="4"/>
      <c r="P31" s="6"/>
      <c r="Q31" s="2"/>
      <c r="R31" s="2"/>
      <c r="S31" s="2"/>
      <c r="T31" s="2"/>
      <c r="U31" s="2"/>
      <c r="V31" s="2" t="s">
        <v>101</v>
      </c>
      <c r="W31" s="2"/>
      <c r="X31" s="2"/>
      <c r="Y31" s="68">
        <f>Y23+U23+R23</f>
        <v>75.075000000000003</v>
      </c>
      <c r="Z31" s="49"/>
      <c r="AA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 x14ac:dyDescent="0.25">
      <c r="I32" s="1">
        <f>(527+363+340+527)</f>
        <v>1757</v>
      </c>
      <c r="J32" s="1"/>
      <c r="K32" s="4"/>
      <c r="L32" s="4"/>
      <c r="M32" s="26"/>
      <c r="N32" s="4"/>
      <c r="P32" s="6"/>
      <c r="Q32" s="2"/>
      <c r="R32" s="2"/>
      <c r="S32" s="2"/>
      <c r="T32" s="2"/>
      <c r="U32" s="2"/>
      <c r="V32" s="2" t="s">
        <v>10</v>
      </c>
      <c r="W32" s="2"/>
      <c r="X32" s="2"/>
      <c r="Y32" s="69">
        <f t="shared" ref="Y32:Y34" si="26">Y24+U24+R24</f>
        <v>27.635999999999999</v>
      </c>
      <c r="Z32" s="49"/>
      <c r="AA32" s="7"/>
      <c r="AC32" s="37"/>
      <c r="AD32" s="3"/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9:69" x14ac:dyDescent="0.25">
      <c r="I33" s="1">
        <f>527+403+380+527</f>
        <v>1837</v>
      </c>
      <c r="J33" s="1"/>
      <c r="K33" s="4"/>
      <c r="L33" s="4"/>
      <c r="M33" s="26"/>
      <c r="N33" s="4"/>
      <c r="P33" s="6"/>
      <c r="Q33" s="2"/>
      <c r="R33" s="2"/>
      <c r="S33" s="2"/>
      <c r="T33" s="2"/>
      <c r="U33" s="2"/>
      <c r="V33" s="2" t="s">
        <v>102</v>
      </c>
      <c r="W33" s="2"/>
      <c r="X33" s="2"/>
      <c r="Y33" s="69">
        <f t="shared" si="26"/>
        <v>68.292000000000002</v>
      </c>
      <c r="Z33" s="49"/>
      <c r="AA33" s="7"/>
      <c r="AC33" s="37"/>
      <c r="AD33" s="3"/>
      <c r="AE33" s="3"/>
    </row>
    <row r="34" spans="9:69" x14ac:dyDescent="0.25">
      <c r="I34" s="1">
        <f>527+403+380+527</f>
        <v>1837</v>
      </c>
      <c r="J34" s="1"/>
      <c r="K34" s="4"/>
      <c r="L34" s="4"/>
      <c r="M34" s="26"/>
      <c r="N34" s="4"/>
      <c r="P34" s="6"/>
      <c r="Q34" s="2"/>
      <c r="R34" s="2"/>
      <c r="S34" s="2"/>
      <c r="T34" s="2"/>
      <c r="U34" s="2"/>
      <c r="V34" s="2" t="s">
        <v>103</v>
      </c>
      <c r="W34" s="2"/>
      <c r="X34" s="2"/>
      <c r="Y34" s="69">
        <f t="shared" si="26"/>
        <v>18.2</v>
      </c>
      <c r="Z34" s="49"/>
      <c r="AA34" s="7"/>
      <c r="AC34" s="37"/>
      <c r="AD34" s="3"/>
      <c r="AE34" s="3"/>
      <c r="BQ34">
        <f>(805*2+(886+336)*2)/100*2.8*2</f>
        <v>227.02399999999997</v>
      </c>
    </row>
    <row r="35" spans="9:69" ht="15.75" thickBot="1" x14ac:dyDescent="0.3">
      <c r="I35" s="1">
        <f>SUM(I31:I34)</f>
        <v>8169</v>
      </c>
      <c r="J35" s="1"/>
      <c r="K35" s="4"/>
      <c r="L35" s="4"/>
      <c r="M35" s="26"/>
      <c r="N35" s="4"/>
      <c r="P35" s="6"/>
      <c r="Q35" s="2"/>
      <c r="R35" s="2"/>
      <c r="S35" s="2"/>
      <c r="T35" s="2"/>
      <c r="U35" s="2"/>
      <c r="V35" s="51"/>
      <c r="W35" s="37"/>
      <c r="X35" s="2"/>
      <c r="Y35" s="70"/>
      <c r="Z35" s="49"/>
      <c r="AA35" s="7"/>
      <c r="AC35" s="37"/>
      <c r="AD35" s="3"/>
      <c r="AE35" s="3"/>
      <c r="BQ35" s="77">
        <f>1-SUM(BN27:BU27)/BQ34</f>
        <v>0.680007400098668</v>
      </c>
    </row>
    <row r="36" spans="9:69" ht="15.75" thickBot="1" x14ac:dyDescent="0.3">
      <c r="I36" s="27"/>
      <c r="J36" s="27"/>
      <c r="K36" s="27"/>
      <c r="L36" s="27"/>
      <c r="M36" s="28"/>
      <c r="N36" s="1"/>
      <c r="P36" s="8"/>
      <c r="Q36" s="9"/>
      <c r="R36" s="9"/>
      <c r="S36" s="9"/>
      <c r="T36" s="9"/>
      <c r="U36" s="9"/>
      <c r="V36" s="52"/>
      <c r="W36" s="9"/>
      <c r="X36" s="53"/>
      <c r="Y36" s="9"/>
      <c r="Z36" s="54"/>
      <c r="AA36" s="10"/>
      <c r="AC36" s="37"/>
      <c r="AD36" s="3"/>
      <c r="AE36" s="3"/>
    </row>
    <row r="37" spans="9:69" x14ac:dyDescent="0.25">
      <c r="I37" s="2"/>
      <c r="J37" s="2"/>
      <c r="K37" s="2"/>
      <c r="L37" s="2"/>
      <c r="M37" s="2"/>
      <c r="N37" s="2"/>
      <c r="AC37" s="3"/>
      <c r="AD37" s="3"/>
      <c r="AE37" s="3"/>
    </row>
    <row r="39" spans="9:69" ht="15.75" thickBot="1" x14ac:dyDescent="0.3"/>
    <row r="40" spans="9:69" ht="19.5" thickBot="1" x14ac:dyDescent="0.35">
      <c r="AB40" s="84"/>
      <c r="AC40" s="21" t="s">
        <v>28</v>
      </c>
      <c r="AD40" s="83"/>
      <c r="AE40" s="83"/>
      <c r="AF40" s="83"/>
      <c r="AG40" s="22" t="s">
        <v>29</v>
      </c>
      <c r="AH40" s="83"/>
      <c r="AI40" s="83"/>
      <c r="AJ40" s="22"/>
      <c r="AK40" s="22"/>
    </row>
    <row r="41" spans="9:69" ht="18.75" x14ac:dyDescent="0.3">
      <c r="X41" s="22" t="s">
        <v>1</v>
      </c>
      <c r="Y41" s="22" t="s">
        <v>82</v>
      </c>
      <c r="Z41" s="22" t="s">
        <v>71</v>
      </c>
      <c r="AA41" s="22" t="s">
        <v>2</v>
      </c>
      <c r="AB41" s="2" t="s">
        <v>21</v>
      </c>
      <c r="AC41" s="2" t="s">
        <v>22</v>
      </c>
      <c r="AD41" s="2" t="s">
        <v>23</v>
      </c>
      <c r="AE41" s="2" t="s">
        <v>24</v>
      </c>
      <c r="AF41" s="6" t="s">
        <v>32</v>
      </c>
      <c r="AG41" s="2" t="s">
        <v>58</v>
      </c>
      <c r="AH41" s="2" t="s">
        <v>59</v>
      </c>
      <c r="AI41" s="7" t="s">
        <v>60</v>
      </c>
      <c r="AJ41" s="2" t="s">
        <v>139</v>
      </c>
      <c r="AK41" s="6" t="s">
        <v>31</v>
      </c>
    </row>
    <row r="42" spans="9:69" x14ac:dyDescent="0.25">
      <c r="U42" s="2" t="s">
        <v>101</v>
      </c>
      <c r="W42" s="2"/>
      <c r="X42">
        <f>H23*5</f>
        <v>302</v>
      </c>
      <c r="Y42">
        <f>Y31*5</f>
        <v>375.375</v>
      </c>
      <c r="Z42">
        <f>Z23*4</f>
        <v>120.80000000000001</v>
      </c>
      <c r="AA42">
        <f>AA23*4</f>
        <v>120.80000000000001</v>
      </c>
      <c r="AB42">
        <f>BN22*5</f>
        <v>0</v>
      </c>
      <c r="AC42">
        <f t="shared" ref="AC42:AI45" si="27">BO22*5</f>
        <v>0</v>
      </c>
      <c r="AD42">
        <f t="shared" si="27"/>
        <v>76.599999999999994</v>
      </c>
      <c r="AE42">
        <f t="shared" si="27"/>
        <v>3.15</v>
      </c>
      <c r="AF42">
        <f t="shared" si="27"/>
        <v>0</v>
      </c>
      <c r="AG42">
        <f t="shared" si="27"/>
        <v>0</v>
      </c>
      <c r="AH42">
        <f t="shared" si="27"/>
        <v>102.32</v>
      </c>
      <c r="AI42">
        <f t="shared" si="27"/>
        <v>0</v>
      </c>
      <c r="AJ42">
        <f ca="1">BV22</f>
        <v>72.863281142857147</v>
      </c>
      <c r="AK42">
        <f ca="1">BW22</f>
        <v>72.863281142857147</v>
      </c>
    </row>
    <row r="43" spans="9:69" x14ac:dyDescent="0.25">
      <c r="U43" s="2" t="s">
        <v>10</v>
      </c>
      <c r="W43" s="2"/>
      <c r="X43">
        <f t="shared" ref="X43:X45" si="28">H24*5</f>
        <v>118.99999999999999</v>
      </c>
      <c r="Y43">
        <f t="shared" ref="Y43:Y45" si="29">Y32*5</f>
        <v>138.18</v>
      </c>
      <c r="Z43">
        <f t="shared" ref="Z43:AA45" si="30">Z24*4</f>
        <v>47.599999999999994</v>
      </c>
      <c r="AA43">
        <f t="shared" si="30"/>
        <v>47.599999999999994</v>
      </c>
      <c r="AB43">
        <f t="shared" ref="AB43:AB45" si="31">BN23*5</f>
        <v>0</v>
      </c>
      <c r="AC43">
        <f t="shared" si="27"/>
        <v>0</v>
      </c>
      <c r="AD43">
        <f t="shared" si="27"/>
        <v>0</v>
      </c>
      <c r="AE43">
        <f t="shared" si="27"/>
        <v>0</v>
      </c>
      <c r="AF43">
        <f t="shared" si="27"/>
        <v>0</v>
      </c>
      <c r="AG43">
        <f t="shared" si="27"/>
        <v>0</v>
      </c>
      <c r="AH43">
        <f t="shared" si="27"/>
        <v>0</v>
      </c>
      <c r="AI43">
        <f t="shared" si="27"/>
        <v>0</v>
      </c>
      <c r="AJ43">
        <f t="shared" ref="AJ43:AK45" ca="1" si="32">BV23</f>
        <v>28.711028000000002</v>
      </c>
      <c r="AK43">
        <f t="shared" ca="1" si="32"/>
        <v>28.711028000000002</v>
      </c>
    </row>
    <row r="44" spans="9:69" x14ac:dyDescent="0.25">
      <c r="U44" s="2" t="s">
        <v>102</v>
      </c>
      <c r="W44" s="2"/>
      <c r="X44">
        <f t="shared" si="28"/>
        <v>235.5</v>
      </c>
      <c r="Y44">
        <f t="shared" si="29"/>
        <v>341.46000000000004</v>
      </c>
      <c r="Z44">
        <f t="shared" si="30"/>
        <v>94.2</v>
      </c>
      <c r="AA44">
        <f t="shared" si="30"/>
        <v>94.2</v>
      </c>
      <c r="AB44">
        <f t="shared" si="31"/>
        <v>37.200000000000003</v>
      </c>
      <c r="AC44">
        <f t="shared" si="27"/>
        <v>0</v>
      </c>
      <c r="AD44">
        <f t="shared" si="27"/>
        <v>0</v>
      </c>
      <c r="AE44">
        <f t="shared" si="27"/>
        <v>0</v>
      </c>
      <c r="AF44">
        <f t="shared" si="27"/>
        <v>115.12</v>
      </c>
      <c r="AG44">
        <f t="shared" si="27"/>
        <v>0</v>
      </c>
      <c r="AH44">
        <f t="shared" si="27"/>
        <v>0</v>
      </c>
      <c r="AI44">
        <f t="shared" si="27"/>
        <v>0</v>
      </c>
      <c r="AJ44">
        <f t="shared" ca="1" si="32"/>
        <v>56.818883142857132</v>
      </c>
      <c r="AK44">
        <f t="shared" ca="1" si="32"/>
        <v>56.818883142857132</v>
      </c>
    </row>
    <row r="45" spans="9:69" x14ac:dyDescent="0.25">
      <c r="U45" s="2" t="s">
        <v>103</v>
      </c>
      <c r="W45" s="2"/>
      <c r="X45">
        <f t="shared" si="28"/>
        <v>43.5</v>
      </c>
      <c r="Y45">
        <f t="shared" si="29"/>
        <v>91</v>
      </c>
      <c r="Z45">
        <f t="shared" si="30"/>
        <v>17.399999999999999</v>
      </c>
      <c r="AA45">
        <f t="shared" si="30"/>
        <v>17.399999999999999</v>
      </c>
      <c r="AB45">
        <f t="shared" si="31"/>
        <v>5.4</v>
      </c>
      <c r="AC45">
        <f t="shared" si="27"/>
        <v>0</v>
      </c>
      <c r="AD45">
        <f t="shared" si="27"/>
        <v>0</v>
      </c>
      <c r="AE45">
        <f t="shared" si="27"/>
        <v>0</v>
      </c>
      <c r="AF45">
        <f t="shared" si="27"/>
        <v>23.439999999999998</v>
      </c>
      <c r="AG45">
        <f t="shared" si="27"/>
        <v>0</v>
      </c>
      <c r="AH45">
        <f t="shared" si="27"/>
        <v>0</v>
      </c>
      <c r="AI45">
        <f t="shared" si="27"/>
        <v>0</v>
      </c>
      <c r="AJ45">
        <f t="shared" ca="1" si="32"/>
        <v>10.495207714285712</v>
      </c>
      <c r="AK45">
        <f t="shared" ca="1" si="32"/>
        <v>10.495207714285712</v>
      </c>
    </row>
    <row r="47" spans="9:69" x14ac:dyDescent="0.25">
      <c r="U47" t="s">
        <v>12</v>
      </c>
      <c r="AB47">
        <f>BN27*5</f>
        <v>42.600000000000009</v>
      </c>
      <c r="AC47">
        <f t="shared" ref="AC47:AI47" si="33">BO27*5</f>
        <v>0</v>
      </c>
      <c r="AD47">
        <f t="shared" si="33"/>
        <v>76.599999999999994</v>
      </c>
      <c r="AE47">
        <f t="shared" si="33"/>
        <v>3.15</v>
      </c>
      <c r="AF47">
        <f t="shared" si="33"/>
        <v>138.56</v>
      </c>
      <c r="AG47">
        <f t="shared" si="33"/>
        <v>0</v>
      </c>
      <c r="AH47">
        <f t="shared" si="33"/>
        <v>102.32</v>
      </c>
      <c r="AI47">
        <f t="shared" si="33"/>
        <v>0</v>
      </c>
      <c r="AJ47">
        <f t="shared" ref="AJ47:AK47" si="34">BV27</f>
        <v>168.88839999999999</v>
      </c>
      <c r="AK47">
        <f t="shared" si="34"/>
        <v>168.88839999999999</v>
      </c>
    </row>
    <row r="54" spans="8:8" x14ac:dyDescent="0.25">
      <c r="H54">
        <f>5*140</f>
        <v>700</v>
      </c>
    </row>
  </sheetData>
  <mergeCells count="6">
    <mergeCell ref="BF3:BI3"/>
    <mergeCell ref="K23:M26"/>
    <mergeCell ref="AC3:AG3"/>
    <mergeCell ref="AK3:AN3"/>
    <mergeCell ref="AR3:AU3"/>
    <mergeCell ref="AY3:BB3"/>
  </mergeCells>
  <conditionalFormatting sqref="I23:I26">
    <cfRule type="cellIs" dxfId="18" priority="2" operator="lessThan">
      <formula>0.03</formula>
    </cfRule>
  </conditionalFormatting>
  <conditionalFormatting sqref="I23:I28">
    <cfRule type="cellIs" dxfId="17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7"/>
  <sheetViews>
    <sheetView zoomScale="70" zoomScaleNormal="70" workbookViewId="0">
      <pane xSplit="2" ySplit="4" topLeftCell="BI20" activePane="bottomRight" state="frozen"/>
      <selection pane="topRight" activeCell="C1" sqref="C1"/>
      <selection pane="bottomLeft" activeCell="A5" sqref="A5"/>
      <selection pane="bottomRight" activeCell="BY11" sqref="BY11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3" width="26.28515625" customWidth="1"/>
    <col min="24" max="24" width="15.140625" bestFit="1" customWidth="1"/>
    <col min="25" max="25" width="16.7109375" bestFit="1" customWidth="1"/>
    <col min="26" max="26" width="11.42578125" customWidth="1"/>
    <col min="27" max="27" width="21.42578125" bestFit="1" customWidth="1"/>
    <col min="28" max="33" width="11.42578125" customWidth="1"/>
    <col min="34" max="34" width="19.28515625" bestFit="1" customWidth="1"/>
    <col min="35" max="40" width="11.42578125" customWidth="1"/>
    <col min="41" max="41" width="17" customWidth="1"/>
    <col min="42" max="47" width="11.42578125" customWidth="1"/>
    <col min="48" max="48" width="17.28515625" customWidth="1"/>
    <col min="49" max="52" width="11.42578125" customWidth="1"/>
    <col min="53" max="53" width="11.85546875" customWidth="1"/>
    <col min="54" max="54" width="11.42578125" customWidth="1"/>
    <col min="55" max="55" width="17.28515625" customWidth="1"/>
    <col min="56" max="59" width="11.42578125" customWidth="1"/>
    <col min="60" max="60" width="11.85546875" customWidth="1"/>
    <col min="61" max="62" width="11.42578125" customWidth="1"/>
    <col min="63" max="64" width="17.28515625" customWidth="1"/>
    <col min="65" max="71" width="11.42578125" customWidth="1"/>
    <col min="72" max="73" width="12.85546875" customWidth="1"/>
    <col min="74" max="74" width="18.140625" customWidth="1"/>
    <col min="75" max="75" width="20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114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 t="s">
        <v>71</v>
      </c>
      <c r="Y3" s="22" t="s">
        <v>2</v>
      </c>
      <c r="Z3" s="18"/>
      <c r="AA3" s="88" t="s">
        <v>65</v>
      </c>
      <c r="AB3" s="89"/>
      <c r="AC3" s="89"/>
      <c r="AD3" s="89"/>
      <c r="AE3" s="89"/>
      <c r="AF3" s="60"/>
      <c r="AG3" s="60"/>
      <c r="AH3" s="20"/>
      <c r="AI3" s="88" t="s">
        <v>66</v>
      </c>
      <c r="AJ3" s="89"/>
      <c r="AK3" s="89"/>
      <c r="AL3" s="89"/>
      <c r="AM3" s="60"/>
      <c r="AN3" s="60"/>
      <c r="AO3" s="20"/>
      <c r="AP3" s="90" t="s">
        <v>67</v>
      </c>
      <c r="AQ3" s="90"/>
      <c r="AR3" s="90"/>
      <c r="AS3" s="90"/>
      <c r="AT3" s="59"/>
      <c r="AU3" s="59"/>
      <c r="AV3" s="59"/>
      <c r="AW3" s="90" t="s">
        <v>68</v>
      </c>
      <c r="AX3" s="90"/>
      <c r="AY3" s="90"/>
      <c r="AZ3" s="90"/>
      <c r="BA3" s="59"/>
      <c r="BB3" s="59"/>
      <c r="BC3" s="59"/>
      <c r="BD3" s="85" t="s">
        <v>69</v>
      </c>
      <c r="BE3" s="85"/>
      <c r="BF3" s="85"/>
      <c r="BG3" s="85"/>
      <c r="BH3" s="59"/>
      <c r="BI3" s="59"/>
      <c r="BJ3" s="59"/>
      <c r="BK3" s="59"/>
      <c r="BL3" s="59"/>
      <c r="BM3" s="21" t="s">
        <v>28</v>
      </c>
      <c r="BN3" s="60"/>
      <c r="BO3" s="60"/>
      <c r="BP3" s="60"/>
      <c r="BQ3" s="22" t="s">
        <v>29</v>
      </c>
      <c r="BR3" s="60"/>
      <c r="BS3" s="60"/>
      <c r="BT3" s="22"/>
      <c r="BU3" s="22"/>
      <c r="BV3" s="22"/>
      <c r="BW3" s="23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43" t="s">
        <v>81</v>
      </c>
      <c r="X4" s="41" t="s">
        <v>72</v>
      </c>
      <c r="Y4" s="40" t="s">
        <v>73</v>
      </c>
      <c r="Z4" s="5"/>
      <c r="AA4" s="2" t="s">
        <v>23</v>
      </c>
      <c r="AB4" s="2" t="s">
        <v>22</v>
      </c>
      <c r="AC4" s="2" t="s">
        <v>21</v>
      </c>
      <c r="AD4" s="2" t="s">
        <v>24</v>
      </c>
      <c r="AE4" s="40" t="s">
        <v>27</v>
      </c>
      <c r="AF4" s="2" t="s">
        <v>26</v>
      </c>
      <c r="AG4" s="44" t="s">
        <v>30</v>
      </c>
      <c r="AH4" s="6" t="s">
        <v>87</v>
      </c>
      <c r="AI4" s="2" t="s">
        <v>33</v>
      </c>
      <c r="AJ4" s="2" t="s">
        <v>32</v>
      </c>
      <c r="AK4" s="2" t="s">
        <v>35</v>
      </c>
      <c r="AL4" s="40" t="s">
        <v>36</v>
      </c>
      <c r="AM4" s="2" t="s">
        <v>37</v>
      </c>
      <c r="AN4" s="44" t="s">
        <v>38</v>
      </c>
      <c r="AO4" s="11" t="s">
        <v>34</v>
      </c>
      <c r="AP4" s="12" t="s">
        <v>39</v>
      </c>
      <c r="AQ4" s="12" t="s">
        <v>64</v>
      </c>
      <c r="AR4" s="12" t="s">
        <v>40</v>
      </c>
      <c r="AS4" s="43" t="s">
        <v>41</v>
      </c>
      <c r="AT4" s="12" t="s">
        <v>42</v>
      </c>
      <c r="AU4" s="45" t="s">
        <v>43</v>
      </c>
      <c r="AV4" s="11" t="s">
        <v>88</v>
      </c>
      <c r="AW4" s="12" t="s">
        <v>44</v>
      </c>
      <c r="AX4" s="12" t="s">
        <v>89</v>
      </c>
      <c r="AY4" s="12" t="s">
        <v>45</v>
      </c>
      <c r="AZ4" s="43" t="s">
        <v>46</v>
      </c>
      <c r="BA4" s="12" t="s">
        <v>47</v>
      </c>
      <c r="BB4" s="45" t="s">
        <v>48</v>
      </c>
      <c r="BC4" s="11" t="s">
        <v>90</v>
      </c>
      <c r="BD4" s="12" t="s">
        <v>58</v>
      </c>
      <c r="BE4" s="12" t="s">
        <v>61</v>
      </c>
      <c r="BF4" s="12" t="s">
        <v>60</v>
      </c>
      <c r="BG4" s="43" t="s">
        <v>62</v>
      </c>
      <c r="BH4" s="12" t="s">
        <v>63</v>
      </c>
      <c r="BI4" s="43" t="s">
        <v>49</v>
      </c>
      <c r="BJ4" s="1"/>
      <c r="BK4" s="1"/>
      <c r="BL4" s="2" t="s">
        <v>21</v>
      </c>
      <c r="BM4" s="2" t="s">
        <v>22</v>
      </c>
      <c r="BN4" s="2" t="s">
        <v>23</v>
      </c>
      <c r="BO4" s="2" t="s">
        <v>24</v>
      </c>
      <c r="BP4" s="6" t="s">
        <v>32</v>
      </c>
      <c r="BQ4" s="2" t="s">
        <v>58</v>
      </c>
      <c r="BR4" s="2" t="s">
        <v>59</v>
      </c>
      <c r="BS4" s="7" t="s">
        <v>60</v>
      </c>
      <c r="BT4" s="2" t="s">
        <v>139</v>
      </c>
      <c r="BU4" s="2" t="s">
        <v>140</v>
      </c>
      <c r="BV4" s="6" t="s">
        <v>31</v>
      </c>
      <c r="BW4" s="2"/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35.700000000000003</v>
      </c>
      <c r="I5" s="2"/>
      <c r="J5" s="2"/>
      <c r="K5" s="2"/>
      <c r="L5" s="2"/>
      <c r="M5" s="2"/>
      <c r="N5" s="5"/>
      <c r="O5" s="42">
        <f t="shared" ref="O5:O15" si="0">$H$2</f>
        <v>2.8</v>
      </c>
      <c r="P5" s="3">
        <f>1+8.2-1.05-4.25</f>
        <v>3.8999999999999986</v>
      </c>
      <c r="Q5" s="40">
        <f>Tabelle51218247[[#This Row],[Height]]*Tabelle51218247[[#This Row],[Length]]</f>
        <v>10.919999999999995</v>
      </c>
      <c r="R5" s="42">
        <f t="shared" ref="R5:R15" si="1">$H$2</f>
        <v>2.8</v>
      </c>
      <c r="S5" s="3">
        <f t="shared" ref="S5" si="2">(425+105)/100</f>
        <v>5.3</v>
      </c>
      <c r="T5" s="40">
        <f>Tabelle51218247[[#This Row],[Height2]]*Tabelle51218247[[#This Row],[Length3]]</f>
        <v>14.839999999999998</v>
      </c>
      <c r="U5" s="42">
        <f t="shared" ref="U5:U15" si="3">$H$2</f>
        <v>2.8</v>
      </c>
      <c r="V5" s="3">
        <v>0</v>
      </c>
      <c r="W5" s="40">
        <f>Tabelle51218247[[#This Row],[Height22]]*Tabelle51218247[[#This Row],[Length33]]</f>
        <v>0</v>
      </c>
      <c r="X5" s="42">
        <f>IF(Tabelle1814203[[#This Row],[(f)loor/(c )eiling]]="c",Tabelle1814203[[#This Row],[Total Area size '[m^2']]],0)</f>
        <v>35.700000000000003</v>
      </c>
      <c r="Y5" s="42">
        <f>IF(Tabelle1814203[[#This Row],[(f)loor/(c )eiling]]="f",Tabelle1814203[[#This Row],[Total Area size '[m^2']]],0)</f>
        <v>0</v>
      </c>
      <c r="Z5" s="5"/>
      <c r="AA5" s="2">
        <v>1</v>
      </c>
      <c r="AB5" s="2">
        <v>0</v>
      </c>
      <c r="AC5" s="2">
        <v>0</v>
      </c>
      <c r="AD5" s="2">
        <v>0</v>
      </c>
      <c r="AE5" s="42">
        <f t="shared" ref="AE5:AE18" si="4">$H$2</f>
        <v>2.8</v>
      </c>
      <c r="AF5" s="2">
        <v>8.86</v>
      </c>
      <c r="AG5" s="44">
        <f t="shared" ref="AG5" si="5">7.04</f>
        <v>7.04</v>
      </c>
      <c r="AH5" s="6">
        <v>0</v>
      </c>
      <c r="AI5" s="2">
        <v>0</v>
      </c>
      <c r="AJ5" s="2">
        <v>0</v>
      </c>
      <c r="AK5" s="2">
        <v>1</v>
      </c>
      <c r="AL5" s="42">
        <f t="shared" ref="AL5:AL14" si="6">$H$2</f>
        <v>2.8</v>
      </c>
      <c r="AM5" s="2">
        <f t="shared" ref="AM5" si="7">(805-637)/100</f>
        <v>1.68</v>
      </c>
      <c r="AN5" s="44">
        <v>0.63</v>
      </c>
      <c r="AO5" s="6">
        <v>0</v>
      </c>
      <c r="AP5" s="2">
        <v>1</v>
      </c>
      <c r="AQ5" s="2">
        <v>0</v>
      </c>
      <c r="AR5" s="2">
        <v>0</v>
      </c>
      <c r="AS5" s="42">
        <f t="shared" ref="AS5:AS18" si="8">$H$2</f>
        <v>2.8</v>
      </c>
      <c r="AT5" s="2">
        <f t="shared" ref="AT5" si="9">(33+90+260+85+8)/100</f>
        <v>4.76</v>
      </c>
      <c r="AU5" s="44">
        <v>3.12</v>
      </c>
      <c r="AV5" s="6"/>
      <c r="AW5" s="2"/>
      <c r="AX5" s="2"/>
      <c r="AY5" s="2"/>
      <c r="AZ5" s="42">
        <f t="shared" ref="AZ5:AZ18" si="10">$H$2</f>
        <v>2.8</v>
      </c>
      <c r="BA5" s="2"/>
      <c r="BB5" s="44">
        <v>0</v>
      </c>
      <c r="BC5" s="6"/>
      <c r="BD5" s="2"/>
      <c r="BE5" s="2"/>
      <c r="BF5" s="2"/>
      <c r="BG5" s="42">
        <f t="shared" ref="BG5:BG18" si="11">$H$2</f>
        <v>2.8</v>
      </c>
      <c r="BH5" s="2"/>
      <c r="BI5" s="44">
        <v>0</v>
      </c>
      <c r="BJ5" s="1"/>
      <c r="BK5" s="1"/>
      <c r="BL5" s="2">
        <f>Tabelle31016225[[#This Row],[North]]*$AG5+AJ5*$AN5+AQ5*$AU5+AX5*$BB5+BE5*$BI5</f>
        <v>0</v>
      </c>
      <c r="BM5" s="2">
        <f t="shared" ref="BM5:BM18" si="12">AB5*$AG5+AI5*$AN5+AP5*$AU5+AW5*$BB5+BD5*$BI5</f>
        <v>3.12</v>
      </c>
      <c r="BN5" s="2">
        <f t="shared" ref="BN5:BN18" si="13">AA5*$AG5+AH5*$AN5+AO5*$AU5+AV5*$BB5+BC5*$BI5</f>
        <v>7.04</v>
      </c>
      <c r="BO5" s="2">
        <f t="shared" ref="BO5:BO18" si="14">AD5*$AG5+AK5*$AN5+AR5*$AU5+AY5*$BB5+BF5*$BI5</f>
        <v>0.63</v>
      </c>
      <c r="BP5" s="6">
        <f>Tabelle31016225[[#This Row],[North]]*$AE5*$AF5+AJ5*$AL5*$AM5+AQ5*$AS5*$AT5+AX5*$AZ5*$BA5+BE5*$BG5*$BH5-BL5</f>
        <v>0</v>
      </c>
      <c r="BQ5" s="2">
        <f t="shared" ref="BQ5:BQ18" si="15">AB5*$AE5*$AF5+AI5*$AL5*$AM5+AP5*$AS5*$AT5+AW5*$AZ5*$BA5+BD5*$BG5*$BH5-BM5</f>
        <v>10.207999999999998</v>
      </c>
      <c r="BR5" s="2">
        <f t="shared" ref="BR5:BR18" si="16">AA5*$AE5*$AF5+AH5*$AL5*$AM5+AO5*$AS5*$AT5+AV5*$AZ5*$BA5+BC5*$BG5*$BH5-BN5</f>
        <v>17.767999999999997</v>
      </c>
      <c r="BS5" s="7">
        <f t="shared" ref="BS5:BS18" si="17">AD5*$AE5*$AF5+AK5*$AL5*$AM5+AR5*$AS5*$AT5+AY5*$AZ5*$BA5+BF5*$BG5*$BH5-BO5</f>
        <v>4.0739999999999998</v>
      </c>
      <c r="BT5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5" s="2"/>
      <c r="BV5" s="2">
        <f>IF(Tabelle181420[[#This Row],[(g)round/(r )oof]]="G",Tabelle181420[[#This Row],[Total Area size '[m^2']]],IF(Tabelle181420[[#This Row],[(g)round/(r )oof]]="B",Tabelle181420[[#This Row],[Total Area size '[m^2']]],0))</f>
        <v>35.700000000000003</v>
      </c>
      <c r="BW5" s="2"/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10.199999999999999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</v>
      </c>
      <c r="Q6" s="40">
        <f>Tabelle51218247[[#This Row],[Height]]*Tabelle51218247[[#This Row],[Length]]</f>
        <v>2.8</v>
      </c>
      <c r="R6" s="42">
        <f t="shared" si="1"/>
        <v>2.8</v>
      </c>
      <c r="S6" s="3">
        <f>3.2+(168+120-240-10)/100</f>
        <v>3.58</v>
      </c>
      <c r="T6" s="40">
        <f>Tabelle51218247[[#This Row],[Height2]]*Tabelle51218247[[#This Row],[Length3]]</f>
        <v>10.023999999999999</v>
      </c>
      <c r="U6" s="42">
        <f t="shared" si="3"/>
        <v>2.8</v>
      </c>
      <c r="V6" s="3">
        <v>0</v>
      </c>
      <c r="W6" s="40">
        <f>Tabelle51218247[[#This Row],[Height22]]*Tabelle51218247[[#This Row],[Length33]]</f>
        <v>0</v>
      </c>
      <c r="X6" s="42">
        <f>IF(Tabelle1814203[[#This Row],[(f)loor/(c )eiling]]="c",Tabelle1814203[[#This Row],[Total Area size '[m^2']]],0)</f>
        <v>10.199999999999999</v>
      </c>
      <c r="Y6" s="42">
        <f>IF(Tabelle1814203[[#This Row],[(f)loor/(c )eiling]]="f",Tabelle1814203[[#This Row],[Total Area size '[m^2']]],0)</f>
        <v>0</v>
      </c>
      <c r="Z6" s="5"/>
      <c r="AA6" s="2">
        <v>1</v>
      </c>
      <c r="AB6" s="2">
        <v>0</v>
      </c>
      <c r="AC6" s="2">
        <v>0</v>
      </c>
      <c r="AD6" s="2">
        <v>0</v>
      </c>
      <c r="AE6" s="42">
        <f t="shared" si="4"/>
        <v>2.8</v>
      </c>
      <c r="AF6" s="2">
        <v>3.36</v>
      </c>
      <c r="AG6" s="44">
        <v>0</v>
      </c>
      <c r="AH6" s="6">
        <v>0</v>
      </c>
      <c r="AI6" s="3">
        <v>0</v>
      </c>
      <c r="AJ6" s="2">
        <v>0</v>
      </c>
      <c r="AK6" s="2">
        <v>1</v>
      </c>
      <c r="AL6" s="42">
        <f t="shared" si="6"/>
        <v>2.8</v>
      </c>
      <c r="AM6" s="2">
        <f>3.22+0.32</f>
        <v>3.54</v>
      </c>
      <c r="AN6" s="44">
        <v>3.84</v>
      </c>
      <c r="AO6" s="6"/>
      <c r="AP6" s="2"/>
      <c r="AQ6" s="2"/>
      <c r="AR6" s="2"/>
      <c r="AS6" s="42">
        <f t="shared" si="8"/>
        <v>2.8</v>
      </c>
      <c r="AT6" s="2"/>
      <c r="AU6" s="44">
        <v>0</v>
      </c>
      <c r="AV6" s="6"/>
      <c r="AW6" s="2"/>
      <c r="AX6" s="2"/>
      <c r="AY6" s="2"/>
      <c r="AZ6" s="42">
        <f t="shared" si="10"/>
        <v>2.8</v>
      </c>
      <c r="BA6" s="2"/>
      <c r="BB6" s="44">
        <v>0</v>
      </c>
      <c r="BC6" s="6"/>
      <c r="BD6" s="2"/>
      <c r="BE6" s="2"/>
      <c r="BF6" s="2"/>
      <c r="BG6" s="42">
        <f t="shared" si="11"/>
        <v>2.8</v>
      </c>
      <c r="BH6" s="2"/>
      <c r="BI6" s="44">
        <v>0</v>
      </c>
      <c r="BJ6" s="1"/>
      <c r="BK6" s="1"/>
      <c r="BL6" s="2">
        <f>Tabelle31016225[[#This Row],[North]]*$AG6+AJ6*$AN6+AQ6*$AU6+AX6*$BB6+BE6*$BI6</f>
        <v>0</v>
      </c>
      <c r="BM6" s="2">
        <f t="shared" si="12"/>
        <v>0</v>
      </c>
      <c r="BN6" s="2">
        <f t="shared" si="13"/>
        <v>0</v>
      </c>
      <c r="BO6" s="2">
        <f t="shared" si="14"/>
        <v>3.84</v>
      </c>
      <c r="BP6" s="6">
        <f>Tabelle31016225[[#This Row],[North]]*$AE6*$AF6+AJ6*$AL6*$AM6+AQ6*$AS6*$AT6+AX6*$AZ6*$BA6+BE6*$BG6*$BH6-BL6</f>
        <v>0</v>
      </c>
      <c r="BQ6" s="2">
        <f t="shared" si="15"/>
        <v>0</v>
      </c>
      <c r="BR6" s="2">
        <f t="shared" si="16"/>
        <v>9.4079999999999995</v>
      </c>
      <c r="BS6" s="7">
        <f t="shared" si="17"/>
        <v>6.0719999999999992</v>
      </c>
      <c r="BT6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6" s="2"/>
      <c r="BV6" s="2">
        <f>IF(Tabelle181420[[#This Row],[(g)round/(r )oof]]="G",Tabelle181420[[#This Row],[Total Area size '[m^2']]],IF(Tabelle181420[[#This Row],[(g)round/(r )oof]]="B",Tabelle181420[[#This Row],[Total Area size '[m^2']]],0))</f>
        <v>10.199999999999999</v>
      </c>
      <c r="BW6" s="2"/>
    </row>
    <row r="7" spans="1:76" x14ac:dyDescent="0.25">
      <c r="A7" s="40">
        <v>4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17</v>
      </c>
      <c r="I7" s="2"/>
      <c r="J7" s="2"/>
      <c r="K7" s="2"/>
      <c r="L7" s="2"/>
      <c r="M7" s="2"/>
      <c r="N7" s="5"/>
      <c r="O7" s="42">
        <f t="shared" si="0"/>
        <v>2.8</v>
      </c>
      <c r="P7" s="3">
        <f>4.35+2.79</f>
        <v>7.14</v>
      </c>
      <c r="Q7" s="40">
        <f>Tabelle51218247[[#This Row],[Height]]*Tabelle51218247[[#This Row],[Length]]</f>
        <v>19.991999999999997</v>
      </c>
      <c r="R7" s="42">
        <f t="shared" si="1"/>
        <v>2.8</v>
      </c>
      <c r="S7" s="3">
        <f>5.3-4.19</f>
        <v>1.1099999999999994</v>
      </c>
      <c r="T7" s="40">
        <f>Tabelle51218247[[#This Row],[Height2]]*Tabelle51218247[[#This Row],[Length3]]</f>
        <v>3.1079999999999983</v>
      </c>
      <c r="U7" s="42">
        <f t="shared" si="3"/>
        <v>2.8</v>
      </c>
      <c r="V7" s="3">
        <v>0</v>
      </c>
      <c r="W7" s="40">
        <f>Tabelle51218247[[#This Row],[Height22]]*Tabelle51218247[[#This Row],[Length33]]</f>
        <v>0</v>
      </c>
      <c r="X7" s="42">
        <f>IF(Tabelle1814203[[#This Row],[(f)loor/(c )eiling]]="c",Tabelle1814203[[#This Row],[Total Area size '[m^2']]],0)</f>
        <v>0</v>
      </c>
      <c r="Y7" s="42">
        <f>IF(Tabelle1814203[[#This Row],[(f)loor/(c )eiling]]="f",Tabelle1814203[[#This Row],[Total Area size '[m^2']]],0)</f>
        <v>17</v>
      </c>
      <c r="Z7" s="5"/>
      <c r="AA7" s="2">
        <v>1</v>
      </c>
      <c r="AB7" s="2">
        <v>0</v>
      </c>
      <c r="AC7" s="2">
        <v>0</v>
      </c>
      <c r="AD7" s="2">
        <v>0</v>
      </c>
      <c r="AE7" s="42">
        <f t="shared" si="4"/>
        <v>2.8</v>
      </c>
      <c r="AF7" s="3">
        <f>0.33+2.67+1.2+0.05</f>
        <v>4.25</v>
      </c>
      <c r="AG7" s="44">
        <v>1.44</v>
      </c>
      <c r="AH7" s="6">
        <v>0</v>
      </c>
      <c r="AI7" s="2">
        <v>1</v>
      </c>
      <c r="AJ7" s="2">
        <v>0</v>
      </c>
      <c r="AK7" s="2">
        <v>0</v>
      </c>
      <c r="AL7" s="42">
        <f t="shared" si="6"/>
        <v>2.8</v>
      </c>
      <c r="AM7" s="2">
        <f>0.33+2.1+1.4+0.85+0.08</f>
        <v>4.76</v>
      </c>
      <c r="AN7" s="44">
        <v>1.68</v>
      </c>
      <c r="AO7" s="6"/>
      <c r="AP7" s="2"/>
      <c r="AQ7" s="2"/>
      <c r="AR7" s="2"/>
      <c r="AS7" s="42">
        <f t="shared" si="8"/>
        <v>2.8</v>
      </c>
      <c r="AT7" s="2"/>
      <c r="AU7" s="44">
        <v>0</v>
      </c>
      <c r="AV7" s="6"/>
      <c r="AW7" s="2"/>
      <c r="AX7" s="2"/>
      <c r="AY7" s="2"/>
      <c r="AZ7" s="42">
        <f t="shared" si="10"/>
        <v>2.8</v>
      </c>
      <c r="BA7" s="2"/>
      <c r="BB7" s="44">
        <v>0</v>
      </c>
      <c r="BC7" s="6"/>
      <c r="BD7" s="2"/>
      <c r="BE7" s="2"/>
      <c r="BF7" s="2"/>
      <c r="BG7" s="42">
        <f t="shared" si="11"/>
        <v>2.8</v>
      </c>
      <c r="BH7" s="2"/>
      <c r="BI7" s="44">
        <v>0</v>
      </c>
      <c r="BJ7" s="1"/>
      <c r="BK7" s="1"/>
      <c r="BL7" s="2">
        <f>Tabelle31016225[[#This Row],[North]]*$AG7+AJ7*$AN7+AQ7*$AU7+AX7*$BB7+BE7*$BI7</f>
        <v>0</v>
      </c>
      <c r="BM7" s="2">
        <f t="shared" si="12"/>
        <v>1.68</v>
      </c>
      <c r="BN7" s="2">
        <f t="shared" si="13"/>
        <v>1.44</v>
      </c>
      <c r="BO7" s="2">
        <f t="shared" si="14"/>
        <v>0</v>
      </c>
      <c r="BP7" s="6">
        <f>Tabelle31016225[[#This Row],[North]]*$AE7*$AF7+AJ7*$AL7*$AM7+AQ7*$AS7*$AT7+AX7*$AZ7*$BA7+BE7*$BG7*$BH7-BL7</f>
        <v>0</v>
      </c>
      <c r="BQ7" s="2">
        <f t="shared" si="15"/>
        <v>11.648</v>
      </c>
      <c r="BR7" s="2">
        <f t="shared" si="16"/>
        <v>10.459999999999999</v>
      </c>
      <c r="BS7" s="7">
        <f t="shared" si="17"/>
        <v>0</v>
      </c>
      <c r="BT7" s="2">
        <f>IF(Tabelle181420[[#This Row],[(g)round/(r )oof]]="R",Tabelle181420[[#This Row],[Total Area size '[m^2']]],IF(Tabelle181420[[#This Row],[(g)round/(r )oof]]="B",Tabelle181420[[#This Row],[Total Area size '[m^2']]],0))</f>
        <v>17</v>
      </c>
      <c r="BU7" s="2"/>
      <c r="BV7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7" s="2"/>
    </row>
    <row r="8" spans="1:76" x14ac:dyDescent="0.25">
      <c r="A8" s="40">
        <v>5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18.2</v>
      </c>
      <c r="I8" s="2"/>
      <c r="J8" s="2"/>
      <c r="K8" s="2"/>
      <c r="L8" s="2"/>
      <c r="M8" s="2"/>
      <c r="N8" s="5"/>
      <c r="O8" s="42">
        <f t="shared" si="0"/>
        <v>2.8</v>
      </c>
      <c r="P8" s="3">
        <f>4.35+5.71-2.88</f>
        <v>7.1799999999999988</v>
      </c>
      <c r="Q8" s="40">
        <f>Tabelle51218247[[#This Row],[Height]]*Tabelle51218247[[#This Row],[Length]]</f>
        <v>20.103999999999996</v>
      </c>
      <c r="R8" s="42">
        <f t="shared" si="1"/>
        <v>2.8</v>
      </c>
      <c r="S8" s="3">
        <v>4.1900000000000004</v>
      </c>
      <c r="T8" s="40">
        <f>Tabelle51218247[[#This Row],[Height2]]*Tabelle51218247[[#This Row],[Length3]]</f>
        <v>11.732000000000001</v>
      </c>
      <c r="U8" s="42">
        <f t="shared" si="3"/>
        <v>2.8</v>
      </c>
      <c r="V8" s="3">
        <v>0</v>
      </c>
      <c r="W8" s="40">
        <f>Tabelle51218247[[#This Row],[Height22]]*Tabelle51218247[[#This Row],[Length33]]</f>
        <v>0</v>
      </c>
      <c r="X8" s="42">
        <f>IF(Tabelle1814203[[#This Row],[(f)loor/(c )eiling]]="c",Tabelle1814203[[#This Row],[Total Area size '[m^2']]],0)</f>
        <v>0</v>
      </c>
      <c r="Y8" s="42">
        <f>IF(Tabelle1814203[[#This Row],[(f)loor/(c )eiling]]="f",Tabelle1814203[[#This Row],[Total Area size '[m^2']]],0)</f>
        <v>18.2</v>
      </c>
      <c r="Z8" s="5"/>
      <c r="AA8" s="2">
        <v>1</v>
      </c>
      <c r="AB8" s="2">
        <v>0</v>
      </c>
      <c r="AC8" s="2">
        <v>0</v>
      </c>
      <c r="AD8" s="2">
        <v>0</v>
      </c>
      <c r="AE8" s="42">
        <f t="shared" si="4"/>
        <v>2.8</v>
      </c>
      <c r="AF8" s="2">
        <f>1-0.05+2.4+1.26</f>
        <v>4.6099999999999994</v>
      </c>
      <c r="AG8" s="44">
        <v>2.88</v>
      </c>
      <c r="AH8" s="6">
        <v>0</v>
      </c>
      <c r="AI8" s="2">
        <v>0</v>
      </c>
      <c r="AJ8" s="2">
        <v>0</v>
      </c>
      <c r="AK8" s="2">
        <v>1</v>
      </c>
      <c r="AL8" s="42">
        <f t="shared" si="6"/>
        <v>2.8</v>
      </c>
      <c r="AM8" s="2">
        <f>8.05-0.33-1.73-2.55-2.06</f>
        <v>1.3800000000000003</v>
      </c>
      <c r="AN8" s="44">
        <v>0</v>
      </c>
      <c r="AO8" s="6"/>
      <c r="AP8" s="2"/>
      <c r="AQ8" s="2"/>
      <c r="AR8" s="2"/>
      <c r="AS8" s="42">
        <f t="shared" si="8"/>
        <v>2.8</v>
      </c>
      <c r="AT8" s="2"/>
      <c r="AU8" s="44">
        <v>0</v>
      </c>
      <c r="AV8" s="6"/>
      <c r="AW8" s="2"/>
      <c r="AX8" s="2"/>
      <c r="AY8" s="2"/>
      <c r="AZ8" s="42">
        <f t="shared" si="10"/>
        <v>2.8</v>
      </c>
      <c r="BA8" s="2"/>
      <c r="BB8" s="44">
        <v>0</v>
      </c>
      <c r="BC8" s="6"/>
      <c r="BD8" s="2"/>
      <c r="BE8" s="2"/>
      <c r="BF8" s="2"/>
      <c r="BG8" s="42">
        <f t="shared" si="11"/>
        <v>2.8</v>
      </c>
      <c r="BH8" s="2"/>
      <c r="BI8" s="44">
        <v>0</v>
      </c>
      <c r="BJ8" s="1"/>
      <c r="BK8" s="1"/>
      <c r="BL8" s="2">
        <f>Tabelle31016225[[#This Row],[North]]*$AG8+AJ8*$AN8+AQ8*$AU8+AX8*$BB8+BE8*$BI8</f>
        <v>0</v>
      </c>
      <c r="BM8" s="2">
        <f t="shared" si="12"/>
        <v>0</v>
      </c>
      <c r="BN8" s="2">
        <f t="shared" si="13"/>
        <v>2.88</v>
      </c>
      <c r="BO8" s="2">
        <f t="shared" si="14"/>
        <v>0</v>
      </c>
      <c r="BP8" s="6">
        <f>Tabelle31016225[[#This Row],[North]]*$AE8*$AF8+AJ8*$AL8*$AM8+AQ8*$AS8*$AT8+AX8*$AZ8*$BA8+BE8*$BG8*$BH8-BL8</f>
        <v>0</v>
      </c>
      <c r="BQ8" s="2">
        <f t="shared" si="15"/>
        <v>0</v>
      </c>
      <c r="BR8" s="2">
        <f t="shared" si="16"/>
        <v>10.027999999999999</v>
      </c>
      <c r="BS8" s="7">
        <f t="shared" si="17"/>
        <v>3.8640000000000008</v>
      </c>
      <c r="BT8" s="2">
        <f>IF(Tabelle181420[[#This Row],[(g)round/(r )oof]]="R",Tabelle181420[[#This Row],[Total Area size '[m^2']]],IF(Tabelle181420[[#This Row],[(g)round/(r )oof]]="B",Tabelle181420[[#This Row],[Total Area size '[m^2']]],0))</f>
        <v>18.2</v>
      </c>
      <c r="BU8" s="2"/>
      <c r="BV8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8" s="2"/>
    </row>
    <row r="9" spans="1:76" x14ac:dyDescent="0.25">
      <c r="A9" s="40">
        <v>6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13.6</v>
      </c>
      <c r="I9" s="2"/>
      <c r="J9" s="2"/>
      <c r="K9" s="2"/>
      <c r="L9" s="2"/>
      <c r="M9" s="2"/>
      <c r="N9" s="5"/>
      <c r="O9" s="42">
        <f t="shared" si="0"/>
        <v>2.8</v>
      </c>
      <c r="P9" s="3">
        <f>5.71-2.88</f>
        <v>2.83</v>
      </c>
      <c r="Q9" s="40">
        <f>Tabelle51218247[[#This Row],[Height]]*Tabelle51218247[[#This Row],[Length]]</f>
        <v>7.9239999999999995</v>
      </c>
      <c r="R9" s="42">
        <f t="shared" si="1"/>
        <v>2.8</v>
      </c>
      <c r="S9" s="3">
        <f>2.88</f>
        <v>2.88</v>
      </c>
      <c r="T9" s="40">
        <f>Tabelle51218247[[#This Row],[Height2]]*Tabelle51218247[[#This Row],[Length3]]</f>
        <v>8.0640000000000001</v>
      </c>
      <c r="U9" s="42">
        <f t="shared" si="3"/>
        <v>2.8</v>
      </c>
      <c r="V9" s="3">
        <v>0</v>
      </c>
      <c r="W9" s="40">
        <f>Tabelle51218247[[#This Row],[Height22]]*Tabelle51218247[[#This Row],[Length33]]</f>
        <v>0</v>
      </c>
      <c r="X9" s="42">
        <f>IF(Tabelle1814203[[#This Row],[(f)loor/(c )eiling]]="c",Tabelle1814203[[#This Row],[Total Area size '[m^2']]],0)</f>
        <v>0</v>
      </c>
      <c r="Y9" s="42">
        <f>IF(Tabelle1814203[[#This Row],[(f)loor/(c )eiling]]="f",Tabelle1814203[[#This Row],[Total Area size '[m^2']]],0)</f>
        <v>13.6</v>
      </c>
      <c r="Z9" s="5"/>
      <c r="AA9" s="2">
        <v>1</v>
      </c>
      <c r="AB9" s="2">
        <v>0</v>
      </c>
      <c r="AC9" s="2">
        <v>0</v>
      </c>
      <c r="AD9" s="2">
        <v>0</v>
      </c>
      <c r="AE9" s="42">
        <f t="shared" si="4"/>
        <v>2.8</v>
      </c>
      <c r="AF9" s="2">
        <f>3.2+0.33</f>
        <v>3.5300000000000002</v>
      </c>
      <c r="AG9" s="44">
        <v>0</v>
      </c>
      <c r="AH9" s="6">
        <v>0</v>
      </c>
      <c r="AI9" s="2">
        <v>0</v>
      </c>
      <c r="AJ9" s="2">
        <v>0</v>
      </c>
      <c r="AK9" s="2">
        <v>1</v>
      </c>
      <c r="AL9" s="42">
        <f t="shared" si="6"/>
        <v>2.8</v>
      </c>
      <c r="AM9" s="2">
        <f>0.33+1.73+2.25+2.06</f>
        <v>6.370000000000001</v>
      </c>
      <c r="AN9" s="44">
        <v>2.7</v>
      </c>
      <c r="AO9" s="6">
        <v>0</v>
      </c>
      <c r="AP9" s="2">
        <v>0</v>
      </c>
      <c r="AQ9" s="2">
        <v>1</v>
      </c>
      <c r="AR9" s="2">
        <v>0</v>
      </c>
      <c r="AS9" s="42">
        <f t="shared" si="8"/>
        <v>2.8</v>
      </c>
      <c r="AT9" s="2">
        <f>3.2+0.33-0.08</f>
        <v>3.45</v>
      </c>
      <c r="AU9" s="44">
        <v>0</v>
      </c>
      <c r="AV9" s="6"/>
      <c r="AW9" s="2"/>
      <c r="AX9" s="2"/>
      <c r="AY9" s="2"/>
      <c r="AZ9" s="42">
        <f t="shared" si="10"/>
        <v>2.8</v>
      </c>
      <c r="BA9" s="2"/>
      <c r="BB9" s="44">
        <v>0</v>
      </c>
      <c r="BC9" s="6"/>
      <c r="BD9" s="2"/>
      <c r="BE9" s="2"/>
      <c r="BF9" s="2"/>
      <c r="BG9" s="42">
        <f t="shared" si="11"/>
        <v>2.8</v>
      </c>
      <c r="BH9" s="2"/>
      <c r="BI9" s="44">
        <v>0</v>
      </c>
      <c r="BJ9" s="1"/>
      <c r="BK9" s="1"/>
      <c r="BL9" s="2">
        <f>Tabelle31016225[[#This Row],[North]]*$AG9+AJ9*$AN9+AQ9*$AU9+AX9*$BB9+BE9*$BI9</f>
        <v>0</v>
      </c>
      <c r="BM9" s="2">
        <f t="shared" si="12"/>
        <v>0</v>
      </c>
      <c r="BN9" s="2">
        <f t="shared" si="13"/>
        <v>0</v>
      </c>
      <c r="BO9" s="2">
        <f t="shared" si="14"/>
        <v>2.7</v>
      </c>
      <c r="BP9" s="6">
        <f>Tabelle31016225[[#This Row],[North]]*$AE9*$AF9+AJ9*$AL9*$AM9+AQ9*$AS9*$AT9+AX9*$AZ9*$BA9+BE9*$BG9*$BH9-BL9</f>
        <v>9.66</v>
      </c>
      <c r="BQ9" s="2">
        <f t="shared" si="15"/>
        <v>0</v>
      </c>
      <c r="BR9" s="2">
        <f t="shared" si="16"/>
        <v>9.8840000000000003</v>
      </c>
      <c r="BS9" s="7">
        <f t="shared" si="17"/>
        <v>15.136000000000003</v>
      </c>
      <c r="BT9" s="2">
        <f>IF(Tabelle181420[[#This Row],[(g)round/(r )oof]]="R",Tabelle181420[[#This Row],[Total Area size '[m^2']]],IF(Tabelle181420[[#This Row],[(g)round/(r )oof]]="B",Tabelle181420[[#This Row],[Total Area size '[m^2']]],0))</f>
        <v>13.6</v>
      </c>
      <c r="BU9" s="2"/>
      <c r="BV9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9" s="2"/>
    </row>
    <row r="10" spans="1:76" x14ac:dyDescent="0.25">
      <c r="A10" s="40">
        <v>7</v>
      </c>
      <c r="B10" s="2" t="s">
        <v>97</v>
      </c>
      <c r="C10" s="2" t="s">
        <v>101</v>
      </c>
      <c r="D10" s="2" t="s">
        <v>112</v>
      </c>
      <c r="E10" s="37" t="s">
        <v>106</v>
      </c>
      <c r="F10" s="2"/>
      <c r="G10" s="2" t="s">
        <v>104</v>
      </c>
      <c r="H10" s="40">
        <v>8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f>2.79</f>
        <v>2.79</v>
      </c>
      <c r="Q10" s="40">
        <f>Tabelle51218247[[#This Row],[Height]]*Tabelle51218247[[#This Row],[Length]]</f>
        <v>7.8119999999999994</v>
      </c>
      <c r="R10" s="42">
        <f t="shared" si="1"/>
        <v>2.8</v>
      </c>
      <c r="S10" s="3">
        <v>2.88</v>
      </c>
      <c r="T10" s="40">
        <f>Tabelle51218247[[#This Row],[Height2]]*Tabelle51218247[[#This Row],[Length3]]</f>
        <v>8.0640000000000001</v>
      </c>
      <c r="U10" s="42">
        <f t="shared" si="3"/>
        <v>2.8</v>
      </c>
      <c r="V10" s="3">
        <v>0</v>
      </c>
      <c r="W10" s="40">
        <f>Tabelle51218247[[#This Row],[Height22]]*Tabelle51218247[[#This Row],[Length33]]</f>
        <v>0</v>
      </c>
      <c r="X10" s="42">
        <f>IF(Tabelle1814203[[#This Row],[(f)loor/(c )eiling]]="c",Tabelle1814203[[#This Row],[Total Area size '[m^2']]],0)</f>
        <v>8</v>
      </c>
      <c r="Y10" s="42">
        <f>IF(Tabelle1814203[[#This Row],[(f)loor/(c )eiling]]="f",Tabelle1814203[[#This Row],[Total Area size '[m^2']]],0)</f>
        <v>0</v>
      </c>
      <c r="Z10" s="5"/>
      <c r="AA10" s="2">
        <v>0</v>
      </c>
      <c r="AB10" s="2">
        <v>0</v>
      </c>
      <c r="AC10" s="2">
        <v>1</v>
      </c>
      <c r="AD10" s="3">
        <v>0</v>
      </c>
      <c r="AE10" s="42">
        <f t="shared" si="4"/>
        <v>2.8</v>
      </c>
      <c r="AF10" s="2">
        <f>2.79+0.33</f>
        <v>3.12</v>
      </c>
      <c r="AG10" s="44">
        <v>0</v>
      </c>
      <c r="AH10" s="6">
        <v>0</v>
      </c>
      <c r="AI10" s="2">
        <v>1</v>
      </c>
      <c r="AJ10" s="2">
        <v>0</v>
      </c>
      <c r="AK10" s="2">
        <v>0</v>
      </c>
      <c r="AL10" s="42">
        <f t="shared" si="6"/>
        <v>2.8</v>
      </c>
      <c r="AM10" s="2">
        <f>2.88+0.33</f>
        <v>3.21</v>
      </c>
      <c r="AN10" s="44">
        <v>1.68</v>
      </c>
      <c r="AO10" s="6"/>
      <c r="AP10" s="2"/>
      <c r="AQ10" s="2"/>
      <c r="AR10" s="2"/>
      <c r="AS10" s="42">
        <f t="shared" si="8"/>
        <v>2.8</v>
      </c>
      <c r="AT10" s="2"/>
      <c r="AU10" s="44">
        <v>0</v>
      </c>
      <c r="AV10" s="6"/>
      <c r="AW10" s="2"/>
      <c r="AX10" s="2"/>
      <c r="AY10" s="2"/>
      <c r="AZ10" s="42">
        <f t="shared" si="10"/>
        <v>2.8</v>
      </c>
      <c r="BA10" s="2"/>
      <c r="BB10" s="44">
        <v>0</v>
      </c>
      <c r="BC10" s="6"/>
      <c r="BD10" s="2"/>
      <c r="BE10" s="2"/>
      <c r="BF10" s="2"/>
      <c r="BG10" s="42">
        <f t="shared" si="11"/>
        <v>2.8</v>
      </c>
      <c r="BH10" s="2"/>
      <c r="BI10" s="44">
        <v>0</v>
      </c>
      <c r="BJ10" s="1"/>
      <c r="BK10" s="1"/>
      <c r="BL10" s="2">
        <f>Tabelle31016225[[#This Row],[North]]*$AG10+AJ10*$AN10+AQ10*$AU10+AX10*$BB10+BE10*$BI10</f>
        <v>0</v>
      </c>
      <c r="BM10" s="2">
        <f t="shared" si="12"/>
        <v>1.68</v>
      </c>
      <c r="BN10" s="2">
        <f t="shared" si="13"/>
        <v>0</v>
      </c>
      <c r="BO10" s="2">
        <f t="shared" si="14"/>
        <v>0</v>
      </c>
      <c r="BP10" s="6">
        <f>Tabelle31016225[[#This Row],[North]]*$AE10*$AF10+AJ10*$AL10*$AM10+AQ10*$AS10*$AT10+AX10*$AZ10*$BA10+BE10*$BG10*$BH10-BL10</f>
        <v>8.7359999999999989</v>
      </c>
      <c r="BQ10" s="2">
        <f t="shared" si="15"/>
        <v>7.3079999999999998</v>
      </c>
      <c r="BR10" s="2">
        <f t="shared" si="16"/>
        <v>0</v>
      </c>
      <c r="BS10" s="7">
        <f t="shared" si="17"/>
        <v>0</v>
      </c>
      <c r="BT10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0" s="2"/>
      <c r="BV10" s="2">
        <f>IF(Tabelle181420[[#This Row],[(g)round/(r )oof]]="G",Tabelle181420[[#This Row],[Total Area size '[m^2']]],IF(Tabelle181420[[#This Row],[(g)round/(r )oof]]="B",Tabelle181420[[#This Row],[Total Area size '[m^2']]],0))</f>
        <v>8</v>
      </c>
      <c r="BW10" s="2"/>
    </row>
    <row r="11" spans="1:76" x14ac:dyDescent="0.25">
      <c r="A11" s="40">
        <v>8</v>
      </c>
      <c r="B11" s="2" t="s">
        <v>98</v>
      </c>
      <c r="C11" s="2" t="s">
        <v>103</v>
      </c>
      <c r="D11" s="2" t="s">
        <v>113</v>
      </c>
      <c r="E11" s="37" t="s">
        <v>107</v>
      </c>
      <c r="F11" s="2"/>
      <c r="G11" s="2" t="s">
        <v>104</v>
      </c>
      <c r="H11" s="40">
        <v>6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v>2.79</v>
      </c>
      <c r="Q11" s="40">
        <f>Tabelle51218247[[#This Row],[Height]]*Tabelle51218247[[#This Row],[Length]]</f>
        <v>7.8119999999999994</v>
      </c>
      <c r="R11" s="42">
        <f t="shared" si="1"/>
        <v>2.8</v>
      </c>
      <c r="S11" s="3">
        <v>2.88</v>
      </c>
      <c r="T11" s="40">
        <f>Tabelle51218247[[#This Row],[Height2]]*Tabelle51218247[[#This Row],[Length3]]</f>
        <v>8.0640000000000001</v>
      </c>
      <c r="U11" s="42">
        <f t="shared" si="3"/>
        <v>2.8</v>
      </c>
      <c r="V11" s="3">
        <v>0</v>
      </c>
      <c r="W11" s="40">
        <f>Tabelle51218247[[#This Row],[Height22]]*Tabelle51218247[[#This Row],[Length33]]</f>
        <v>0</v>
      </c>
      <c r="X11" s="42">
        <f>IF(Tabelle1814203[[#This Row],[(f)loor/(c )eiling]]="c",Tabelle1814203[[#This Row],[Total Area size '[m^2']]],0)</f>
        <v>0</v>
      </c>
      <c r="Y11" s="42">
        <f>IF(Tabelle1814203[[#This Row],[(f)loor/(c )eiling]]="f",Tabelle1814203[[#This Row],[Total Area size '[m^2']]],0)</f>
        <v>6</v>
      </c>
      <c r="Z11" s="5"/>
      <c r="AA11" s="2">
        <v>0</v>
      </c>
      <c r="AB11" s="2">
        <v>1</v>
      </c>
      <c r="AC11" s="2">
        <v>0</v>
      </c>
      <c r="AD11" s="2">
        <v>0</v>
      </c>
      <c r="AE11" s="42">
        <f t="shared" si="4"/>
        <v>2.8</v>
      </c>
      <c r="AF11" s="2">
        <f>0.33+2.08+0.8+0.08</f>
        <v>3.29</v>
      </c>
      <c r="AG11" s="44">
        <v>0.96</v>
      </c>
      <c r="AH11" s="6">
        <v>0</v>
      </c>
      <c r="AI11" s="2">
        <v>0</v>
      </c>
      <c r="AJ11" s="3">
        <v>1</v>
      </c>
      <c r="AK11" s="2">
        <v>0</v>
      </c>
      <c r="AL11" s="42">
        <f t="shared" si="6"/>
        <v>2.8</v>
      </c>
      <c r="AM11" s="3">
        <f>2.79+0.33+0.08</f>
        <v>3.2</v>
      </c>
      <c r="AN11" s="44">
        <v>0</v>
      </c>
      <c r="AO11" s="6"/>
      <c r="AP11" s="2"/>
      <c r="AQ11" s="2"/>
      <c r="AR11" s="2"/>
      <c r="AS11" s="42">
        <f t="shared" si="8"/>
        <v>2.8</v>
      </c>
      <c r="AT11" s="2"/>
      <c r="AU11" s="44">
        <v>0</v>
      </c>
      <c r="AV11" s="6"/>
      <c r="AW11" s="2"/>
      <c r="AX11" s="2"/>
      <c r="AY11" s="2"/>
      <c r="AZ11" s="42">
        <f t="shared" si="10"/>
        <v>2.8</v>
      </c>
      <c r="BA11" s="2"/>
      <c r="BB11" s="44">
        <v>0</v>
      </c>
      <c r="BC11" s="6"/>
      <c r="BD11" s="2"/>
      <c r="BE11" s="2"/>
      <c r="BF11" s="2"/>
      <c r="BG11" s="42">
        <f t="shared" si="11"/>
        <v>2.8</v>
      </c>
      <c r="BH11" s="2"/>
      <c r="BI11" s="44">
        <v>0</v>
      </c>
      <c r="BJ11" s="1"/>
      <c r="BK11" s="1"/>
      <c r="BL11" s="2">
        <f>Tabelle31016225[[#This Row],[North]]*$AG11+AJ11*$AN11+AQ11*$AU11+AX11*$BB11+BE11*$BI11</f>
        <v>0</v>
      </c>
      <c r="BM11" s="2">
        <f t="shared" si="12"/>
        <v>0.96</v>
      </c>
      <c r="BN11" s="2">
        <f t="shared" si="13"/>
        <v>0</v>
      </c>
      <c r="BO11" s="2">
        <f t="shared" si="14"/>
        <v>0</v>
      </c>
      <c r="BP11" s="6">
        <f>Tabelle31016225[[#This Row],[North]]*$AE11*$AF11+AJ11*$AL11*$AM11+AQ11*$AS11*$AT11+AX11*$AZ11*$BA11+BE11*$BG11*$BH11-BL11</f>
        <v>8.9599999999999991</v>
      </c>
      <c r="BQ11" s="2">
        <f t="shared" si="15"/>
        <v>8.2519999999999989</v>
      </c>
      <c r="BR11" s="2">
        <f t="shared" si="16"/>
        <v>0</v>
      </c>
      <c r="BS11" s="7">
        <f t="shared" si="17"/>
        <v>0</v>
      </c>
      <c r="BT11" s="2">
        <f>IF(Tabelle181420[[#This Row],[(g)round/(r )oof]]="R",Tabelle181420[[#This Row],[Total Area size '[m^2']]],IF(Tabelle181420[[#This Row],[(g)round/(r )oof]]="B",Tabelle181420[[#This Row],[Total Area size '[m^2']]],0))</f>
        <v>6</v>
      </c>
      <c r="BU11" s="2"/>
      <c r="BV11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1" s="2"/>
    </row>
    <row r="12" spans="1:76" x14ac:dyDescent="0.25">
      <c r="A12" s="40">
        <v>9</v>
      </c>
      <c r="B12" s="2" t="s">
        <v>99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1.7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1.79+1.05</f>
        <v>2.84</v>
      </c>
      <c r="Q12" s="40">
        <f>Tabelle51218247[[#This Row],[Height]]*Tabelle51218247[[#This Row],[Length]]</f>
        <v>7.9519999999999991</v>
      </c>
      <c r="R12" s="42">
        <f t="shared" si="1"/>
        <v>2.8</v>
      </c>
      <c r="S12" s="3">
        <v>0</v>
      </c>
      <c r="T12" s="40">
        <f>Tabelle51218247[[#This Row],[Height2]]*Tabelle51218247[[#This Row],[Length3]]</f>
        <v>0</v>
      </c>
      <c r="U12" s="42">
        <f t="shared" si="3"/>
        <v>2.8</v>
      </c>
      <c r="V12" s="3">
        <v>0</v>
      </c>
      <c r="W12" s="40">
        <f>Tabelle51218247[[#This Row],[Height22]]*Tabelle51218247[[#This Row],[Length33]]</f>
        <v>0</v>
      </c>
      <c r="X12" s="42">
        <f>IF(Tabelle1814203[[#This Row],[(f)loor/(c )eiling]]="c",Tabelle1814203[[#This Row],[Total Area size '[m^2']]],0)</f>
        <v>1.7</v>
      </c>
      <c r="Y12" s="42">
        <f>IF(Tabelle1814203[[#This Row],[(f)loor/(c )eiling]]="f",Tabelle1814203[[#This Row],[Total Area size '[m^2']]],0)</f>
        <v>0</v>
      </c>
      <c r="Z12" s="5"/>
      <c r="AA12" s="2">
        <v>0</v>
      </c>
      <c r="AB12" s="2">
        <v>0</v>
      </c>
      <c r="AC12" s="2">
        <v>1</v>
      </c>
      <c r="AD12" s="2">
        <v>0</v>
      </c>
      <c r="AE12" s="42">
        <f t="shared" si="4"/>
        <v>2.8</v>
      </c>
      <c r="AF12" s="2">
        <v>0.9</v>
      </c>
      <c r="AG12" s="44">
        <v>0.24</v>
      </c>
      <c r="AH12" s="6"/>
      <c r="AI12" s="2"/>
      <c r="AJ12" s="2"/>
      <c r="AK12" s="2"/>
      <c r="AL12" s="42">
        <f t="shared" si="6"/>
        <v>2.8</v>
      </c>
      <c r="AM12" s="2"/>
      <c r="AN12" s="44">
        <v>0</v>
      </c>
      <c r="AO12" s="6"/>
      <c r="AP12" s="2"/>
      <c r="AQ12" s="2"/>
      <c r="AR12" s="2"/>
      <c r="AS12" s="42">
        <f t="shared" si="8"/>
        <v>2.8</v>
      </c>
      <c r="AT12" s="2"/>
      <c r="AU12" s="44">
        <v>0</v>
      </c>
      <c r="AV12" s="6"/>
      <c r="AW12" s="2"/>
      <c r="AX12" s="2"/>
      <c r="AY12" s="2"/>
      <c r="AZ12" s="42">
        <f t="shared" si="10"/>
        <v>2.8</v>
      </c>
      <c r="BA12" s="2"/>
      <c r="BB12" s="44">
        <v>0</v>
      </c>
      <c r="BC12" s="6"/>
      <c r="BD12" s="2"/>
      <c r="BE12" s="2"/>
      <c r="BF12" s="2"/>
      <c r="BG12" s="42">
        <f t="shared" si="11"/>
        <v>2.8</v>
      </c>
      <c r="BH12" s="2"/>
      <c r="BI12" s="44">
        <v>0</v>
      </c>
      <c r="BJ12" s="1"/>
      <c r="BK12" s="1"/>
      <c r="BL12" s="2">
        <f>Tabelle31016225[[#This Row],[North]]*$AG12+AJ12*$AN12+AQ12*$AU12+AX12*$BB12+BE12*$BI12</f>
        <v>0.24</v>
      </c>
      <c r="BM12" s="2">
        <f t="shared" si="12"/>
        <v>0</v>
      </c>
      <c r="BN12" s="2">
        <f t="shared" si="13"/>
        <v>0</v>
      </c>
      <c r="BO12" s="2">
        <f t="shared" si="14"/>
        <v>0</v>
      </c>
      <c r="BP12" s="6">
        <f>Tabelle31016225[[#This Row],[North]]*$AE12*$AF12+AJ12*$AL12*$AM12+AQ12*$AS12*$AT12+AX12*$AZ12*$BA12+BE12*$BG12*$BH12-BL12</f>
        <v>2.2800000000000002</v>
      </c>
      <c r="BQ12" s="2">
        <f t="shared" si="15"/>
        <v>0</v>
      </c>
      <c r="BR12" s="2">
        <f t="shared" si="16"/>
        <v>0</v>
      </c>
      <c r="BS12" s="7">
        <f t="shared" si="17"/>
        <v>0</v>
      </c>
      <c r="BT12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2" s="2"/>
      <c r="BV12" s="2">
        <f>IF(Tabelle181420[[#This Row],[(g)round/(r )oof]]="G",Tabelle181420[[#This Row],[Total Area size '[m^2']]],IF(Tabelle181420[[#This Row],[(g)round/(r )oof]]="B",Tabelle181420[[#This Row],[Total Area size '[m^2']]],0))</f>
        <v>1.7</v>
      </c>
      <c r="BW12" s="2"/>
    </row>
    <row r="13" spans="1:76" x14ac:dyDescent="0.25">
      <c r="A13" s="40">
        <v>10</v>
      </c>
      <c r="B13" s="2" t="s">
        <v>108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6.8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2.4+1.79+1.05</f>
        <v>5.2399999999999993</v>
      </c>
      <c r="Q13" s="40">
        <f>Tabelle51218247[[#This Row],[Height]]*Tabelle51218247[[#This Row],[Length]]</f>
        <v>14.671999999999997</v>
      </c>
      <c r="R13" s="42">
        <f t="shared" si="1"/>
        <v>2.8</v>
      </c>
      <c r="S13" s="3">
        <v>0</v>
      </c>
      <c r="T13" s="40">
        <f>Tabelle51218247[[#This Row],[Height2]]*Tabelle51218247[[#This Row],[Length3]]</f>
        <v>0</v>
      </c>
      <c r="U13" s="42">
        <f t="shared" si="3"/>
        <v>2.8</v>
      </c>
      <c r="V13" s="3">
        <v>0</v>
      </c>
      <c r="W13" s="40">
        <f>Tabelle51218247[[#This Row],[Height22]]*Tabelle51218247[[#This Row],[Length33]]</f>
        <v>0</v>
      </c>
      <c r="X13" s="42">
        <f>IF(Tabelle1814203[[#This Row],[(f)loor/(c )eiling]]="c",Tabelle1814203[[#This Row],[Total Area size '[m^2']]],0)</f>
        <v>6.8</v>
      </c>
      <c r="Y13" s="42">
        <f>IF(Tabelle1814203[[#This Row],[(f)loor/(c )eiling]]="f",Tabelle1814203[[#This Row],[Total Area size '[m^2']]],0)</f>
        <v>0</v>
      </c>
      <c r="Z13" s="5"/>
      <c r="AA13" s="2">
        <v>0</v>
      </c>
      <c r="AB13" s="2">
        <v>0</v>
      </c>
      <c r="AC13" s="2">
        <v>1</v>
      </c>
      <c r="AD13" s="2">
        <v>0</v>
      </c>
      <c r="AE13" s="42">
        <f t="shared" si="4"/>
        <v>2.8</v>
      </c>
      <c r="AF13" s="2">
        <f>0.3+0.9+3.09+0.08</f>
        <v>4.37</v>
      </c>
      <c r="AG13" s="44">
        <v>1</v>
      </c>
      <c r="AH13" s="6"/>
      <c r="AI13" s="2"/>
      <c r="AJ13" s="2"/>
      <c r="AK13" s="2"/>
      <c r="AL13" s="42">
        <f t="shared" si="6"/>
        <v>2.8</v>
      </c>
      <c r="AM13" s="2"/>
      <c r="AN13" s="44">
        <v>0</v>
      </c>
      <c r="AO13" s="6"/>
      <c r="AP13" s="2"/>
      <c r="AQ13" s="2"/>
      <c r="AR13" s="2"/>
      <c r="AS13" s="42">
        <f t="shared" si="8"/>
        <v>2.8</v>
      </c>
      <c r="AT13" s="2"/>
      <c r="AU13" s="44">
        <v>0</v>
      </c>
      <c r="AV13" s="6"/>
      <c r="AW13" s="2"/>
      <c r="AX13" s="2"/>
      <c r="AY13" s="2"/>
      <c r="AZ13" s="42">
        <f t="shared" si="10"/>
        <v>2.8</v>
      </c>
      <c r="BA13" s="2"/>
      <c r="BB13" s="44">
        <v>0</v>
      </c>
      <c r="BC13" s="6"/>
      <c r="BD13" s="2"/>
      <c r="BE13" s="2"/>
      <c r="BF13" s="2"/>
      <c r="BG13" s="42">
        <f t="shared" si="11"/>
        <v>2.8</v>
      </c>
      <c r="BH13" s="2"/>
      <c r="BI13" s="44">
        <v>0</v>
      </c>
      <c r="BJ13" s="1"/>
      <c r="BK13" s="1"/>
      <c r="BL13" s="2">
        <f>Tabelle31016225[[#This Row],[North]]*$AG13+AJ13*$AN13+AQ13*$AU13+AX13*$BB13+BE13*$BI13</f>
        <v>1</v>
      </c>
      <c r="BM13" s="2">
        <f t="shared" si="12"/>
        <v>0</v>
      </c>
      <c r="BN13" s="2">
        <f t="shared" si="13"/>
        <v>0</v>
      </c>
      <c r="BO13" s="2">
        <f t="shared" si="14"/>
        <v>0</v>
      </c>
      <c r="BP13" s="6">
        <f>Tabelle31016225[[#This Row],[North]]*$AE13*$AF13+AJ13*$AL13*$AM13+AQ13*$AS13*$AT13+AX13*$AZ13*$BA13+BE13*$BG13*$BH13-BL13</f>
        <v>11.235999999999999</v>
      </c>
      <c r="BQ13" s="2">
        <f t="shared" si="15"/>
        <v>0</v>
      </c>
      <c r="BR13" s="2">
        <f t="shared" si="16"/>
        <v>0</v>
      </c>
      <c r="BS13" s="7">
        <f t="shared" si="17"/>
        <v>0</v>
      </c>
      <c r="BT13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3" s="2"/>
      <c r="BV13" s="2">
        <f>IF(Tabelle181420[[#This Row],[(g)round/(r )oof]]="G",Tabelle181420[[#This Row],[Total Area size '[m^2']]],IF(Tabelle181420[[#This Row],[(g)round/(r )oof]]="B",Tabelle181420[[#This Row],[Total Area size '[m^2']]],0))</f>
        <v>6.8</v>
      </c>
      <c r="BW13" s="2"/>
    </row>
    <row r="14" spans="1:76" x14ac:dyDescent="0.25">
      <c r="A14" s="40">
        <v>11</v>
      </c>
      <c r="B14" s="2" t="s">
        <v>100</v>
      </c>
      <c r="C14" s="2" t="s">
        <v>10</v>
      </c>
      <c r="D14" s="2" t="s">
        <v>112</v>
      </c>
      <c r="E14" s="37" t="s">
        <v>106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v>3.2</v>
      </c>
      <c r="Q14" s="40">
        <f>Tabelle51218247[[#This Row],[Height]]*Tabelle51218247[[#This Row],[Length]]</f>
        <v>8.9599999999999991</v>
      </c>
      <c r="R14" s="42">
        <f t="shared" si="1"/>
        <v>2.8</v>
      </c>
      <c r="S14" s="33">
        <v>0</v>
      </c>
      <c r="T14" s="40">
        <f>Tabelle51218247[[#This Row],[Height2]]*Tabelle51218247[[#This Row],[Length3]]</f>
        <v>0</v>
      </c>
      <c r="U14" s="42">
        <f t="shared" si="3"/>
        <v>2.8</v>
      </c>
      <c r="V14" s="3">
        <v>0</v>
      </c>
      <c r="W14" s="40">
        <f>Tabelle51218247[[#This Row],[Height22]]*Tabelle51218247[[#This Row],[Length33]]</f>
        <v>0</v>
      </c>
      <c r="X14" s="42">
        <f>IF(Tabelle1814203[[#This Row],[(f)loor/(c )eiling]]="c",Tabelle1814203[[#This Row],[Total Area size '[m^2']]],0)</f>
        <v>7.7</v>
      </c>
      <c r="Y14" s="42">
        <f>IF(Tabelle1814203[[#This Row],[(f)loor/(c )eiling]]="f",Tabelle1814203[[#This Row],[Total Area size '[m^2']]],0)</f>
        <v>0</v>
      </c>
      <c r="Z14" s="5"/>
      <c r="AA14" s="2">
        <v>0</v>
      </c>
      <c r="AB14" s="2">
        <v>0</v>
      </c>
      <c r="AC14" s="2">
        <v>1</v>
      </c>
      <c r="AD14" s="2">
        <v>0</v>
      </c>
      <c r="AE14" s="42">
        <f t="shared" si="4"/>
        <v>2.8</v>
      </c>
      <c r="AF14" s="2">
        <f>3.2+0.33+0.08</f>
        <v>3.6100000000000003</v>
      </c>
      <c r="AG14" s="44">
        <v>0</v>
      </c>
      <c r="AH14" s="6">
        <v>0</v>
      </c>
      <c r="AI14" s="2">
        <v>0</v>
      </c>
      <c r="AJ14" s="2">
        <v>0</v>
      </c>
      <c r="AK14" s="2">
        <v>1</v>
      </c>
      <c r="AL14" s="42">
        <f t="shared" si="6"/>
        <v>2.8</v>
      </c>
      <c r="AM14" s="2">
        <f>0.33+2.4+0.05</f>
        <v>2.78</v>
      </c>
      <c r="AN14" s="44">
        <v>0</v>
      </c>
      <c r="AO14" s="6"/>
      <c r="AP14" s="2"/>
      <c r="AQ14" s="2"/>
      <c r="AR14" s="2"/>
      <c r="AS14" s="42">
        <f t="shared" si="8"/>
        <v>2.8</v>
      </c>
      <c r="AT14" s="2"/>
      <c r="AU14" s="44">
        <v>0</v>
      </c>
      <c r="AV14" s="6"/>
      <c r="AW14" s="2"/>
      <c r="AX14" s="2"/>
      <c r="AY14" s="2"/>
      <c r="AZ14" s="42">
        <f t="shared" si="10"/>
        <v>2.8</v>
      </c>
      <c r="BA14" s="2"/>
      <c r="BB14" s="44">
        <v>0</v>
      </c>
      <c r="BC14" s="6"/>
      <c r="BD14" s="2"/>
      <c r="BE14" s="2"/>
      <c r="BF14" s="2"/>
      <c r="BG14" s="42">
        <f t="shared" si="11"/>
        <v>2.8</v>
      </c>
      <c r="BH14" s="2"/>
      <c r="BI14" s="44">
        <v>0</v>
      </c>
      <c r="BJ14" s="1"/>
      <c r="BK14" s="1"/>
      <c r="BL14" s="2">
        <f>Tabelle31016225[[#This Row],[North]]*$AG14+AJ14*$AN14+AQ14*$AU14+AX14*$BB14+BE14*$BI14</f>
        <v>0</v>
      </c>
      <c r="BM14" s="2">
        <f t="shared" si="12"/>
        <v>0</v>
      </c>
      <c r="BN14" s="2">
        <f t="shared" si="13"/>
        <v>0</v>
      </c>
      <c r="BO14" s="2">
        <f t="shared" si="14"/>
        <v>0</v>
      </c>
      <c r="BP14" s="6">
        <f>Tabelle31016225[[#This Row],[North]]*$AE14*$AF14+AJ14*$AL14*$AM14+AQ14*$AS14*$AT14+AX14*$AZ14*$BA14+BE14*$BG14*$BH14-BL14</f>
        <v>10.108000000000001</v>
      </c>
      <c r="BQ14" s="2">
        <f t="shared" si="15"/>
        <v>0</v>
      </c>
      <c r="BR14" s="2">
        <f t="shared" si="16"/>
        <v>0</v>
      </c>
      <c r="BS14" s="7">
        <f t="shared" si="17"/>
        <v>7.7839999999999989</v>
      </c>
      <c r="BT14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4" s="2"/>
      <c r="BV14" s="2">
        <f>IF(Tabelle181420[[#This Row],[(g)round/(r )oof]]="G",Tabelle181420[[#This Row],[Total Area size '[m^2']]],IF(Tabelle181420[[#This Row],[(g)round/(r )oof]]="B",Tabelle181420[[#This Row],[Total Area size '[m^2']]],0))</f>
        <v>7.7</v>
      </c>
      <c r="BW14" s="2"/>
    </row>
    <row r="15" spans="1:76" x14ac:dyDescent="0.25">
      <c r="A15" s="40">
        <v>12</v>
      </c>
      <c r="B15" s="2" t="s">
        <v>109</v>
      </c>
      <c r="C15" s="2" t="s">
        <v>10</v>
      </c>
      <c r="D15" s="2" t="s">
        <v>113</v>
      </c>
      <c r="E15" s="37" t="s">
        <v>107</v>
      </c>
      <c r="F15" s="2"/>
      <c r="G15" s="2" t="s">
        <v>105</v>
      </c>
      <c r="H15" s="40">
        <v>15.1</v>
      </c>
      <c r="I15" s="2"/>
      <c r="J15" s="2"/>
      <c r="K15" s="2"/>
      <c r="L15" s="2"/>
      <c r="M15" s="2"/>
      <c r="N15" s="5"/>
      <c r="O15" s="42">
        <f t="shared" si="0"/>
        <v>2.8</v>
      </c>
      <c r="P15" s="3">
        <v>0</v>
      </c>
      <c r="Q15" s="40">
        <f>Tabelle51218247[[#This Row],[Height]]*Tabelle51218247[[#This Row],[Length]]</f>
        <v>0</v>
      </c>
      <c r="R15" s="42">
        <f t="shared" si="1"/>
        <v>2.8</v>
      </c>
      <c r="S15" s="3">
        <v>0</v>
      </c>
      <c r="T15" s="40">
        <f>Tabelle51218247[[#This Row],[Height2]]*Tabelle51218247[[#This Row],[Length3]]</f>
        <v>0</v>
      </c>
      <c r="U15" s="42">
        <f t="shared" si="3"/>
        <v>2.8</v>
      </c>
      <c r="V15" s="3">
        <v>0</v>
      </c>
      <c r="W15" s="40">
        <f>Tabelle51218247[[#This Row],[Height22]]*Tabelle51218247[[#This Row],[Length33]]</f>
        <v>0</v>
      </c>
      <c r="X15" s="42">
        <f>IF(Tabelle1814203[[#This Row],[(f)loor/(c )eiling]]="c",Tabelle1814203[[#This Row],[Total Area size '[m^2']]],0)</f>
        <v>0</v>
      </c>
      <c r="Y15" s="42">
        <f>IF(Tabelle1814203[[#This Row],[(f)loor/(c )eiling]]="f",Tabelle1814203[[#This Row],[Total Area size '[m^2']]],0)</f>
        <v>15.1</v>
      </c>
      <c r="Z15" s="5"/>
      <c r="AA15" s="2">
        <v>0</v>
      </c>
      <c r="AB15" s="2">
        <v>0</v>
      </c>
      <c r="AC15" s="2">
        <v>1</v>
      </c>
      <c r="AD15" s="2">
        <v>0</v>
      </c>
      <c r="AE15" s="42">
        <f t="shared" si="4"/>
        <v>2.8</v>
      </c>
      <c r="AF15" s="2">
        <f>(530+16)/100</f>
        <v>5.46</v>
      </c>
      <c r="AG15" s="44"/>
      <c r="AH15" s="6"/>
      <c r="AI15" s="2"/>
      <c r="AJ15" s="2"/>
      <c r="AK15" s="2"/>
      <c r="AL15" s="42"/>
      <c r="AM15" s="2"/>
      <c r="AN15" s="44"/>
      <c r="AO15" s="6"/>
      <c r="AP15" s="2"/>
      <c r="AQ15" s="2"/>
      <c r="AR15" s="2"/>
      <c r="AS15" s="42">
        <f t="shared" si="8"/>
        <v>2.8</v>
      </c>
      <c r="AT15" s="2"/>
      <c r="AU15" s="44">
        <v>0</v>
      </c>
      <c r="AV15" s="6"/>
      <c r="AW15" s="2"/>
      <c r="AX15" s="2"/>
      <c r="AY15" s="2"/>
      <c r="AZ15" s="42">
        <f t="shared" si="10"/>
        <v>2.8</v>
      </c>
      <c r="BA15" s="2"/>
      <c r="BB15" s="44">
        <v>0</v>
      </c>
      <c r="BC15" s="6"/>
      <c r="BD15" s="2"/>
      <c r="BE15" s="2"/>
      <c r="BF15" s="2"/>
      <c r="BG15" s="42">
        <f t="shared" si="11"/>
        <v>2.8</v>
      </c>
      <c r="BH15" s="2"/>
      <c r="BI15" s="44">
        <v>0</v>
      </c>
      <c r="BJ15" s="1"/>
      <c r="BK15" s="1"/>
      <c r="BL15" s="2">
        <f>Tabelle31016225[[#This Row],[North]]*$AG15+AJ15*$AN15+AQ15*$AU15+AX15*$BB15+BE15*$BI15</f>
        <v>0</v>
      </c>
      <c r="BM15" s="2">
        <f t="shared" si="12"/>
        <v>0</v>
      </c>
      <c r="BN15" s="2">
        <f t="shared" si="13"/>
        <v>0</v>
      </c>
      <c r="BO15" s="2">
        <f t="shared" si="14"/>
        <v>0</v>
      </c>
      <c r="BP15" s="6">
        <f>Tabelle31016225[[#This Row],[North]]*$AE15*$AF15+AJ15*$AL15*$AM15+AQ15*$AS15*$AT15+AX15*$AZ15*$BA15+BE15*$BG15*$BH15-BL15</f>
        <v>15.287999999999998</v>
      </c>
      <c r="BQ15" s="2">
        <f t="shared" si="15"/>
        <v>0</v>
      </c>
      <c r="BR15" s="2">
        <f t="shared" si="16"/>
        <v>0</v>
      </c>
      <c r="BS15" s="7">
        <f t="shared" si="17"/>
        <v>0</v>
      </c>
      <c r="BT15" s="2">
        <f>IF(Tabelle181420[[#This Row],[(g)round/(r )oof]]="R",Tabelle181420[[#This Row],[Total Area size '[m^2']]],IF(Tabelle181420[[#This Row],[(g)round/(r )oof]]="B",Tabelle181420[[#This Row],[Total Area size '[m^2']]],0))</f>
        <v>15.1</v>
      </c>
      <c r="BU15" s="2"/>
      <c r="BV15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5" s="2"/>
    </row>
    <row r="16" spans="1:76" x14ac:dyDescent="0.25">
      <c r="A16" s="40">
        <v>13</v>
      </c>
      <c r="B16" s="2"/>
      <c r="C16" s="2"/>
      <c r="D16" s="2"/>
      <c r="E16" s="2"/>
      <c r="F16" s="2"/>
      <c r="G16" s="2"/>
      <c r="H16" s="40">
        <f t="shared" ref="H16:H18" si="18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40"/>
      <c r="X16" s="42"/>
      <c r="Y16" s="40"/>
      <c r="Z16" s="5"/>
      <c r="AA16" s="2"/>
      <c r="AB16" s="2"/>
      <c r="AC16" s="2"/>
      <c r="AD16" s="2"/>
      <c r="AE16" s="42">
        <f t="shared" si="4"/>
        <v>2.8</v>
      </c>
      <c r="AF16" s="3"/>
      <c r="AG16" s="44"/>
      <c r="AH16" s="6"/>
      <c r="AI16" s="2"/>
      <c r="AJ16" s="2"/>
      <c r="AK16" s="2"/>
      <c r="AL16" s="42"/>
      <c r="AM16" s="2"/>
      <c r="AN16" s="44"/>
      <c r="AO16" s="6"/>
      <c r="AP16" s="2"/>
      <c r="AQ16" s="2"/>
      <c r="AR16" s="2"/>
      <c r="AS16" s="42">
        <f t="shared" si="8"/>
        <v>2.8</v>
      </c>
      <c r="AT16" s="2"/>
      <c r="AU16" s="44">
        <v>0</v>
      </c>
      <c r="AV16" s="6"/>
      <c r="AW16" s="2"/>
      <c r="AX16" s="2"/>
      <c r="AY16" s="2"/>
      <c r="AZ16" s="42">
        <f t="shared" si="10"/>
        <v>2.8</v>
      </c>
      <c r="BA16" s="2"/>
      <c r="BB16" s="44">
        <v>0</v>
      </c>
      <c r="BC16" s="6"/>
      <c r="BD16" s="2"/>
      <c r="BE16" s="2"/>
      <c r="BF16" s="2"/>
      <c r="BG16" s="42">
        <f t="shared" si="11"/>
        <v>2.8</v>
      </c>
      <c r="BH16" s="2"/>
      <c r="BI16" s="44">
        <v>0</v>
      </c>
      <c r="BJ16" s="1"/>
      <c r="BK16" s="1"/>
      <c r="BL16" s="2">
        <f>Tabelle31016225[[#This Row],[North]]*$AG16+AJ16*$AN16+AQ16*$AU16+AX16*$BB16+BE16*$BI16</f>
        <v>0</v>
      </c>
      <c r="BM16" s="2">
        <f t="shared" si="12"/>
        <v>0</v>
      </c>
      <c r="BN16" s="2">
        <f t="shared" si="13"/>
        <v>0</v>
      </c>
      <c r="BO16" s="2">
        <f t="shared" si="14"/>
        <v>0</v>
      </c>
      <c r="BP16" s="6">
        <f>Tabelle31016225[[#This Row],[North]]*$AE16*$AF16+AJ16*$AL16*$AM16+AQ16*$AS16*$AT16+AX16*$AZ16*$BA16+BE16*$BG16*$BH16-BL16</f>
        <v>0</v>
      </c>
      <c r="BQ16" s="2">
        <f t="shared" si="15"/>
        <v>0</v>
      </c>
      <c r="BR16" s="2">
        <f t="shared" si="16"/>
        <v>0</v>
      </c>
      <c r="BS16" s="7">
        <f t="shared" si="17"/>
        <v>0</v>
      </c>
      <c r="BT16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6" s="2"/>
      <c r="BV16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6" s="2"/>
    </row>
    <row r="17" spans="1:83" x14ac:dyDescent="0.25">
      <c r="A17" s="40">
        <v>14</v>
      </c>
      <c r="B17" s="2"/>
      <c r="C17" s="2"/>
      <c r="D17" s="2"/>
      <c r="E17" s="2"/>
      <c r="F17" s="2"/>
      <c r="G17" s="2"/>
      <c r="H17" s="40">
        <f t="shared" si="18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40"/>
      <c r="X17" s="42"/>
      <c r="Y17" s="40"/>
      <c r="Z17" s="5"/>
      <c r="AA17" s="2"/>
      <c r="AB17" s="2"/>
      <c r="AC17" s="2"/>
      <c r="AD17" s="2"/>
      <c r="AE17" s="42">
        <f t="shared" si="4"/>
        <v>2.8</v>
      </c>
      <c r="AF17" s="2"/>
      <c r="AG17" s="44"/>
      <c r="AH17" s="6"/>
      <c r="AI17" s="2"/>
      <c r="AJ17" s="2"/>
      <c r="AK17" s="2"/>
      <c r="AL17" s="42"/>
      <c r="AM17" s="2"/>
      <c r="AN17" s="44"/>
      <c r="AO17" s="6"/>
      <c r="AP17" s="2"/>
      <c r="AQ17" s="2"/>
      <c r="AR17" s="2"/>
      <c r="AS17" s="42">
        <f t="shared" si="8"/>
        <v>2.8</v>
      </c>
      <c r="AT17" s="2"/>
      <c r="AU17" s="44">
        <v>0</v>
      </c>
      <c r="AV17" s="6"/>
      <c r="AW17" s="2"/>
      <c r="AX17" s="2"/>
      <c r="AY17" s="2"/>
      <c r="AZ17" s="42">
        <f t="shared" si="10"/>
        <v>2.8</v>
      </c>
      <c r="BA17" s="2"/>
      <c r="BB17" s="44">
        <v>0</v>
      </c>
      <c r="BC17" s="6"/>
      <c r="BD17" s="2"/>
      <c r="BE17" s="2"/>
      <c r="BF17" s="2"/>
      <c r="BG17" s="42">
        <f t="shared" si="11"/>
        <v>2.8</v>
      </c>
      <c r="BH17" s="2"/>
      <c r="BI17" s="44">
        <v>0</v>
      </c>
      <c r="BJ17" s="1"/>
      <c r="BK17" s="1"/>
      <c r="BL17" s="2">
        <f>Tabelle31016225[[#This Row],[North]]*$AG17+AJ17*$AN17+AQ17*$AU17+AX17*$BB17+BE17*$BI17</f>
        <v>0</v>
      </c>
      <c r="BM17" s="2">
        <f t="shared" si="12"/>
        <v>0</v>
      </c>
      <c r="BN17" s="2">
        <f t="shared" si="13"/>
        <v>0</v>
      </c>
      <c r="BO17" s="2">
        <f t="shared" si="14"/>
        <v>0</v>
      </c>
      <c r="BP17" s="6">
        <f>Tabelle31016225[[#This Row],[North]]*$AE17*$AF17+AJ17*$AL17*$AM17+AQ17*$AS17*$AT17+AX17*$AZ17*$BA17+BE17*$BG17*$BH17-BL17</f>
        <v>0</v>
      </c>
      <c r="BQ17" s="2">
        <f t="shared" si="15"/>
        <v>0</v>
      </c>
      <c r="BR17" s="2">
        <f t="shared" si="16"/>
        <v>0</v>
      </c>
      <c r="BS17" s="7">
        <f t="shared" si="17"/>
        <v>0</v>
      </c>
      <c r="BT17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7" s="2"/>
      <c r="BV17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7" s="2"/>
    </row>
    <row r="18" spans="1:83" x14ac:dyDescent="0.25">
      <c r="A18" s="40">
        <v>15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40"/>
      <c r="X18" s="42"/>
      <c r="Y18" s="40"/>
      <c r="Z18" s="5"/>
      <c r="AA18" s="2"/>
      <c r="AB18" s="2"/>
      <c r="AC18" s="2"/>
      <c r="AD18" s="2"/>
      <c r="AE18" s="42">
        <f t="shared" si="4"/>
        <v>2.8</v>
      </c>
      <c r="AF18" s="2"/>
      <c r="AG18" s="44"/>
      <c r="AH18" s="6"/>
      <c r="AI18" s="2"/>
      <c r="AJ18" s="2"/>
      <c r="AK18" s="2"/>
      <c r="AL18" s="42"/>
      <c r="AM18" s="2"/>
      <c r="AN18" s="44"/>
      <c r="AO18" s="6"/>
      <c r="AP18" s="2"/>
      <c r="AQ18" s="2"/>
      <c r="AR18" s="2"/>
      <c r="AS18" s="42">
        <f t="shared" si="8"/>
        <v>2.8</v>
      </c>
      <c r="AT18" s="2"/>
      <c r="AU18" s="44">
        <v>0</v>
      </c>
      <c r="AV18" s="6"/>
      <c r="AW18" s="2"/>
      <c r="AX18" s="2"/>
      <c r="AY18" s="2"/>
      <c r="AZ18" s="42">
        <f t="shared" si="10"/>
        <v>2.8</v>
      </c>
      <c r="BA18" s="2"/>
      <c r="BB18" s="44">
        <v>0</v>
      </c>
      <c r="BC18" s="6"/>
      <c r="BD18" s="2"/>
      <c r="BE18" s="2"/>
      <c r="BF18" s="2"/>
      <c r="BG18" s="42">
        <f t="shared" si="11"/>
        <v>2.8</v>
      </c>
      <c r="BH18" s="2"/>
      <c r="BI18" s="44">
        <v>0</v>
      </c>
      <c r="BJ18" s="1"/>
      <c r="BK18" s="1"/>
      <c r="BL18" s="2">
        <f>Tabelle31016225[[#This Row],[North]]*$AG18+AJ18*$AN18+AQ18*$AU18+AX18*$BB18+BE18*$BI18</f>
        <v>0</v>
      </c>
      <c r="BM18" s="2">
        <f t="shared" si="12"/>
        <v>0</v>
      </c>
      <c r="BN18" s="2">
        <f t="shared" si="13"/>
        <v>0</v>
      </c>
      <c r="BO18" s="2">
        <f t="shared" si="14"/>
        <v>0</v>
      </c>
      <c r="BP18" s="6">
        <f>Tabelle31016225[[#This Row],[North]]*$AE18*$AF18+AJ18*$AL18*$AM18+AQ18*$AS18*$AT18+AX18*$AZ18*$BA18+BE18*$BG18*$BH18-BL18</f>
        <v>0</v>
      </c>
      <c r="BQ18" s="2">
        <f t="shared" si="15"/>
        <v>0</v>
      </c>
      <c r="BR18" s="2">
        <f t="shared" si="16"/>
        <v>0</v>
      </c>
      <c r="BS18" s="7">
        <f t="shared" si="17"/>
        <v>0</v>
      </c>
      <c r="BT18" s="2">
        <f>IF(Tabelle181420[[#This Row],[(g)round/(r )oof]]="R",Tabelle181420[[#This Row],[Total Area size '[m^2']]],IF(Tabelle181420[[#This Row],[(g)round/(r )oof]]="B",Tabelle181420[[#This Row],[Total Area size '[m^2']]],0))</f>
        <v>0</v>
      </c>
      <c r="BU18" s="2"/>
      <c r="BV18" s="2">
        <f>IF(Tabelle181420[[#This Row],[(g)round/(r )oof]]="G",Tabelle181420[[#This Row],[Total Area size '[m^2']]],IF(Tabelle181420[[#This Row],[(g)round/(r )oof]]="B",Tabelle181420[[#This Row],[Total Area size '[m^2']]],0))</f>
        <v>0</v>
      </c>
      <c r="BW18" s="2"/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1"/>
      <c r="BK19" s="1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25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12"/>
      <c r="BJ22" s="12"/>
      <c r="BK22" s="3" t="s">
        <v>101</v>
      </c>
      <c r="BL22" s="61">
        <f>SUMIF($C$5:$C$18,$BK22,BL$5:BL$18)</f>
        <v>0</v>
      </c>
      <c r="BM22" s="61">
        <f t="shared" ref="BM22:BS22" si="19">SUMIF($C$5:$C$18,$BK22,BM$5:BM$18)</f>
        <v>4.8</v>
      </c>
      <c r="BN22" s="61">
        <f t="shared" si="19"/>
        <v>7.04</v>
      </c>
      <c r="BO22" s="61">
        <f t="shared" si="19"/>
        <v>4.47</v>
      </c>
      <c r="BP22" s="61">
        <f t="shared" si="19"/>
        <v>8.7359999999999989</v>
      </c>
      <c r="BQ22" s="61">
        <f t="shared" si="19"/>
        <v>17.515999999999998</v>
      </c>
      <c r="BR22" s="61">
        <f t="shared" si="19"/>
        <v>27.175999999999995</v>
      </c>
      <c r="BS22" s="61">
        <f t="shared" si="19"/>
        <v>10.145999999999999</v>
      </c>
      <c r="BT22" s="61">
        <f>SUMIF($C$5:$C$18,$BK22,BT$5:BT$18)</f>
        <v>0</v>
      </c>
      <c r="BU22" s="61">
        <f>BT22*$BT$30</f>
        <v>0</v>
      </c>
      <c r="BV22" s="61">
        <f>SUMIF($C$5:$C$18,$BK22,BV$5:BV$18)</f>
        <v>53.900000000000006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53.900000000000006</v>
      </c>
      <c r="I23" s="12">
        <f>H23/$H$28</f>
        <v>0.38500000000000006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10.765999999999998</v>
      </c>
      <c r="R23" s="3"/>
      <c r="S23" s="3"/>
      <c r="T23" s="55">
        <f>SUMIF($C$5:$C$18,$C23,$T$5:$T$18)</f>
        <v>32.927999999999997</v>
      </c>
      <c r="U23" s="3"/>
      <c r="V23" s="3"/>
      <c r="W23" s="55">
        <f>SUMIF($C$5:$C$18,$C23,$W$5:$W$18)</f>
        <v>0</v>
      </c>
      <c r="X23" s="55">
        <f>SUMIF($C$5:$C$18,$C23,$X$5:$X$18)/$G$2</f>
        <v>26.950000000000003</v>
      </c>
      <c r="Y23" s="55">
        <f>SUMIF($C$5:$C$18,$C23,$Y$5:$Y$18)/$G$2</f>
        <v>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 t="s">
        <v>10</v>
      </c>
      <c r="BL23" s="61">
        <f t="shared" ref="BL23:BV25" si="20">SUMIF($C$5:$C$18,$BK23,BL$5:BL$18)</f>
        <v>1.24</v>
      </c>
      <c r="BM23" s="61">
        <f t="shared" si="20"/>
        <v>0</v>
      </c>
      <c r="BN23" s="61">
        <f t="shared" si="20"/>
        <v>0</v>
      </c>
      <c r="BO23" s="61">
        <f t="shared" si="20"/>
        <v>0</v>
      </c>
      <c r="BP23" s="61">
        <f t="shared" si="20"/>
        <v>38.911999999999999</v>
      </c>
      <c r="BQ23" s="61">
        <f t="shared" si="20"/>
        <v>0</v>
      </c>
      <c r="BR23" s="61">
        <f t="shared" si="20"/>
        <v>0</v>
      </c>
      <c r="BS23" s="61">
        <f t="shared" si="20"/>
        <v>7.7839999999999989</v>
      </c>
      <c r="BT23" s="61">
        <f t="shared" si="20"/>
        <v>15.1</v>
      </c>
      <c r="BU23" s="61">
        <f t="shared" ref="BU23:BU27" si="21">BT23*$BT$30</f>
        <v>23.287267525035766</v>
      </c>
      <c r="BV23" s="61">
        <f t="shared" si="20"/>
        <v>16.2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31.299999999999997</v>
      </c>
      <c r="I24" s="2">
        <f>H24/$H$28</f>
        <v>0.22357142857142856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15.791999999999998</v>
      </c>
      <c r="R24" s="3"/>
      <c r="S24" s="3"/>
      <c r="T24" s="56">
        <f>SUMIF($C$5:$C$18,$C24,$T$5:$T$18)</f>
        <v>0</v>
      </c>
      <c r="U24" s="3"/>
      <c r="V24" s="3"/>
      <c r="W24" s="56">
        <f>SUMIF($C$5:$C$18,$C24,$W$5:$W$18)</f>
        <v>0</v>
      </c>
      <c r="X24" s="55">
        <f t="shared" ref="X24:X26" si="22">SUMIF($C$5:$C$18,$C24,$X$5:$X$18)/$G$2</f>
        <v>8.1</v>
      </c>
      <c r="Y24" s="55">
        <f t="shared" ref="Y24:Y26" si="23">SUMIF($C$5:$C$18,$C24,$Y$5:$Y$18)/$G$2</f>
        <v>7.55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2"/>
      <c r="BJ24" s="2"/>
      <c r="BK24" s="3" t="s">
        <v>102</v>
      </c>
      <c r="BL24" s="61">
        <f t="shared" si="20"/>
        <v>0</v>
      </c>
      <c r="BM24" s="61">
        <f t="shared" si="20"/>
        <v>1.68</v>
      </c>
      <c r="BN24" s="61">
        <f t="shared" si="20"/>
        <v>4.32</v>
      </c>
      <c r="BO24" s="61">
        <f t="shared" si="20"/>
        <v>2.7</v>
      </c>
      <c r="BP24" s="61">
        <f t="shared" si="20"/>
        <v>9.66</v>
      </c>
      <c r="BQ24" s="61">
        <f t="shared" si="20"/>
        <v>11.648</v>
      </c>
      <c r="BR24" s="61">
        <f t="shared" si="20"/>
        <v>30.372</v>
      </c>
      <c r="BS24" s="61">
        <f t="shared" si="20"/>
        <v>19.000000000000004</v>
      </c>
      <c r="BT24" s="61">
        <f t="shared" si="20"/>
        <v>48.800000000000004</v>
      </c>
      <c r="BU24" s="61">
        <f t="shared" si="21"/>
        <v>75.259513590844065</v>
      </c>
      <c r="BV24" s="61">
        <f t="shared" si="20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48.800000000000004</v>
      </c>
      <c r="I25" s="2">
        <f>H25/$H$28</f>
        <v>0.34857142857142859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24.009999999999994</v>
      </c>
      <c r="R25" s="3"/>
      <c r="S25" s="3"/>
      <c r="T25" s="56">
        <f>SUMIF($C$5:$C$18,$C25,$T$5:$T$18)</f>
        <v>22.904</v>
      </c>
      <c r="U25" s="3"/>
      <c r="V25" s="3"/>
      <c r="W25" s="56">
        <f>SUMIF($C$5:$C$18,$C25,$W$5:$W$18)</f>
        <v>0</v>
      </c>
      <c r="X25" s="55">
        <f t="shared" si="22"/>
        <v>0</v>
      </c>
      <c r="Y25" s="55">
        <f t="shared" si="23"/>
        <v>24.400000000000002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2"/>
      <c r="BJ25" s="2"/>
      <c r="BK25" s="3" t="s">
        <v>103</v>
      </c>
      <c r="BL25" s="61">
        <f t="shared" si="20"/>
        <v>0</v>
      </c>
      <c r="BM25" s="61">
        <f t="shared" si="20"/>
        <v>0.96</v>
      </c>
      <c r="BN25" s="61">
        <f t="shared" si="20"/>
        <v>0</v>
      </c>
      <c r="BO25" s="61">
        <f t="shared" si="20"/>
        <v>0</v>
      </c>
      <c r="BP25" s="61">
        <f t="shared" si="20"/>
        <v>8.9599999999999991</v>
      </c>
      <c r="BQ25" s="61">
        <f t="shared" si="20"/>
        <v>8.2519999999999989</v>
      </c>
      <c r="BR25" s="61">
        <f t="shared" si="20"/>
        <v>0</v>
      </c>
      <c r="BS25" s="61">
        <f t="shared" si="20"/>
        <v>0</v>
      </c>
      <c r="BT25" s="61">
        <f t="shared" si="20"/>
        <v>6</v>
      </c>
      <c r="BU25" s="61">
        <f t="shared" si="21"/>
        <v>9.2532188841201712</v>
      </c>
      <c r="BV25" s="61">
        <f t="shared" si="20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</v>
      </c>
      <c r="I26" s="2">
        <f>H26/$H$28</f>
        <v>4.2857142857142858E-2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3.9059999999999997</v>
      </c>
      <c r="R26" s="3"/>
      <c r="S26" s="3"/>
      <c r="T26" s="56">
        <f>SUMIF($C$5:$C$18,$C26,$T$5:$T$18)</f>
        <v>8.0640000000000001</v>
      </c>
      <c r="U26" s="3"/>
      <c r="V26" s="3"/>
      <c r="W26" s="56">
        <f>SUMIF($C$5:$C$18,$C26,$W$5:$W$18)</f>
        <v>0</v>
      </c>
      <c r="X26" s="55">
        <f t="shared" si="22"/>
        <v>0</v>
      </c>
      <c r="Y26" s="55">
        <f t="shared" si="23"/>
        <v>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2"/>
      <c r="BJ26" s="2"/>
      <c r="BK26" s="3"/>
      <c r="BL26" s="62"/>
      <c r="BM26" s="63"/>
      <c r="BN26" s="63"/>
      <c r="BO26" s="63"/>
      <c r="BP26" s="63"/>
      <c r="BQ26" s="63"/>
      <c r="BR26" s="63"/>
      <c r="BS26" s="63"/>
      <c r="BT26" s="63"/>
      <c r="BU26" s="63"/>
      <c r="BV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57"/>
      <c r="X27" s="71"/>
      <c r="Y27" s="25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2"/>
      <c r="BJ27" s="2"/>
      <c r="BK27" s="3" t="s">
        <v>12</v>
      </c>
      <c r="BL27" s="65">
        <f t="shared" ref="BL27:BV27" si="24">SUM(BL22:BL26)</f>
        <v>1.24</v>
      </c>
      <c r="BM27" s="66">
        <f t="shared" si="24"/>
        <v>7.4399999999999995</v>
      </c>
      <c r="BN27" s="66">
        <f t="shared" si="24"/>
        <v>11.36</v>
      </c>
      <c r="BO27" s="66">
        <f t="shared" si="24"/>
        <v>7.17</v>
      </c>
      <c r="BP27" s="66">
        <f t="shared" si="24"/>
        <v>66.267999999999986</v>
      </c>
      <c r="BQ27" s="66">
        <f t="shared" si="24"/>
        <v>37.415999999999997</v>
      </c>
      <c r="BR27" s="66">
        <f t="shared" si="24"/>
        <v>57.547999999999995</v>
      </c>
      <c r="BS27" s="66">
        <f t="shared" si="24"/>
        <v>36.930000000000007</v>
      </c>
      <c r="BT27" s="66">
        <f t="shared" si="24"/>
        <v>69.900000000000006</v>
      </c>
      <c r="BU27" s="61">
        <f t="shared" si="21"/>
        <v>107.80000000000001</v>
      </c>
      <c r="BV27" s="66">
        <f t="shared" si="24"/>
        <v>70.100000000000009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140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54.47399999999999</v>
      </c>
      <c r="R28" s="3"/>
      <c r="S28" s="3"/>
      <c r="T28" s="56">
        <f>SUM(T23:T26)</f>
        <v>63.895999999999994</v>
      </c>
      <c r="U28" s="3"/>
      <c r="V28" s="3"/>
      <c r="W28" s="72">
        <f>SUM(W23:W26)</f>
        <v>0</v>
      </c>
      <c r="X28" s="73">
        <f>SUM(X23:X26)</f>
        <v>35.050000000000004</v>
      </c>
      <c r="Y28" s="73">
        <f>SUM(Y23:Y26)</f>
        <v>34.950000000000003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2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2"/>
      <c r="Y29" s="7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>
        <f>12.3+12.3+32.5+50.7</f>
        <v>107.80000000000001</v>
      </c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47" t="s">
        <v>82</v>
      </c>
      <c r="X30" s="48"/>
      <c r="Y30" s="7"/>
      <c r="AA30" s="37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>
        <f>BT29/BT27</f>
        <v>1.5422031473533619</v>
      </c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68">
        <f>W23+T23+Q23</f>
        <v>43.693999999999996</v>
      </c>
      <c r="X31" s="49"/>
      <c r="Y31" s="7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69">
        <f t="shared" ref="W32:W34" si="25">W24+T24+Q24</f>
        <v>15.791999999999998</v>
      </c>
      <c r="X32" s="49"/>
      <c r="Y32" s="7"/>
      <c r="AA32" s="37"/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7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69">
        <f t="shared" si="25"/>
        <v>46.913999999999994</v>
      </c>
      <c r="X33" s="49"/>
      <c r="Y33" s="7"/>
      <c r="AA33" s="37"/>
      <c r="AB33" s="3"/>
      <c r="AC33" s="3"/>
    </row>
    <row r="34" spans="9:67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69">
        <f t="shared" si="25"/>
        <v>11.969999999999999</v>
      </c>
      <c r="X34" s="49"/>
      <c r="Y34" s="7"/>
      <c r="AA34" s="37"/>
      <c r="AB34" s="3"/>
      <c r="AC34" s="3"/>
      <c r="BO34">
        <f>(805*2+(886+336)*2)/100*2.8*2</f>
        <v>227.02399999999997</v>
      </c>
    </row>
    <row r="35" spans="9:67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70"/>
      <c r="X35" s="49"/>
      <c r="Y35" s="7"/>
      <c r="AA35" s="37"/>
      <c r="AB35" s="3"/>
      <c r="AC35" s="3"/>
      <c r="BO35" s="77">
        <f>1-SUM(BL27:BS27)/BO34</f>
        <v>7.2767636901824861E-3</v>
      </c>
    </row>
    <row r="36" spans="9:67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9"/>
      <c r="X36" s="54"/>
      <c r="Y36" s="10"/>
      <c r="AA36" s="37"/>
      <c r="AB36" s="3"/>
      <c r="AC36" s="3"/>
    </row>
    <row r="37" spans="9:67" x14ac:dyDescent="0.25">
      <c r="I37" s="2"/>
      <c r="J37" s="2"/>
      <c r="K37" s="2"/>
      <c r="L37" s="2"/>
      <c r="M37" s="2"/>
      <c r="AA37" s="3"/>
      <c r="AB37" s="3"/>
      <c r="AC37" s="3"/>
    </row>
  </sheetData>
  <mergeCells count="6">
    <mergeCell ref="BD3:BG3"/>
    <mergeCell ref="K23:M26"/>
    <mergeCell ref="AA3:AE3"/>
    <mergeCell ref="AI3:AL3"/>
    <mergeCell ref="AP3:AS3"/>
    <mergeCell ref="AW3:AZ3"/>
  </mergeCells>
  <conditionalFormatting sqref="I23:I26">
    <cfRule type="cellIs" dxfId="48" priority="2" operator="lessThan">
      <formula>0.03</formula>
    </cfRule>
  </conditionalFormatting>
  <conditionalFormatting sqref="I23:I28">
    <cfRule type="cellIs" dxfId="47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7"/>
  <sheetViews>
    <sheetView zoomScale="60" zoomScaleNormal="60" workbookViewId="0">
      <pane xSplit="2" ySplit="4" topLeftCell="BM14" activePane="bottomRight" state="frozen"/>
      <selection activeCell="X55" sqref="X55"/>
      <selection pane="topRight" activeCell="X55" sqref="X55"/>
      <selection pane="bottomLeft" activeCell="X55" sqref="X55"/>
      <selection pane="bottomRight" activeCell="BY19" sqref="BY19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127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60"/>
      <c r="AH3" s="60"/>
      <c r="AI3" s="20"/>
      <c r="AJ3" s="88" t="s">
        <v>66</v>
      </c>
      <c r="AK3" s="89"/>
      <c r="AL3" s="89"/>
      <c r="AM3" s="89"/>
      <c r="AN3" s="60"/>
      <c r="AO3" s="60"/>
      <c r="AP3" s="20"/>
      <c r="AQ3" s="90" t="s">
        <v>67</v>
      </c>
      <c r="AR3" s="90"/>
      <c r="AS3" s="90"/>
      <c r="AT3" s="90"/>
      <c r="AU3" s="59"/>
      <c r="AV3" s="59"/>
      <c r="AW3" s="59"/>
      <c r="AX3" s="90" t="s">
        <v>68</v>
      </c>
      <c r="AY3" s="90"/>
      <c r="AZ3" s="90"/>
      <c r="BA3" s="90"/>
      <c r="BB3" s="59"/>
      <c r="BC3" s="59"/>
      <c r="BD3" s="59"/>
      <c r="BE3" s="85" t="s">
        <v>69</v>
      </c>
      <c r="BF3" s="85"/>
      <c r="BG3" s="85"/>
      <c r="BH3" s="85"/>
      <c r="BI3" s="59"/>
      <c r="BJ3" s="59"/>
      <c r="BK3" s="59"/>
      <c r="BL3" s="59"/>
      <c r="BM3" s="59"/>
      <c r="BN3" s="21" t="s">
        <v>28</v>
      </c>
      <c r="BO3" s="60"/>
      <c r="BP3" s="60"/>
      <c r="BQ3" s="60"/>
      <c r="BR3" s="22" t="s">
        <v>29</v>
      </c>
      <c r="BS3" s="60"/>
      <c r="BT3" s="60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Tabelle5121824712[[#This Row],[Height]]*Tabelle5121824712[[#This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Tabelle5121824712[[#This Row],[Height2]]*Tabelle5121824712[[#This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(1-$BQ$16)*Tabelle29152149[[#This Row],[North2]]+(1-$BR$16)*Tabelle29152149[[#This Row],[East2]]+(1-$BS$16)*Tabelle29152149[[#This Row],[South2]]+(1-$BT$16)*Tabelle29152149[[#This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IF(Tabelle18142038[[#This Row],[(f)loor/(c )eiling]]="c",Tabelle18142038[[#This Row],[Total Area size '[m^2']]],0)</f>
        <v>45.6</v>
      </c>
      <c r="Z5" s="42">
        <f>IF(Tabelle18142038[[#This Row],[(f)loor/(c )eiling]]="f",Tabelle18142038[[#This Row],[Total Area size '[m^2']]],0)</f>
        <v>0</v>
      </c>
      <c r="AA5" s="5"/>
      <c r="AB5" s="2">
        <v>0</v>
      </c>
      <c r="AC5" s="2">
        <v>0</v>
      </c>
      <c r="AD5" s="2">
        <v>0</v>
      </c>
      <c r="AE5" s="2">
        <v>1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0</v>
      </c>
      <c r="AK5" s="2">
        <v>1</v>
      </c>
      <c r="AL5" s="2">
        <v>0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0</v>
      </c>
      <c r="AQ5" s="2">
        <v>1</v>
      </c>
      <c r="AR5" s="2">
        <v>0</v>
      </c>
      <c r="AS5" s="2">
        <v>0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Tabelle3101622510[[#This Row],[North]]*$AH5+AK5*$AO5+AR5*$AV5+AY5*$BC5+BF5*$BJ5</f>
        <v>8.7100000000000009</v>
      </c>
      <c r="BN5" s="2">
        <f t="shared" ref="BN5:BN13" si="12">AC5*$AH5+AJ5*$AO5+AQ5*$AV5+AX5*$BC5+BE5*$BJ5</f>
        <v>0</v>
      </c>
      <c r="BO5" s="2">
        <f t="shared" ref="BO5:BO13" si="13">AB5*$AH5+AI5*$AO5+AP5*$AV5+AW5*$BC5+BD5*$BJ5</f>
        <v>0</v>
      </c>
      <c r="BP5" s="2">
        <f t="shared" ref="BP5:BP13" si="14">AE5*$AH5+AL5*$AO5+AS5*$AV5+AZ5*$BC5+BG5*$BJ5</f>
        <v>5.16</v>
      </c>
      <c r="BQ5" s="6">
        <f>Tabelle3101622510[[#This Row],[North]]*$AF5*$AG5+AK5*$AM5*$AN5+AR5*$AT5*$AU5+AY5*$BA5*$BB5+BF5*$BH5*$BI5-BM5</f>
        <v>14.501999999999995</v>
      </c>
      <c r="BR5" s="2">
        <f t="shared" ref="BR5:BR13" si="15">AC5*$AF5*$AG5+AJ5*$AM5*$AN5+AQ5*$AT5*$AU5+AX5*$BA5*$BB5+BE5*$BH5*$BI5-BN5</f>
        <v>14.027999999999999</v>
      </c>
      <c r="BS5" s="2">
        <f t="shared" ref="BS5:BS13" si="16">AB5*$AF5*$AG5+AI5*$AM5*$AN5+AP5*$AT5*$AU5+AW5*$BA5*$BB5+BD5*$BH5*$BI5-BO5</f>
        <v>0</v>
      </c>
      <c r="BT5" s="7">
        <f t="shared" ref="BT5:BT13" si="17">AE5*$AF5*$AG5+AL5*$AM5*$AN5+AS5*$AT5*$AU5+AZ5*$BA5*$BB5+BG5*$BH5*$BI5-BP5</f>
        <v>15.700000000000003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Tabelle5121824712[[#This Row],[Height]]*Tabelle5121824712[[#This Row],[Length]]</f>
        <v>3.9199999999999995</v>
      </c>
      <c r="R6" s="42">
        <f t="shared" si="1"/>
        <v>2.8</v>
      </c>
      <c r="S6" s="3">
        <v>3.26</v>
      </c>
      <c r="T6" s="40">
        <f>Tabelle5121824712[[#This Row],[Height2]]*Tabelle5121824712[[#This Row],[Length3]]</f>
        <v>9.1279999999999983</v>
      </c>
      <c r="U6" s="42">
        <f t="shared" si="3"/>
        <v>2.8</v>
      </c>
      <c r="V6" s="3">
        <v>0</v>
      </c>
      <c r="W6" s="3">
        <f>(1-$BQ$16)*Tabelle29152149[[#This Row],[North2]]+(1-$BR$16)*Tabelle29152149[[#This Row],[East2]]+(1-$BS$16)*Tabelle29152149[[#This Row],[South2]]+(1-$BT$16)*Tabelle29152149[[#This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IF(Tabelle18142038[[#This Row],[(f)loor/(c )eiling]]="c",Tabelle18142038[[#This Row],[Total Area size '[m^2']]],0)</f>
        <v>12.7</v>
      </c>
      <c r="Z6" s="42">
        <f>IF(Tabelle18142038[[#This Row],[(f)loor/(c )eiling]]="f",Tabelle18142038[[#This Row],[Total Area size '[m^2']]],0)</f>
        <v>0</v>
      </c>
      <c r="AA6" s="5"/>
      <c r="AB6" s="2">
        <v>0</v>
      </c>
      <c r="AC6" s="2">
        <v>0</v>
      </c>
      <c r="AD6" s="2">
        <v>0</v>
      </c>
      <c r="AE6" s="2">
        <v>1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1</v>
      </c>
      <c r="AJ6" s="3">
        <v>0</v>
      </c>
      <c r="AK6" s="2">
        <v>0</v>
      </c>
      <c r="AL6" s="2">
        <v>0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Tabelle3101622510[[#This Row],[North]]*$AH6+AK6*$AO6+AR6*$AV6+AY6*$BC6+BF6*$BJ6</f>
        <v>0</v>
      </c>
      <c r="BN6" s="2">
        <f t="shared" si="12"/>
        <v>0</v>
      </c>
      <c r="BO6" s="2">
        <f t="shared" si="13"/>
        <v>2.2200000000000002</v>
      </c>
      <c r="BP6" s="2">
        <f t="shared" si="14"/>
        <v>1.44</v>
      </c>
      <c r="BQ6" s="6">
        <f>Tabelle3101622510[[#This Row],[North]]*$AF6*$AG6+AK6*$AM6*$AN6+AR6*$AT6*$AU6+AY6*$BA6*$BB6+BF6*$BH6*$BI6-BM6</f>
        <v>0</v>
      </c>
      <c r="BR6" s="2">
        <f t="shared" si="15"/>
        <v>0</v>
      </c>
      <c r="BS6" s="2">
        <f t="shared" si="16"/>
        <v>10.211999999999998</v>
      </c>
      <c r="BT6" s="7">
        <f t="shared" si="17"/>
        <v>9.34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Tabelle5121824712[[#This Row],[Height]]*Tabelle5121824712[[#This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Tabelle5121824712[[#This Row],[Height2]]*Tabelle5121824712[[#This Row],[Length3]]</f>
        <v>3.78</v>
      </c>
      <c r="U7" s="42">
        <f t="shared" si="3"/>
        <v>2.8</v>
      </c>
      <c r="V7" s="3">
        <v>0</v>
      </c>
      <c r="W7" s="3">
        <f>(1-$BQ$16)*Tabelle29152149[[#This Row],[North2]]+(1-$BR$16)*Tabelle29152149[[#This Row],[East2]]+(1-$BS$16)*Tabelle29152149[[#This Row],[South2]]+(1-$BT$16)*Tabelle29152149[[#This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IF(Tabelle18142038[[#This Row],[(f)loor/(c )eiling]]="c",Tabelle18142038[[#This Row],[Total Area size '[m^2']]],0)</f>
        <v>0</v>
      </c>
      <c r="Z7" s="42">
        <f>IF(Tabelle18142038[[#This Row],[(f)loor/(c )eiling]]="f",Tabelle18142038[[#This Row],[Total Area size '[m^2']]],0)</f>
        <v>12.5</v>
      </c>
      <c r="AA7" s="5"/>
      <c r="AB7" s="2">
        <v>0</v>
      </c>
      <c r="AC7" s="2">
        <v>0</v>
      </c>
      <c r="AD7" s="2">
        <v>0</v>
      </c>
      <c r="AE7" s="2">
        <v>1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1</v>
      </c>
      <c r="AJ7" s="2">
        <v>0</v>
      </c>
      <c r="AK7" s="2">
        <v>0</v>
      </c>
      <c r="AL7" s="2">
        <v>0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Tabelle3101622510[[#This Row],[North]]*$AH7+AK7*$AO7+AR7*$AV7+AY7*$BC7+BF7*$BJ7</f>
        <v>0</v>
      </c>
      <c r="BN7" s="2">
        <f t="shared" si="12"/>
        <v>0</v>
      </c>
      <c r="BO7" s="2">
        <f t="shared" si="13"/>
        <v>0</v>
      </c>
      <c r="BP7" s="2">
        <f t="shared" si="14"/>
        <v>2.88</v>
      </c>
      <c r="BQ7" s="6">
        <f>Tabelle3101622510[[#This Row],[North]]*$AF7*$AG7+AK7*$AM7*$AN7+AR7*$AT7*$AU7+AY7*$BA7*$BB7+BF7*$BH7*$BI7-BM7</f>
        <v>0</v>
      </c>
      <c r="BR7" s="2">
        <f t="shared" si="15"/>
        <v>0</v>
      </c>
      <c r="BS7" s="2">
        <f t="shared" si="16"/>
        <v>12.068000000000001</v>
      </c>
      <c r="BT7" s="7">
        <f t="shared" si="17"/>
        <v>10.98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Tabelle5121824712[[#This Row],[Height]]*Tabelle5121824712[[#This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Tabelle5121824712[[#This Row],[Height2]]*Tabelle5121824712[[#This Row],[Length3]]</f>
        <v>3.78</v>
      </c>
      <c r="U8" s="42">
        <f t="shared" si="3"/>
        <v>2.8</v>
      </c>
      <c r="V8" s="3">
        <v>0</v>
      </c>
      <c r="W8" s="3">
        <f>(1-$BQ$16)*Tabelle29152149[[#This Row],[North2]]+(1-$BR$16)*Tabelle29152149[[#This Row],[East2]]+(1-$BS$16)*Tabelle29152149[[#This Row],[South2]]+(1-$BT$16)*Tabelle29152149[[#This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IF(Tabelle18142038[[#This Row],[(f)loor/(c )eiling]]="c",Tabelle18142038[[#This Row],[Total Area size '[m^2']]],0)</f>
        <v>0</v>
      </c>
      <c r="Z8" s="42">
        <f>IF(Tabelle18142038[[#This Row],[(f)loor/(c )eiling]]="f",Tabelle18142038[[#This Row],[Total Area size '[m^2']]],0)</f>
        <v>18</v>
      </c>
      <c r="AA8" s="5"/>
      <c r="AB8" s="2">
        <v>0</v>
      </c>
      <c r="AC8" s="2">
        <v>0</v>
      </c>
      <c r="AD8" s="2">
        <v>0</v>
      </c>
      <c r="AE8" s="2">
        <v>1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0</v>
      </c>
      <c r="AK8" s="2">
        <v>1</v>
      </c>
      <c r="AL8" s="2">
        <v>0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Tabelle3101622510[[#This Row],[North]]*$AH8+AK8*$AO8+AR8*$AV8+AY8*$BC8+BF8*$BJ8</f>
        <v>0</v>
      </c>
      <c r="BN8" s="2">
        <f t="shared" si="12"/>
        <v>0</v>
      </c>
      <c r="BO8" s="2">
        <f t="shared" si="13"/>
        <v>0</v>
      </c>
      <c r="BP8" s="2">
        <f t="shared" si="14"/>
        <v>2.88</v>
      </c>
      <c r="BQ8" s="6">
        <f>Tabelle3101622510[[#This Row],[North]]*$AF8*$AG8+AK8*$AM8*$AN8+AR8*$AT8*$AU8+AY8*$BA8*$BB8+BF8*$BH8*$BI8-BM8</f>
        <v>12.068000000000001</v>
      </c>
      <c r="BR8" s="2">
        <f t="shared" si="15"/>
        <v>0</v>
      </c>
      <c r="BS8" s="2">
        <f t="shared" si="16"/>
        <v>0</v>
      </c>
      <c r="BT8" s="7">
        <f t="shared" si="17"/>
        <v>14.899999999999999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Tabelle5121824712[[#This Row],[Height]]*Tabelle5121824712[[#This Row],[Length]]</f>
        <v>10.555999999999999</v>
      </c>
      <c r="R9" s="42">
        <f t="shared" si="1"/>
        <v>2.8</v>
      </c>
      <c r="S9" s="3">
        <v>3.75</v>
      </c>
      <c r="T9" s="40">
        <f>Tabelle5121824712[[#This Row],[Height2]]*Tabelle5121824712[[#This Row],[Length3]]</f>
        <v>10.5</v>
      </c>
      <c r="U9" s="42">
        <f t="shared" si="3"/>
        <v>2.8</v>
      </c>
      <c r="V9" s="3">
        <v>0</v>
      </c>
      <c r="W9" s="3">
        <f>(1-$BQ$16)*Tabelle29152149[[#This Row],[North2]]+(1-$BR$16)*Tabelle29152149[[#This Row],[East2]]+(1-$BS$16)*Tabelle29152149[[#This Row],[South2]]+(1-$BT$16)*Tabelle29152149[[#This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IF(Tabelle18142038[[#This Row],[(f)loor/(c )eiling]]="c",Tabelle18142038[[#This Row],[Total Area size '[m^2']]],0)</f>
        <v>0</v>
      </c>
      <c r="Z9" s="42">
        <f>IF(Tabelle18142038[[#This Row],[(f)loor/(c )eiling]]="f",Tabelle18142038[[#This Row],[Total Area size '[m^2']]],0)</f>
        <v>12.1</v>
      </c>
      <c r="AA9" s="5"/>
      <c r="AB9" s="2">
        <v>0</v>
      </c>
      <c r="AC9" s="2">
        <v>0</v>
      </c>
      <c r="AD9" s="2">
        <v>1</v>
      </c>
      <c r="AE9" s="2">
        <v>0</v>
      </c>
      <c r="AF9" s="42">
        <f t="shared" si="4"/>
        <v>2.8</v>
      </c>
      <c r="AG9" s="2">
        <f>0.07+3.77+0.14</f>
        <v>3.98</v>
      </c>
      <c r="AH9" s="44">
        <v>2</v>
      </c>
      <c r="AI9" s="6">
        <v>0</v>
      </c>
      <c r="AJ9" s="2">
        <v>1</v>
      </c>
      <c r="AK9" s="2">
        <v>0</v>
      </c>
      <c r="AL9" s="2">
        <v>0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Tabelle3101622510[[#This Row],[North]]*$AH9+AK9*$AO9+AR9*$AV9+AY9*$BC9+BF9*$BJ9</f>
        <v>2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6">
        <f>Tabelle3101622510[[#This Row],[North]]*$AF9*$AG9+AK9*$AM9*$AN9+AR9*$AT9*$AU9+AY9*$BA9*$BB9+BF9*$BH9*$BI9-BM9</f>
        <v>9.1440000000000001</v>
      </c>
      <c r="BR9" s="2">
        <f t="shared" si="15"/>
        <v>14.028</v>
      </c>
      <c r="BS9" s="2">
        <f t="shared" si="16"/>
        <v>0</v>
      </c>
      <c r="BT9" s="7">
        <f t="shared" si="17"/>
        <v>0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Tabelle5121824712[[#This Row],[Height]]*Tabelle5121824712[[#This Row],[Length]]</f>
        <v>6.6639999999999997</v>
      </c>
      <c r="R10" s="42">
        <f t="shared" si="1"/>
        <v>2.8</v>
      </c>
      <c r="S10" s="3">
        <v>3.75</v>
      </c>
      <c r="T10" s="40">
        <f>Tabelle5121824712[[#This Row],[Height2]]*Tabelle5121824712[[#This Row],[Length3]]</f>
        <v>10.5</v>
      </c>
      <c r="U10" s="42">
        <f t="shared" si="3"/>
        <v>2.8</v>
      </c>
      <c r="V10" s="3">
        <v>0</v>
      </c>
      <c r="W10" s="3">
        <f>(1-$BQ$16)*Tabelle29152149[[#This Row],[North2]]+(1-$BR$16)*Tabelle29152149[[#This Row],[East2]]+(1-$BS$16)*Tabelle29152149[[#This Row],[South2]]+(1-$BT$16)*Tabelle29152149[[#This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IF(Tabelle18142038[[#This Row],[(f)loor/(c )eiling]]="c",Tabelle18142038[[#This Row],[Total Area size '[m^2']]],0)</f>
        <v>0</v>
      </c>
      <c r="Z10" s="42">
        <f>IF(Tabelle18142038[[#This Row],[(f)loor/(c )eiling]]="f",Tabelle18142038[[#This Row],[Total Area size '[m^2']]],0)</f>
        <v>6.9</v>
      </c>
      <c r="AA10" s="5"/>
      <c r="AB10" s="2">
        <v>1</v>
      </c>
      <c r="AC10" s="2">
        <v>0</v>
      </c>
      <c r="AD10" s="2">
        <v>0</v>
      </c>
      <c r="AE10" s="2">
        <v>0</v>
      </c>
      <c r="AF10" s="42">
        <f t="shared" si="4"/>
        <v>2.8</v>
      </c>
      <c r="AG10" s="2">
        <f>0.14+3.77+0.07</f>
        <v>3.98</v>
      </c>
      <c r="AH10" s="44">
        <v>1</v>
      </c>
      <c r="AI10" s="6">
        <v>0</v>
      </c>
      <c r="AJ10" s="2">
        <v>1</v>
      </c>
      <c r="AK10" s="3">
        <v>0</v>
      </c>
      <c r="AL10" s="2">
        <v>0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Tabelle3101622510[[#This Row],[North]]*$AH10+AK10*$AO10+AR10*$AV10+AY10*$BC10+BF10*$BJ10</f>
        <v>0</v>
      </c>
      <c r="BN10" s="2">
        <f t="shared" si="12"/>
        <v>0</v>
      </c>
      <c r="BO10" s="2">
        <f t="shared" si="13"/>
        <v>1</v>
      </c>
      <c r="BP10" s="2">
        <f t="shared" si="14"/>
        <v>0</v>
      </c>
      <c r="BQ10" s="6">
        <f>Tabelle3101622510[[#This Row],[North]]*$AF10*$AG10+AK10*$AM10*$AN10+AR10*$AT10*$AU10+AY10*$BA10*$BB10+BF10*$BH10*$BI10-BM10</f>
        <v>0</v>
      </c>
      <c r="BR10" s="2">
        <f t="shared" si="15"/>
        <v>10.135999999999999</v>
      </c>
      <c r="BS10" s="2">
        <f t="shared" si="16"/>
        <v>10.144</v>
      </c>
      <c r="BT10" s="7">
        <f t="shared" si="17"/>
        <v>0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Tabelle5121824712[[#This Row],[Height]]*Tabelle5121824712[[#This Row],[Length]]</f>
        <v>8.1760000000000002</v>
      </c>
      <c r="R11" s="42">
        <f t="shared" si="1"/>
        <v>2.8</v>
      </c>
      <c r="S11" s="3">
        <v>0</v>
      </c>
      <c r="T11" s="40">
        <f>Tabelle5121824712[[#This Row],[Height2]]*Tabelle5121824712[[#This Row],[Length3]]</f>
        <v>0</v>
      </c>
      <c r="U11" s="42">
        <f t="shared" si="3"/>
        <v>2.8</v>
      </c>
      <c r="V11" s="3">
        <v>0</v>
      </c>
      <c r="W11" s="3">
        <f>(1-$BQ$16)*Tabelle29152149[[#This Row],[North2]]+(1-$BR$16)*Tabelle29152149[[#This Row],[East2]]+(1-$BS$16)*Tabelle29152149[[#This Row],[South2]]+(1-$BT$16)*Tabelle29152149[[#This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IF(Tabelle18142038[[#This Row],[(f)loor/(c )eiling]]="c",Tabelle18142038[[#This Row],[Total Area size '[m^2']]],0)</f>
        <v>1.8</v>
      </c>
      <c r="Z11" s="42">
        <f>IF(Tabelle18142038[[#This Row],[(f)loor/(c )eiling]]="f",Tabelle18142038[[#This Row],[Total Area size '[m^2']]],0)</f>
        <v>0</v>
      </c>
      <c r="AA11" s="5"/>
      <c r="AB11" s="2">
        <v>1</v>
      </c>
      <c r="AC11" s="2">
        <v>0</v>
      </c>
      <c r="AD11" s="2">
        <v>0</v>
      </c>
      <c r="AE11" s="2">
        <v>0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0</v>
      </c>
      <c r="AJ11" s="2">
        <v>1</v>
      </c>
      <c r="AK11" s="2">
        <v>0</v>
      </c>
      <c r="AL11" s="2">
        <v>0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Tabelle3101622510[[#This Row],[North]]*$AH11+AK11*$AO11+AR11*$AV11+AY11*$BC11+BF11*$BJ11</f>
        <v>0</v>
      </c>
      <c r="BN11" s="2">
        <f t="shared" si="12"/>
        <v>0</v>
      </c>
      <c r="BO11" s="2">
        <f t="shared" si="13"/>
        <v>0.64</v>
      </c>
      <c r="BP11" s="2">
        <f t="shared" si="14"/>
        <v>0</v>
      </c>
      <c r="BQ11" s="6">
        <f>Tabelle3101622510[[#This Row],[North]]*$AF11*$AG11+AK11*$AM11*$AN11+AR11*$AT11*$AU11+AY11*$BA11*$BB11+BF11*$BH11*$BI11-BM11</f>
        <v>0</v>
      </c>
      <c r="BR11" s="2">
        <f t="shared" si="15"/>
        <v>3.5419999999999994</v>
      </c>
      <c r="BS11" s="2">
        <f t="shared" si="16"/>
        <v>5.5200000000000005</v>
      </c>
      <c r="BT11" s="7">
        <f t="shared" si="17"/>
        <v>0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Tabelle5121824712[[#This Row],[Height]]*Tabelle5121824712[[#This Row],[Length]]</f>
        <v>14.391999999999998</v>
      </c>
      <c r="R12" s="42">
        <f t="shared" si="1"/>
        <v>2.8</v>
      </c>
      <c r="S12" s="3">
        <v>0</v>
      </c>
      <c r="T12" s="40">
        <f>Tabelle5121824712[[#This Row],[Height2]]*Tabelle5121824712[[#This Row],[Length3]]</f>
        <v>0</v>
      </c>
      <c r="U12" s="42">
        <f t="shared" si="3"/>
        <v>2.8</v>
      </c>
      <c r="V12" s="3">
        <v>0</v>
      </c>
      <c r="W12" s="3">
        <f>(1-$BQ$16)*Tabelle29152149[[#This Row],[North2]]+(1-$BR$16)*Tabelle29152149[[#This Row],[East2]]+(1-$BS$16)*Tabelle29152149[[#This Row],[South2]]+(1-$BT$16)*Tabelle29152149[[#This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IF(Tabelle18142038[[#This Row],[(f)loor/(c )eiling]]="c",Tabelle18142038[[#This Row],[Total Area size '[m^2']]],0)</f>
        <v>12</v>
      </c>
      <c r="Z12" s="42">
        <f>IF(Tabelle18142038[[#This Row],[(f)loor/(c )eiling]]="f",Tabelle18142038[[#This Row],[Total Area size '[m^2']]],0)</f>
        <v>0</v>
      </c>
      <c r="AA12" s="5"/>
      <c r="AB12" s="2">
        <v>1</v>
      </c>
      <c r="AC12" s="2">
        <v>0</v>
      </c>
      <c r="AD12" s="2">
        <v>0</v>
      </c>
      <c r="AE12" s="2">
        <v>0</v>
      </c>
      <c r="AF12" s="42">
        <f t="shared" si="4"/>
        <v>2.8</v>
      </c>
      <c r="AG12" s="2">
        <f>0.9+0.75</f>
        <v>1.65</v>
      </c>
      <c r="AH12" s="44">
        <v>0</v>
      </c>
      <c r="AI12" s="6">
        <v>0</v>
      </c>
      <c r="AJ12" s="2">
        <v>1</v>
      </c>
      <c r="AK12" s="2">
        <v>0</v>
      </c>
      <c r="AL12" s="2">
        <v>0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Tabelle3101622510[[#This Row],[North]]*$AF12*$AG12+AK12*$AM12*$AN12+AR12*$AT12*$AU12+AY12*$BA12*$BB12+BF12*$BH12*$BI12-BM12</f>
        <v>0</v>
      </c>
      <c r="BR12" s="2">
        <f t="shared" si="15"/>
        <v>7.4759999999999991</v>
      </c>
      <c r="BS12" s="2">
        <f t="shared" si="16"/>
        <v>4.6199999999999992</v>
      </c>
      <c r="BT12" s="7">
        <f t="shared" si="17"/>
        <v>0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Tabelle5121824712[[#This Row],[Height]]*Tabelle5121824712[[#This Row],[Length]]</f>
        <v>17.64</v>
      </c>
      <c r="R13" s="42">
        <f t="shared" si="1"/>
        <v>2.8</v>
      </c>
      <c r="S13" s="33">
        <v>0</v>
      </c>
      <c r="T13" s="40">
        <f>Tabelle5121824712[[#This Row],[Height2]]*Tabelle5121824712[[#This Row],[Length3]]</f>
        <v>0</v>
      </c>
      <c r="U13" s="42">
        <f t="shared" si="3"/>
        <v>2.8</v>
      </c>
      <c r="V13" s="3">
        <v>0</v>
      </c>
      <c r="W13" s="3">
        <f>(1-$BQ$16)*Tabelle29152149[[#This Row],[North2]]+(1-$BR$16)*Tabelle29152149[[#This Row],[East2]]+(1-$BS$16)*Tabelle29152149[[#This Row],[South2]]+(1-$BT$16)*Tabelle29152149[[#This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IF(Tabelle18142038[[#This Row],[(f)loor/(c )eiling]]="c",Tabelle18142038[[#This Row],[Total Area size '[m^2']]],0)</f>
        <v>4.5</v>
      </c>
      <c r="Z13" s="42">
        <f>IF(Tabelle18142038[[#This Row],[(f)loor/(c )eiling]]="f",Tabelle18142038[[#This Row],[Total Area size '[m^2']]],0)</f>
        <v>0</v>
      </c>
      <c r="AA13" s="5"/>
      <c r="AB13" s="2">
        <v>0</v>
      </c>
      <c r="AC13" s="2">
        <v>1</v>
      </c>
      <c r="AD13" s="2">
        <v>0</v>
      </c>
      <c r="AE13" s="2">
        <v>0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Tabelle3101622510[[#This Row],[North]]*$AF13*$AG13+AK13*$AM13*$AN13+AR13*$AT13*$AU13+AY13*$BA13*$BB13+BF13*$BH13*$BI13-BM13</f>
        <v>0</v>
      </c>
      <c r="BR13" s="2">
        <f t="shared" si="15"/>
        <v>6.5940000000000012</v>
      </c>
      <c r="BS13" s="2">
        <f t="shared" si="16"/>
        <v>0</v>
      </c>
      <c r="BT13" s="7">
        <f t="shared" si="17"/>
        <v>0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Tabelle5121824712[[#This Row],[Height]]*Tabelle5121824712[[#This Row],[Length]]</f>
        <v>0</v>
      </c>
      <c r="R14" s="42">
        <f t="shared" si="1"/>
        <v>2.8</v>
      </c>
      <c r="S14" s="3">
        <v>0</v>
      </c>
      <c r="T14" s="40">
        <f>Tabelle5121824712[[#This Row],[Height2]]*Tabelle5121824712[[#This Row],[Length3]]</f>
        <v>0</v>
      </c>
      <c r="U14" s="42">
        <f t="shared" si="3"/>
        <v>2.8</v>
      </c>
      <c r="V14" s="3">
        <v>0</v>
      </c>
      <c r="W14" s="3">
        <f>(1-$BQ$16)*Tabelle29152149[[#This Row],[North2]]+(1-$BR$16)*Tabelle29152149[[#This Row],[East2]]+(1-$BS$16)*Tabelle29152149[[#This Row],[South2]]+(1-$BT$16)*Tabelle29152149[[#This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IF(Tabelle18142038[[#This Row],[(f)loor/(c )eiling]]="c",Tabelle18142038[[#This Row],[Total Area size '[m^2']]],0)</f>
        <v>0</v>
      </c>
      <c r="Z14" s="42">
        <f>IF(Tabelle18142038[[#This Row],[(f)loor/(c )eiling]]="f",Tabelle18142038[[#This Row],[Total Area size '[m^2']]],0)</f>
        <v>7.7</v>
      </c>
      <c r="AA14" s="5"/>
      <c r="AB14" s="2">
        <v>0</v>
      </c>
      <c r="AC14" s="2">
        <v>1</v>
      </c>
      <c r="AD14" s="2">
        <v>0</v>
      </c>
      <c r="AE14" s="2">
        <v>0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Tabelle3101622510[[#This Row],[North]]*$AF14*$AG14+AK14*$AM14*$AN14+AR14*$AT14*$AU14+AY14*$BA14*$BB14+BF14*$BH14*$BI14-BM14</f>
        <v>0</v>
      </c>
      <c r="BR14" s="2">
        <f t="shared" ref="BR14" si="21">AC14*$AF14*$AG14+AJ14*$AM14*$AN14+AQ14*$AT14*$AU14+AX14*$BA14*$BB14+BE14*$BH14*$BI14-BN14</f>
        <v>7.4759999999999991</v>
      </c>
      <c r="BS14" s="2">
        <f t="shared" ref="BS14" si="22">AB14*$AF14*$AG14+AI14*$AM14*$AN14+AP14*$AT14*$AU14+AW14*$BA14*$BB14+BD14*$BH14*$BI14-BO14</f>
        <v>0</v>
      </c>
      <c r="BT14" s="7">
        <f t="shared" ref="BT14" si="23">AE14*$AF14*$AG14+AL14*$AM14*$AN14+AS14*$AT14*$AU14+AZ14*$BA14*$BB14+BG14*$BH14*$BI14-BP14</f>
        <v>0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>
        <f t="shared" ref="H15:H18" si="24">SUM(I15,J15,K15,L15,M15)</f>
        <v>0</v>
      </c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>
        <f>Tabelle5121824712[[#This Row],[Height22]]*Tabelle5121824712[[#This Row],[Length33]]+Tabelle5121824712[[#This Row],[Length34]]/2</f>
        <v>0</v>
      </c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si="24"/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>
        <f>Tabelle5121824712[[#This Row],[Height22]]*Tabelle5121824712[[#This Row],[Length33]]+Tabelle5121824712[[#This Row],[Length34]]/2</f>
        <v>0</v>
      </c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1</v>
      </c>
      <c r="BR16" s="2">
        <v>0</v>
      </c>
      <c r="BS16" s="2">
        <v>1</v>
      </c>
      <c r="BT16" s="2">
        <v>1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24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>
        <f>Tabelle5121824712[[#This Row],[Height22]]*Tabelle5121824712[[#This Row],[Length33]]+Tabelle5121824712[[#This Row],[Length34]]/2</f>
        <v>0</v>
      </c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>
        <f>Tabelle5121824712[[#This Row],[Height22]]*Tabelle5121824712[[#This Row],[Length33]]+Tabelle5121824712[[#This Row],[Length34]]/2</f>
        <v>0</v>
      </c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SUMIF($C$5:$C$18,$BL22,BM$5:BM$18)</f>
        <v>8.7100000000000009</v>
      </c>
      <c r="BN22" s="61">
        <f t="shared" ref="BN22:BP25" si="25">SUMIF($C$5:$C$18,$BL22,BN$5:BN$18)</f>
        <v>0</v>
      </c>
      <c r="BO22" s="61">
        <f t="shared" si="25"/>
        <v>2.2200000000000002</v>
      </c>
      <c r="BP22" s="61">
        <f t="shared" si="25"/>
        <v>6.6</v>
      </c>
      <c r="BQ22" s="61">
        <f t="shared" ref="BQ22:BT25" si="26">SUMIF($C$5:$C$18,$BL22,BQ$5:BQ$18)*BQ$16</f>
        <v>14.501999999999995</v>
      </c>
      <c r="BR22" s="61">
        <f t="shared" si="26"/>
        <v>0</v>
      </c>
      <c r="BS22" s="61">
        <f t="shared" si="26"/>
        <v>10.211999999999998</v>
      </c>
      <c r="BT22" s="61">
        <f t="shared" si="26"/>
        <v>25.040000000000003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25"/>
        <v>0</v>
      </c>
      <c r="BO23" s="61">
        <f t="shared" si="25"/>
        <v>0.64</v>
      </c>
      <c r="BP23" s="61">
        <f t="shared" si="25"/>
        <v>0</v>
      </c>
      <c r="BQ23" s="61">
        <f t="shared" si="26"/>
        <v>0</v>
      </c>
      <c r="BR23" s="61">
        <f t="shared" si="26"/>
        <v>0</v>
      </c>
      <c r="BS23" s="61">
        <f t="shared" si="26"/>
        <v>10.14</v>
      </c>
      <c r="BT23" s="61">
        <f t="shared" si="26"/>
        <v>0</v>
      </c>
      <c r="BU23" s="61">
        <f t="shared" ref="BU23:BU25" si="27">SUMIF($C$5:$C$18,$BL23,BU$5:BU$18)</f>
        <v>7.7</v>
      </c>
      <c r="BV23" s="61">
        <f t="shared" ref="BV23:BV25" si="28">BU23*$BU$30</f>
        <v>15.238461538461538</v>
      </c>
      <c r="BW23" s="61">
        <f t="shared" ref="BW23:BW25" si="29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30">SUMIF($C$5:$C$18,$C24,$Y$5:$Y$18)/$G$2</f>
        <v>9.15</v>
      </c>
      <c r="Z24" s="55">
        <f t="shared" ref="Z24:Z26" si="31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2</v>
      </c>
      <c r="BN24" s="61">
        <f t="shared" si="25"/>
        <v>0</v>
      </c>
      <c r="BO24" s="61">
        <f t="shared" si="25"/>
        <v>0</v>
      </c>
      <c r="BP24" s="61">
        <f t="shared" si="25"/>
        <v>5.76</v>
      </c>
      <c r="BQ24" s="61">
        <f t="shared" si="26"/>
        <v>21.212000000000003</v>
      </c>
      <c r="BR24" s="61">
        <f t="shared" si="26"/>
        <v>0</v>
      </c>
      <c r="BS24" s="61">
        <f t="shared" si="26"/>
        <v>12.068000000000001</v>
      </c>
      <c r="BT24" s="61">
        <f t="shared" si="26"/>
        <v>25.88</v>
      </c>
      <c r="BU24" s="61">
        <f t="shared" si="27"/>
        <v>42.6</v>
      </c>
      <c r="BV24" s="61">
        <f t="shared" si="28"/>
        <v>84.306293706293701</v>
      </c>
      <c r="BW24" s="61">
        <f t="shared" si="29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30"/>
        <v>0</v>
      </c>
      <c r="Z25" s="55">
        <f t="shared" si="31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25"/>
        <v>0</v>
      </c>
      <c r="BO25" s="61">
        <f t="shared" si="25"/>
        <v>1</v>
      </c>
      <c r="BP25" s="61">
        <f t="shared" si="25"/>
        <v>0</v>
      </c>
      <c r="BQ25" s="61">
        <f t="shared" si="26"/>
        <v>0</v>
      </c>
      <c r="BR25" s="61">
        <f t="shared" si="26"/>
        <v>0</v>
      </c>
      <c r="BS25" s="61">
        <f t="shared" si="26"/>
        <v>10.144</v>
      </c>
      <c r="BT25" s="61">
        <f t="shared" si="26"/>
        <v>0</v>
      </c>
      <c r="BU25" s="61">
        <f t="shared" si="27"/>
        <v>6.9</v>
      </c>
      <c r="BV25" s="61">
        <f t="shared" si="28"/>
        <v>13.655244755244755</v>
      </c>
      <c r="BW25" s="61">
        <f t="shared" si="29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30"/>
        <v>0</v>
      </c>
      <c r="Z26" s="55">
        <f t="shared" si="31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32">SUM(BM22:BM26)</f>
        <v>10.71</v>
      </c>
      <c r="BN27" s="66">
        <f t="shared" si="32"/>
        <v>0</v>
      </c>
      <c r="BO27" s="66">
        <f t="shared" si="32"/>
        <v>3.8600000000000003</v>
      </c>
      <c r="BP27" s="66">
        <f t="shared" si="32"/>
        <v>12.36</v>
      </c>
      <c r="BQ27" s="66">
        <f t="shared" si="32"/>
        <v>35.713999999999999</v>
      </c>
      <c r="BR27" s="66">
        <f t="shared" si="32"/>
        <v>0</v>
      </c>
      <c r="BS27" s="66">
        <f t="shared" si="32"/>
        <v>42.564</v>
      </c>
      <c r="BT27" s="66">
        <f t="shared" si="32"/>
        <v>50.92</v>
      </c>
      <c r="BU27" s="66">
        <f t="shared" si="32"/>
        <v>57.2</v>
      </c>
      <c r="BV27" s="66">
        <f t="shared" si="32"/>
        <v>113.19999999999999</v>
      </c>
      <c r="BW27" s="66">
        <f t="shared" si="32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33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33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33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46" priority="2" operator="lessThan">
      <formula>0.03</formula>
    </cfRule>
  </conditionalFormatting>
  <conditionalFormatting sqref="I23:I28">
    <cfRule type="cellIs" dxfId="45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6"/>
  <sheetViews>
    <sheetView zoomScale="70" zoomScaleNormal="70" workbookViewId="0">
      <pane xSplit="2" ySplit="4" topLeftCell="BM14" activePane="bottomRight" state="frozen"/>
      <selection activeCell="X55" sqref="X55"/>
      <selection pane="topRight" activeCell="X55" sqref="X55"/>
      <selection pane="bottomLeft" activeCell="X55" sqref="X55"/>
      <selection pane="bottomRight" activeCell="BY25" sqref="BY25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131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Tabelle512182471276[[#This Row],[Height]]*Tabelle512182471276[[#This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Tabelle512182471276[[#This Row],[Height2]]*Tabelle512182471276[[#This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(1-$BQ$16)*Tabelle2915214973[[#This Row],[North2]]+(1-$BR$16)*Tabelle2915214973[[#This Row],[East2]]+(1-$BS$16)*Tabelle2915214973[[#This Row],[South2]]+(1-$BT$16)*Tabelle2915214973[[#This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IF(Tabelle1814203872[[#This Row],[(f)loor/(c )eiling]]="c",Tabelle1814203872[[#This Row],[Total Area size '[m^2']]],0)</f>
        <v>45.6</v>
      </c>
      <c r="Z5" s="42">
        <f>IF(Tabelle1814203872[[#This Row],[(f)loor/(c )eiling]]="f",Tabelle1814203872[[#This Row],[Total Area size '[m^2']]],0)</f>
        <v>0</v>
      </c>
      <c r="AA5" s="5"/>
      <c r="AB5" s="2">
        <v>0</v>
      </c>
      <c r="AC5" s="2">
        <v>1</v>
      </c>
      <c r="AD5" s="2">
        <v>0</v>
      </c>
      <c r="AE5" s="2">
        <v>0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0</v>
      </c>
      <c r="AK5" s="2">
        <v>1</v>
      </c>
      <c r="AL5" s="2">
        <v>0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0</v>
      </c>
      <c r="AQ5" s="2">
        <v>0</v>
      </c>
      <c r="AR5" s="2">
        <v>0</v>
      </c>
      <c r="AS5" s="2">
        <v>1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Tabelle310162251074[[#This Row],[North]]*$AH5+AK5*$AO5+AR5*$AV5+AY5*$BC5+BF5*$BJ5</f>
        <v>8.7100000000000009</v>
      </c>
      <c r="BN5" s="2">
        <f t="shared" ref="BN5:BN13" si="12">AC5*$AH5+AJ5*$AO5+AQ5*$AV5+AX5*$BC5+BE5*$BJ5</f>
        <v>5.16</v>
      </c>
      <c r="BO5" s="2">
        <f t="shared" ref="BO5:BO13" si="13">AB5*$AH5+AI5*$AO5+AP5*$AV5+AW5*$BC5+BD5*$BJ5</f>
        <v>0</v>
      </c>
      <c r="BP5" s="2">
        <f t="shared" ref="BP5:BP13" si="14">AE5*$AH5+AL5*$AO5+AS5*$AV5+AZ5*$BC5+BG5*$BJ5</f>
        <v>0</v>
      </c>
      <c r="BQ5" s="6">
        <f>Tabelle310162251074[[#This Row],[North]]*$AF5*$AG5+AK5*$AM5*$AN5+AR5*$AT5*$AU5+AY5*$BA5*$BB5+BF5*$BH5*$BI5-BM5</f>
        <v>14.501999999999995</v>
      </c>
      <c r="BR5" s="2">
        <f t="shared" ref="BR5:BR13" si="15">AC5*$AF5*$AG5+AJ5*$AM5*$AN5+AQ5*$AT5*$AU5+AX5*$BA5*$BB5+BE5*$BH5*$BI5-BN5</f>
        <v>15.700000000000003</v>
      </c>
      <c r="BS5" s="2">
        <f t="shared" ref="BS5:BS13" si="16">AB5*$AF5*$AG5+AI5*$AM5*$AN5+AP5*$AT5*$AU5+AW5*$BA5*$BB5+BD5*$BH5*$BI5-BO5</f>
        <v>0</v>
      </c>
      <c r="BT5" s="7">
        <f t="shared" ref="BT5:BT13" si="17">AE5*$AF5*$AG5+AL5*$AM5*$AN5+AS5*$AT5*$AU5+AZ5*$BA5*$BB5+BG5*$BH5*$BI5-BP5</f>
        <v>14.027999999999999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Tabelle512182471276[[#This Row],[Height]]*Tabelle512182471276[[#This Row],[Length]]</f>
        <v>3.9199999999999995</v>
      </c>
      <c r="R6" s="42">
        <f t="shared" si="1"/>
        <v>2.8</v>
      </c>
      <c r="S6" s="3">
        <v>3.26</v>
      </c>
      <c r="T6" s="40">
        <f>Tabelle512182471276[[#This Row],[Height2]]*Tabelle512182471276[[#This Row],[Length3]]</f>
        <v>9.1279999999999983</v>
      </c>
      <c r="U6" s="42">
        <f t="shared" si="3"/>
        <v>2.8</v>
      </c>
      <c r="V6" s="3">
        <v>0</v>
      </c>
      <c r="W6" s="3">
        <f>(1-$BQ$16)*Tabelle2915214973[[#This Row],[North2]]+(1-$BR$16)*Tabelle2915214973[[#This Row],[East2]]+(1-$BS$16)*Tabelle2915214973[[#This Row],[South2]]+(1-$BT$16)*Tabelle2915214973[[#This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IF(Tabelle1814203872[[#This Row],[(f)loor/(c )eiling]]="c",Tabelle1814203872[[#This Row],[Total Area size '[m^2']]],0)</f>
        <v>12.7</v>
      </c>
      <c r="Z6" s="42">
        <f>IF(Tabelle1814203872[[#This Row],[(f)loor/(c )eiling]]="f",Tabelle1814203872[[#This Row],[Total Area size '[m^2']]],0)</f>
        <v>0</v>
      </c>
      <c r="AA6" s="5"/>
      <c r="AB6" s="2">
        <v>0</v>
      </c>
      <c r="AC6" s="2">
        <v>1</v>
      </c>
      <c r="AD6" s="2">
        <v>0</v>
      </c>
      <c r="AE6" s="2">
        <v>0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1</v>
      </c>
      <c r="AJ6" s="3">
        <v>0</v>
      </c>
      <c r="AK6" s="2">
        <v>0</v>
      </c>
      <c r="AL6" s="2">
        <v>0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Tabelle310162251074[[#This Row],[North]]*$AH6+AK6*$AO6+AR6*$AV6+AY6*$BC6+BF6*$BJ6</f>
        <v>0</v>
      </c>
      <c r="BN6" s="2">
        <f t="shared" si="12"/>
        <v>1.44</v>
      </c>
      <c r="BO6" s="2">
        <f t="shared" si="13"/>
        <v>2.2200000000000002</v>
      </c>
      <c r="BP6" s="2">
        <f t="shared" si="14"/>
        <v>0</v>
      </c>
      <c r="BQ6" s="6">
        <f>Tabelle310162251074[[#This Row],[North]]*$AF6*$AG6+AK6*$AM6*$AN6+AR6*$AT6*$AU6+AY6*$BA6*$BB6+BF6*$BH6*$BI6-BM6</f>
        <v>0</v>
      </c>
      <c r="BR6" s="2">
        <f t="shared" si="15"/>
        <v>9.34</v>
      </c>
      <c r="BS6" s="2">
        <f t="shared" si="16"/>
        <v>10.211999999999998</v>
      </c>
      <c r="BT6" s="7">
        <f t="shared" si="17"/>
        <v>0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Tabelle512182471276[[#This Row],[Height]]*Tabelle512182471276[[#This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Tabelle512182471276[[#This Row],[Height2]]*Tabelle512182471276[[#This Row],[Length3]]</f>
        <v>3.78</v>
      </c>
      <c r="U7" s="42">
        <f t="shared" si="3"/>
        <v>2.8</v>
      </c>
      <c r="V7" s="3">
        <v>0</v>
      </c>
      <c r="W7" s="3">
        <f>(1-$BQ$16)*Tabelle2915214973[[#This Row],[North2]]+(1-$BR$16)*Tabelle2915214973[[#This Row],[East2]]+(1-$BS$16)*Tabelle2915214973[[#This Row],[South2]]+(1-$BT$16)*Tabelle2915214973[[#This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IF(Tabelle1814203872[[#This Row],[(f)loor/(c )eiling]]="c",Tabelle1814203872[[#This Row],[Total Area size '[m^2']]],0)</f>
        <v>0</v>
      </c>
      <c r="Z7" s="42">
        <f>IF(Tabelle1814203872[[#This Row],[(f)loor/(c )eiling]]="f",Tabelle1814203872[[#This Row],[Total Area size '[m^2']]],0)</f>
        <v>12.5</v>
      </c>
      <c r="AA7" s="5"/>
      <c r="AB7" s="2">
        <v>0</v>
      </c>
      <c r="AC7" s="2">
        <v>1</v>
      </c>
      <c r="AD7" s="2">
        <v>0</v>
      </c>
      <c r="AE7" s="2">
        <v>0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1</v>
      </c>
      <c r="AJ7" s="2">
        <v>0</v>
      </c>
      <c r="AK7" s="2">
        <v>0</v>
      </c>
      <c r="AL7" s="2">
        <v>0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Tabelle310162251074[[#This Row],[North]]*$AH7+AK7*$AO7+AR7*$AV7+AY7*$BC7+BF7*$BJ7</f>
        <v>0</v>
      </c>
      <c r="BN7" s="2">
        <f t="shared" si="12"/>
        <v>2.88</v>
      </c>
      <c r="BO7" s="2">
        <f t="shared" si="13"/>
        <v>0</v>
      </c>
      <c r="BP7" s="2">
        <f t="shared" si="14"/>
        <v>0</v>
      </c>
      <c r="BQ7" s="6">
        <f>Tabelle310162251074[[#This Row],[North]]*$AF7*$AG7+AK7*$AM7*$AN7+AR7*$AT7*$AU7+AY7*$BA7*$BB7+BF7*$BH7*$BI7-BM7</f>
        <v>0</v>
      </c>
      <c r="BR7" s="2">
        <f t="shared" si="15"/>
        <v>10.98</v>
      </c>
      <c r="BS7" s="2">
        <f t="shared" si="16"/>
        <v>12.068000000000001</v>
      </c>
      <c r="BT7" s="7">
        <f t="shared" si="17"/>
        <v>0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Tabelle512182471276[[#This Row],[Height]]*Tabelle512182471276[[#This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Tabelle512182471276[[#This Row],[Height2]]*Tabelle512182471276[[#This Row],[Length3]]</f>
        <v>3.78</v>
      </c>
      <c r="U8" s="42">
        <f t="shared" si="3"/>
        <v>2.8</v>
      </c>
      <c r="V8" s="3">
        <v>0</v>
      </c>
      <c r="W8" s="3">
        <f>(1-$BQ$16)*Tabelle2915214973[[#This Row],[North2]]+(1-$BR$16)*Tabelle2915214973[[#This Row],[East2]]+(1-$BS$16)*Tabelle2915214973[[#This Row],[South2]]+(1-$BT$16)*Tabelle2915214973[[#This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IF(Tabelle1814203872[[#This Row],[(f)loor/(c )eiling]]="c",Tabelle1814203872[[#This Row],[Total Area size '[m^2']]],0)</f>
        <v>0</v>
      </c>
      <c r="Z8" s="42">
        <f>IF(Tabelle1814203872[[#This Row],[(f)loor/(c )eiling]]="f",Tabelle1814203872[[#This Row],[Total Area size '[m^2']]],0)</f>
        <v>18</v>
      </c>
      <c r="AA8" s="5"/>
      <c r="AB8" s="2">
        <v>0</v>
      </c>
      <c r="AC8" s="2">
        <v>1</v>
      </c>
      <c r="AD8" s="2">
        <v>0</v>
      </c>
      <c r="AE8" s="2">
        <v>0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0</v>
      </c>
      <c r="AK8" s="2">
        <v>1</v>
      </c>
      <c r="AL8" s="2">
        <v>0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Tabelle310162251074[[#This Row],[North]]*$AH8+AK8*$AO8+AR8*$AV8+AY8*$BC8+BF8*$BJ8</f>
        <v>0</v>
      </c>
      <c r="BN8" s="2">
        <f t="shared" si="12"/>
        <v>2.88</v>
      </c>
      <c r="BO8" s="2">
        <f t="shared" si="13"/>
        <v>0</v>
      </c>
      <c r="BP8" s="2">
        <f t="shared" si="14"/>
        <v>0</v>
      </c>
      <c r="BQ8" s="6">
        <f>Tabelle310162251074[[#This Row],[North]]*$AF8*$AG8+AK8*$AM8*$AN8+AR8*$AT8*$AU8+AY8*$BA8*$BB8+BF8*$BH8*$BI8-BM8</f>
        <v>12.068000000000001</v>
      </c>
      <c r="BR8" s="2">
        <f t="shared" si="15"/>
        <v>14.899999999999999</v>
      </c>
      <c r="BS8" s="2">
        <f t="shared" si="16"/>
        <v>0</v>
      </c>
      <c r="BT8" s="7">
        <f t="shared" si="17"/>
        <v>0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Tabelle512182471276[[#This Row],[Height]]*Tabelle512182471276[[#This Row],[Length]]</f>
        <v>10.555999999999999</v>
      </c>
      <c r="R9" s="42">
        <f t="shared" si="1"/>
        <v>2.8</v>
      </c>
      <c r="S9" s="3">
        <v>3.75</v>
      </c>
      <c r="T9" s="40">
        <f>Tabelle512182471276[[#This Row],[Height2]]*Tabelle512182471276[[#This Row],[Length3]]</f>
        <v>10.5</v>
      </c>
      <c r="U9" s="42">
        <f t="shared" si="3"/>
        <v>2.8</v>
      </c>
      <c r="V9" s="3">
        <v>0</v>
      </c>
      <c r="W9" s="3">
        <f>(1-$BQ$16)*Tabelle2915214973[[#This Row],[North2]]+(1-$BR$16)*Tabelle2915214973[[#This Row],[East2]]+(1-$BS$16)*Tabelle2915214973[[#This Row],[South2]]+(1-$BT$16)*Tabelle2915214973[[#This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IF(Tabelle1814203872[[#This Row],[(f)loor/(c )eiling]]="c",Tabelle1814203872[[#This Row],[Total Area size '[m^2']]],0)</f>
        <v>0</v>
      </c>
      <c r="Z9" s="42">
        <f>IF(Tabelle1814203872[[#This Row],[(f)loor/(c )eiling]]="f",Tabelle1814203872[[#This Row],[Total Area size '[m^2']]],0)</f>
        <v>12.1</v>
      </c>
      <c r="AA9" s="5"/>
      <c r="AB9" s="2">
        <v>0</v>
      </c>
      <c r="AC9" s="2">
        <v>0</v>
      </c>
      <c r="AD9" s="2">
        <v>1</v>
      </c>
      <c r="AE9" s="2">
        <v>0</v>
      </c>
      <c r="AF9" s="42">
        <f t="shared" si="4"/>
        <v>2.8</v>
      </c>
      <c r="AG9" s="2">
        <f>0.07+3.77+0.14</f>
        <v>3.98</v>
      </c>
      <c r="AH9" s="44">
        <v>2</v>
      </c>
      <c r="AI9" s="6">
        <v>0</v>
      </c>
      <c r="AJ9" s="2">
        <v>0</v>
      </c>
      <c r="AK9" s="2">
        <v>0</v>
      </c>
      <c r="AL9" s="2">
        <v>1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Tabelle310162251074[[#This Row],[North]]*$AH9+AK9*$AO9+AR9*$AV9+AY9*$BC9+BF9*$BJ9</f>
        <v>2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6">
        <f>Tabelle310162251074[[#This Row],[North]]*$AF9*$AG9+AK9*$AM9*$AN9+AR9*$AT9*$AU9+AY9*$BA9*$BB9+BF9*$BH9*$BI9-BM9</f>
        <v>9.1440000000000001</v>
      </c>
      <c r="BR9" s="2">
        <f t="shared" si="15"/>
        <v>0</v>
      </c>
      <c r="BS9" s="2">
        <f t="shared" si="16"/>
        <v>0</v>
      </c>
      <c r="BT9" s="7">
        <f t="shared" si="17"/>
        <v>14.028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Tabelle512182471276[[#This Row],[Height]]*Tabelle512182471276[[#This Row],[Length]]</f>
        <v>6.6639999999999997</v>
      </c>
      <c r="R10" s="42">
        <f t="shared" si="1"/>
        <v>2.8</v>
      </c>
      <c r="S10" s="3">
        <v>3.75</v>
      </c>
      <c r="T10" s="40">
        <f>Tabelle512182471276[[#This Row],[Height2]]*Tabelle512182471276[[#This Row],[Length3]]</f>
        <v>10.5</v>
      </c>
      <c r="U10" s="42">
        <f t="shared" si="3"/>
        <v>2.8</v>
      </c>
      <c r="V10" s="3">
        <v>0</v>
      </c>
      <c r="W10" s="3">
        <f>(1-$BQ$16)*Tabelle2915214973[[#This Row],[North2]]+(1-$BR$16)*Tabelle2915214973[[#This Row],[East2]]+(1-$BS$16)*Tabelle2915214973[[#This Row],[South2]]+(1-$BT$16)*Tabelle2915214973[[#This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IF(Tabelle1814203872[[#This Row],[(f)loor/(c )eiling]]="c",Tabelle1814203872[[#This Row],[Total Area size '[m^2']]],0)</f>
        <v>0</v>
      </c>
      <c r="Z10" s="42">
        <f>IF(Tabelle1814203872[[#This Row],[(f)loor/(c )eiling]]="f",Tabelle1814203872[[#This Row],[Total Area size '[m^2']]],0)</f>
        <v>6.9</v>
      </c>
      <c r="AA10" s="5"/>
      <c r="AB10" s="2">
        <v>1</v>
      </c>
      <c r="AC10" s="2">
        <v>0</v>
      </c>
      <c r="AD10" s="2">
        <v>0</v>
      </c>
      <c r="AE10" s="2">
        <v>0</v>
      </c>
      <c r="AF10" s="42">
        <f t="shared" si="4"/>
        <v>2.8</v>
      </c>
      <c r="AG10" s="2">
        <f>0.14+3.77+0.07</f>
        <v>3.98</v>
      </c>
      <c r="AH10" s="44">
        <v>1</v>
      </c>
      <c r="AI10" s="6">
        <v>0</v>
      </c>
      <c r="AJ10" s="2">
        <v>0</v>
      </c>
      <c r="AK10" s="3">
        <v>0</v>
      </c>
      <c r="AL10" s="2">
        <v>1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Tabelle310162251074[[#This Row],[North]]*$AH10+AK10*$AO10+AR10*$AV10+AY10*$BC10+BF10*$BJ10</f>
        <v>0</v>
      </c>
      <c r="BN10" s="2">
        <f t="shared" si="12"/>
        <v>0</v>
      </c>
      <c r="BO10" s="2">
        <f t="shared" si="13"/>
        <v>1</v>
      </c>
      <c r="BP10" s="2">
        <f t="shared" si="14"/>
        <v>0</v>
      </c>
      <c r="BQ10" s="6">
        <f>Tabelle310162251074[[#This Row],[North]]*$AF10*$AG10+AK10*$AM10*$AN10+AR10*$AT10*$AU10+AY10*$BA10*$BB10+BF10*$BH10*$BI10-BM10</f>
        <v>0</v>
      </c>
      <c r="BR10" s="2">
        <f t="shared" si="15"/>
        <v>0</v>
      </c>
      <c r="BS10" s="2">
        <f t="shared" si="16"/>
        <v>10.144</v>
      </c>
      <c r="BT10" s="7">
        <f t="shared" si="17"/>
        <v>10.135999999999999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Tabelle512182471276[[#This Row],[Height]]*Tabelle512182471276[[#This Row],[Length]]</f>
        <v>8.1760000000000002</v>
      </c>
      <c r="R11" s="42">
        <f t="shared" si="1"/>
        <v>2.8</v>
      </c>
      <c r="S11" s="3">
        <v>0</v>
      </c>
      <c r="T11" s="40">
        <f>Tabelle512182471276[[#This Row],[Height2]]*Tabelle512182471276[[#This Row],[Length3]]</f>
        <v>0</v>
      </c>
      <c r="U11" s="42">
        <f t="shared" si="3"/>
        <v>2.8</v>
      </c>
      <c r="V11" s="3">
        <v>0</v>
      </c>
      <c r="W11" s="3">
        <f>(1-$BQ$16)*Tabelle2915214973[[#This Row],[North2]]+(1-$BR$16)*Tabelle2915214973[[#This Row],[East2]]+(1-$BS$16)*Tabelle2915214973[[#This Row],[South2]]+(1-$BT$16)*Tabelle2915214973[[#This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IF(Tabelle1814203872[[#This Row],[(f)loor/(c )eiling]]="c",Tabelle1814203872[[#This Row],[Total Area size '[m^2']]],0)</f>
        <v>1.8</v>
      </c>
      <c r="Z11" s="42">
        <f>IF(Tabelle1814203872[[#This Row],[(f)loor/(c )eiling]]="f",Tabelle1814203872[[#This Row],[Total Area size '[m^2']]],0)</f>
        <v>0</v>
      </c>
      <c r="AA11" s="5"/>
      <c r="AB11" s="2">
        <v>1</v>
      </c>
      <c r="AC11" s="2">
        <v>0</v>
      </c>
      <c r="AD11" s="2">
        <v>0</v>
      </c>
      <c r="AE11" s="2">
        <v>0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0</v>
      </c>
      <c r="AJ11" s="2">
        <v>0</v>
      </c>
      <c r="AK11" s="2">
        <v>0</v>
      </c>
      <c r="AL11" s="2">
        <v>1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Tabelle310162251074[[#This Row],[North]]*$AH11+AK11*$AO11+AR11*$AV11+AY11*$BC11+BF11*$BJ11</f>
        <v>0</v>
      </c>
      <c r="BN11" s="2">
        <f t="shared" si="12"/>
        <v>0</v>
      </c>
      <c r="BO11" s="2">
        <f t="shared" si="13"/>
        <v>0.64</v>
      </c>
      <c r="BP11" s="2">
        <f t="shared" si="14"/>
        <v>0</v>
      </c>
      <c r="BQ11" s="6">
        <f>Tabelle310162251074[[#This Row],[North]]*$AF11*$AG11+AK11*$AM11*$AN11+AR11*$AT11*$AU11+AY11*$BA11*$BB11+BF11*$BH11*$BI11-BM11</f>
        <v>0</v>
      </c>
      <c r="BR11" s="2">
        <f t="shared" si="15"/>
        <v>0</v>
      </c>
      <c r="BS11" s="2">
        <f t="shared" si="16"/>
        <v>5.5200000000000005</v>
      </c>
      <c r="BT11" s="7">
        <f t="shared" si="17"/>
        <v>3.5419999999999994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Tabelle512182471276[[#This Row],[Height]]*Tabelle512182471276[[#This Row],[Length]]</f>
        <v>14.391999999999998</v>
      </c>
      <c r="R12" s="42">
        <f t="shared" si="1"/>
        <v>2.8</v>
      </c>
      <c r="S12" s="3">
        <v>0</v>
      </c>
      <c r="T12" s="40">
        <f>Tabelle512182471276[[#This Row],[Height2]]*Tabelle512182471276[[#This Row],[Length3]]</f>
        <v>0</v>
      </c>
      <c r="U12" s="42">
        <f t="shared" si="3"/>
        <v>2.8</v>
      </c>
      <c r="V12" s="3">
        <v>0</v>
      </c>
      <c r="W12" s="3">
        <f>(1-$BQ$16)*Tabelle2915214973[[#This Row],[North2]]+(1-$BR$16)*Tabelle2915214973[[#This Row],[East2]]+(1-$BS$16)*Tabelle2915214973[[#This Row],[South2]]+(1-$BT$16)*Tabelle2915214973[[#This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IF(Tabelle1814203872[[#This Row],[(f)loor/(c )eiling]]="c",Tabelle1814203872[[#This Row],[Total Area size '[m^2']]],0)</f>
        <v>12</v>
      </c>
      <c r="Z12" s="42">
        <f>IF(Tabelle1814203872[[#This Row],[(f)loor/(c )eiling]]="f",Tabelle1814203872[[#This Row],[Total Area size '[m^2']]],0)</f>
        <v>0</v>
      </c>
      <c r="AA12" s="5"/>
      <c r="AB12" s="2">
        <v>1</v>
      </c>
      <c r="AC12" s="2">
        <v>0</v>
      </c>
      <c r="AD12" s="2">
        <v>0</v>
      </c>
      <c r="AE12" s="2">
        <v>0</v>
      </c>
      <c r="AF12" s="42">
        <f t="shared" si="4"/>
        <v>2.8</v>
      </c>
      <c r="AG12" s="2">
        <f>0.9+0.75</f>
        <v>1.65</v>
      </c>
      <c r="AH12" s="44">
        <v>0</v>
      </c>
      <c r="AI12" s="6">
        <v>0</v>
      </c>
      <c r="AJ12" s="2">
        <v>0</v>
      </c>
      <c r="AK12" s="2">
        <v>0</v>
      </c>
      <c r="AL12" s="2">
        <v>1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Tabelle310162251074[[#This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Tabelle310162251074[[#This Row],[North]]*$AF12*$AG12+AK12*$AM12*$AN12+AR12*$AT12*$AU12+AY12*$BA12*$BB12+BF12*$BH12*$BI12-BM12</f>
        <v>0</v>
      </c>
      <c r="BR12" s="2">
        <f t="shared" si="15"/>
        <v>0</v>
      </c>
      <c r="BS12" s="2">
        <f t="shared" si="16"/>
        <v>4.6199999999999992</v>
      </c>
      <c r="BT12" s="7">
        <f t="shared" si="17"/>
        <v>7.4759999999999991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Tabelle512182471276[[#This Row],[Height]]*Tabelle512182471276[[#This Row],[Length]]</f>
        <v>17.64</v>
      </c>
      <c r="R13" s="42">
        <f t="shared" si="1"/>
        <v>2.8</v>
      </c>
      <c r="S13" s="33">
        <v>0</v>
      </c>
      <c r="T13" s="40">
        <f>Tabelle512182471276[[#This Row],[Height2]]*Tabelle512182471276[[#This Row],[Length3]]</f>
        <v>0</v>
      </c>
      <c r="U13" s="42">
        <f t="shared" si="3"/>
        <v>2.8</v>
      </c>
      <c r="V13" s="3">
        <v>0</v>
      </c>
      <c r="W13" s="3">
        <f>(1-$BQ$16)*Tabelle2915214973[[#This Row],[North2]]+(1-$BR$16)*Tabelle2915214973[[#This Row],[East2]]+(1-$BS$16)*Tabelle2915214973[[#This Row],[South2]]+(1-$BT$16)*Tabelle2915214973[[#This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IF(Tabelle1814203872[[#This Row],[(f)loor/(c )eiling]]="c",Tabelle1814203872[[#This Row],[Total Area size '[m^2']]],0)</f>
        <v>4.5</v>
      </c>
      <c r="Z13" s="42">
        <f>IF(Tabelle1814203872[[#This Row],[(f)loor/(c )eiling]]="f",Tabelle1814203872[[#This Row],[Total Area size '[m^2']]],0)</f>
        <v>0</v>
      </c>
      <c r="AA13" s="5"/>
      <c r="AB13" s="2">
        <v>0</v>
      </c>
      <c r="AC13" s="2">
        <v>0</v>
      </c>
      <c r="AD13" s="2">
        <v>0</v>
      </c>
      <c r="AE13" s="2">
        <v>1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Tabelle310162251074[[#This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Tabelle310162251074[[#This Row],[North]]*$AF13*$AG13+AK13*$AM13*$AN13+AR13*$AT13*$AU13+AY13*$BA13*$BB13+BF13*$BH13*$BI13-BM13</f>
        <v>0</v>
      </c>
      <c r="BR13" s="2">
        <f t="shared" si="15"/>
        <v>0</v>
      </c>
      <c r="BS13" s="2">
        <f t="shared" si="16"/>
        <v>0</v>
      </c>
      <c r="BT13" s="7">
        <f t="shared" si="17"/>
        <v>6.5940000000000012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Tabelle512182471276[[#This Row],[Height]]*Tabelle512182471276[[#This Row],[Length]]</f>
        <v>0</v>
      </c>
      <c r="R14" s="42">
        <f t="shared" si="1"/>
        <v>2.8</v>
      </c>
      <c r="S14" s="3">
        <v>0</v>
      </c>
      <c r="T14" s="40">
        <f>Tabelle512182471276[[#This Row],[Height2]]*Tabelle512182471276[[#This Row],[Length3]]</f>
        <v>0</v>
      </c>
      <c r="U14" s="42">
        <f t="shared" si="3"/>
        <v>2.8</v>
      </c>
      <c r="V14" s="3">
        <v>0</v>
      </c>
      <c r="W14" s="3">
        <f>(1-$BQ$16)*Tabelle2915214973[[#This Row],[North2]]+(1-$BR$16)*Tabelle2915214973[[#This Row],[East2]]+(1-$BS$16)*Tabelle2915214973[[#This Row],[South2]]+(1-$BT$16)*Tabelle2915214973[[#This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IF(Tabelle1814203872[[#This Row],[(f)loor/(c )eiling]]="c",Tabelle1814203872[[#This Row],[Total Area size '[m^2']]],0)</f>
        <v>0</v>
      </c>
      <c r="Z14" s="42">
        <f>IF(Tabelle1814203872[[#This Row],[(f)loor/(c )eiling]]="f",Tabelle1814203872[[#This Row],[Total Area size '[m^2']]],0)</f>
        <v>7.7</v>
      </c>
      <c r="AA14" s="5"/>
      <c r="AB14" s="2">
        <v>0</v>
      </c>
      <c r="AC14" s="2">
        <v>0</v>
      </c>
      <c r="AD14" s="2">
        <v>0</v>
      </c>
      <c r="AE14" s="2">
        <v>1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Tabelle310162251074[[#This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Tabelle310162251074[[#This Row],[North]]*$AF14*$AG14+AK14*$AM14*$AN14+AR14*$AT14*$AU14+AY14*$BA14*$BB14+BF14*$BH14*$BI14-BM14</f>
        <v>0</v>
      </c>
      <c r="BR14" s="2">
        <f t="shared" ref="BR14" si="21">AC14*$AF14*$AG14+AJ14*$AM14*$AN14+AQ14*$AT14*$AU14+AX14*$BA14*$BB14+BE14*$BH14*$BI14-BN14</f>
        <v>0</v>
      </c>
      <c r="BS14" s="2">
        <f t="shared" ref="BS14" si="22">AB14*$AF14*$AG14+AI14*$AM14*$AN14+AP14*$AT14*$AU14+AW14*$BA14*$BB14+BD14*$BH14*$BI14-BO14</f>
        <v>0</v>
      </c>
      <c r="BT14" s="7">
        <f t="shared" ref="BT14" si="23">AE14*$AF14*$AG14+AL14*$AM14*$AN14+AS14*$AT14*$AU14+AZ14*$BA14*$BB14+BG14*$BH14*$BI14-BP14</f>
        <v>7.4759999999999991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>
        <f>Tabelle5121824712[[#This Row],[Height22]]*Tabelle5121824712[[#This Row],[Length33]]+Tabelle5121824712[[#This Row],[Length34]]/2</f>
        <v>0</v>
      </c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24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>
        <f>Tabelle5121824712[[#This Row],[Height22]]*Tabelle5121824712[[#This Row],[Length33]]+Tabelle5121824712[[#This Row],[Length34]]/2</f>
        <v>0</v>
      </c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1</v>
      </c>
      <c r="BR16" s="2">
        <v>1</v>
      </c>
      <c r="BS16" s="2">
        <v>1</v>
      </c>
      <c r="BT16" s="2">
        <v>0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24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>
        <f>Tabelle5121824712[[#This Row],[Height22]]*Tabelle5121824712[[#This Row],[Length33]]+Tabelle5121824712[[#This Row],[Length34]]/2</f>
        <v>0</v>
      </c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>
        <f>Tabelle5121824712[[#This Row],[Height22]]*Tabelle5121824712[[#This Row],[Length33]]+Tabelle5121824712[[#This Row],[Length34]]/2</f>
        <v>0</v>
      </c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8.7100000000000009</v>
      </c>
      <c r="BN22" s="61">
        <f>SUMIF($C$5:$C$18,$BL22,BN$5:BN$18)</f>
        <v>6.6</v>
      </c>
      <c r="BO22" s="61">
        <f>SUMIF($C$5:$C$18,$BL22,BO$5:BO$18)</f>
        <v>2.2200000000000002</v>
      </c>
      <c r="BP22" s="61">
        <f>SUMIF($C$5:$C$18,$BL22,BP$5:BP$18)</f>
        <v>0</v>
      </c>
      <c r="BQ22" s="61">
        <f>SUMIF($C$5:$C$18,$BL22,BQ$5:BQ$18)*BQ$16</f>
        <v>14.501999999999995</v>
      </c>
      <c r="BR22" s="61">
        <f>SUMIF($C$5:$C$18,$BL22,BR$5:BR$18)*BR$16</f>
        <v>25.040000000000003</v>
      </c>
      <c r="BS22" s="61">
        <f>SUMIF($C$5:$C$18,$BL22,BS$5:BS$18)*BS$16</f>
        <v>10.211999999999998</v>
      </c>
      <c r="BT22" s="61">
        <f>SUMIF($C$5:$C$18,$BL22,BT$5:BT$18)*BT$16</f>
        <v>0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>SUMIF($C$5:$C$18,$BL23,BN$5:BN$18)</f>
        <v>0</v>
      </c>
      <c r="BO23" s="61">
        <f>SUMIF($C$5:$C$18,$BL23,BO$5:BO$18)</f>
        <v>0.64</v>
      </c>
      <c r="BP23" s="61">
        <f>SUMIF($C$5:$C$18,$BL23,BP$5:BP$18)</f>
        <v>0</v>
      </c>
      <c r="BQ23" s="61">
        <f>SUMIF($C$5:$C$18,$BL23,BQ$5:BQ$18)*BQ$16</f>
        <v>0</v>
      </c>
      <c r="BR23" s="61">
        <f>SUMIF($C$5:$C$18,$BL23,BR$5:BR$18)*BR$16</f>
        <v>0</v>
      </c>
      <c r="BS23" s="61">
        <f>SUMIF($C$5:$C$18,$BL23,BS$5:BS$18)*BS$16</f>
        <v>10.14</v>
      </c>
      <c r="BT23" s="61">
        <f>SUMIF($C$5:$C$18,$BL23,BT$5:BT$18)*BT$16</f>
        <v>0</v>
      </c>
      <c r="BU23" s="61">
        <f t="shared" ref="BU23:BU25" si="25">SUMIF($C$5:$C$18,$BL23,BU$5:BU$18)</f>
        <v>7.7</v>
      </c>
      <c r="BV23" s="61">
        <f t="shared" ref="BV23:BV25" si="26">BU23*$BU$30</f>
        <v>15.238461538461538</v>
      </c>
      <c r="BW23" s="61">
        <f t="shared" ref="BW23:BW25" si="27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>SUMIF($C$5:$C$18,$C24,$Y$5:$Y$18)/$G$2</f>
        <v>9.15</v>
      </c>
      <c r="Z24" s="55">
        <f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2</v>
      </c>
      <c r="BN24" s="61">
        <f>SUMIF($C$5:$C$18,$BL24,BN$5:BN$18)</f>
        <v>5.76</v>
      </c>
      <c r="BO24" s="61">
        <f>SUMIF($C$5:$C$18,$BL24,BO$5:BO$18)</f>
        <v>0</v>
      </c>
      <c r="BP24" s="61">
        <f>SUMIF($C$5:$C$18,$BL24,BP$5:BP$18)</f>
        <v>0</v>
      </c>
      <c r="BQ24" s="61">
        <f>SUMIF($C$5:$C$18,$BL24,BQ$5:BQ$18)*BQ$16</f>
        <v>21.212000000000003</v>
      </c>
      <c r="BR24" s="61">
        <f>SUMIF($C$5:$C$18,$BL24,BR$5:BR$18)*BR$16</f>
        <v>25.88</v>
      </c>
      <c r="BS24" s="61">
        <f>SUMIF($C$5:$C$18,$BL24,BS$5:BS$18)*BS$16</f>
        <v>12.068000000000001</v>
      </c>
      <c r="BT24" s="61">
        <f>SUMIF($C$5:$C$18,$BL24,BT$5:BT$18)*BT$16</f>
        <v>0</v>
      </c>
      <c r="BU24" s="61">
        <f t="shared" si="25"/>
        <v>42.6</v>
      </c>
      <c r="BV24" s="61">
        <f t="shared" si="26"/>
        <v>84.306293706293701</v>
      </c>
      <c r="BW24" s="61">
        <f t="shared" si="27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>SUMIF($C$5:$C$18,$C25,$Y$5:$Y$18)/$G$2</f>
        <v>0</v>
      </c>
      <c r="Z25" s="55">
        <f>SUMIF($C$5:$C$18,$C25,$Z$5:$Z$18)/$G$2</f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>SUMIF($C$5:$C$18,$BL25,BN$5:BN$18)</f>
        <v>0</v>
      </c>
      <c r="BO25" s="61">
        <f>SUMIF($C$5:$C$18,$BL25,BO$5:BO$18)</f>
        <v>1</v>
      </c>
      <c r="BP25" s="61">
        <f>SUMIF($C$5:$C$18,$BL25,BP$5:BP$18)</f>
        <v>0</v>
      </c>
      <c r="BQ25" s="61">
        <f>SUMIF($C$5:$C$18,$BL25,BQ$5:BQ$18)*BQ$16</f>
        <v>0</v>
      </c>
      <c r="BR25" s="61">
        <f>SUMIF($C$5:$C$18,$BL25,BR$5:BR$18)*BR$16</f>
        <v>0</v>
      </c>
      <c r="BS25" s="61">
        <f>SUMIF($C$5:$C$18,$BL25,BS$5:BS$18)*BS$16</f>
        <v>10.144</v>
      </c>
      <c r="BT25" s="61">
        <f>SUMIF($C$5:$C$18,$BL25,BT$5:BT$18)*BT$16</f>
        <v>0</v>
      </c>
      <c r="BU25" s="61">
        <f t="shared" si="25"/>
        <v>6.9</v>
      </c>
      <c r="BV25" s="61">
        <f t="shared" si="26"/>
        <v>13.655244755244755</v>
      </c>
      <c r="BW25" s="61">
        <f t="shared" si="27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>SUMIF($C$5:$C$18,$C26,$Y$5:$Y$18)/$G$2</f>
        <v>0</v>
      </c>
      <c r="Z26" s="55">
        <f>SUMIF($C$5:$C$18,$C26,$Z$5:$Z$18)/$G$2</f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28">SUM(BM22:BM26)</f>
        <v>10.71</v>
      </c>
      <c r="BN27" s="66">
        <f t="shared" si="28"/>
        <v>12.36</v>
      </c>
      <c r="BO27" s="66">
        <f t="shared" si="28"/>
        <v>3.8600000000000003</v>
      </c>
      <c r="BP27" s="66">
        <f t="shared" si="28"/>
        <v>0</v>
      </c>
      <c r="BQ27" s="66">
        <f t="shared" si="28"/>
        <v>35.713999999999999</v>
      </c>
      <c r="BR27" s="66">
        <f t="shared" si="28"/>
        <v>50.92</v>
      </c>
      <c r="BS27" s="66">
        <f t="shared" si="28"/>
        <v>42.564</v>
      </c>
      <c r="BT27" s="66">
        <f t="shared" si="28"/>
        <v>0</v>
      </c>
      <c r="BU27" s="66">
        <f t="shared" si="28"/>
        <v>57.2</v>
      </c>
      <c r="BV27" s="66">
        <f t="shared" si="28"/>
        <v>113.19999999999999</v>
      </c>
      <c r="BW27" s="66">
        <f t="shared" si="28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29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29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29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  <row r="46" spans="9:68" x14ac:dyDescent="0.25">
      <c r="V46" t="s">
        <v>130</v>
      </c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44" priority="2" operator="lessThan">
      <formula>0.03</formula>
    </cfRule>
  </conditionalFormatting>
  <conditionalFormatting sqref="I23:I28">
    <cfRule type="cellIs" dxfId="43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7"/>
  <sheetViews>
    <sheetView zoomScale="70" zoomScaleNormal="70" workbookViewId="0">
      <pane xSplit="2" ySplit="4" topLeftCell="BM17" activePane="bottomRight" state="frozen"/>
      <selection activeCell="X55" sqref="X55"/>
      <selection pane="topRight" activeCell="X55" sqref="X55"/>
      <selection pane="bottomLeft" activeCell="X55" sqref="X55"/>
      <selection pane="bottomRight" activeCell="BR30" sqref="BR30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133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Tabelle5121824712101[[#This Row],[Height]]*Tabelle5121824712101[[#This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Tabelle5121824712101[[#This Row],[Height2]]*Tabelle5121824712101[[#This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(1-$BQ$16)*Tabelle2915214973[[#This Row],[North2]]+(1-$BR$16)*Tabelle2915214973[[#This Row],[East2]]+(1-$BS$16)*Tabelle2915214973[[#This Row],[South2]]+(1-$BT$16)*Tabelle2915214973[[#This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IF(Tabelle1814203897[[#This Row],[(f)loor/(c )eiling]]="c",Tabelle1814203897[[#This Row],[Total Area size '[m^2']]],0)</f>
        <v>45.6</v>
      </c>
      <c r="Z5" s="42">
        <f>IF(Tabelle1814203897[[#This Row],[(f)loor/(c )eiling]]="f",Tabelle1814203897[[#This Row],[Total Area size '[m^2']]],0)</f>
        <v>0</v>
      </c>
      <c r="AA5" s="5"/>
      <c r="AB5" s="2">
        <v>0</v>
      </c>
      <c r="AC5" s="2">
        <v>1</v>
      </c>
      <c r="AD5" s="2">
        <v>0</v>
      </c>
      <c r="AE5" s="2">
        <v>0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0</v>
      </c>
      <c r="AK5" s="2">
        <v>1</v>
      </c>
      <c r="AL5" s="2">
        <v>0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0</v>
      </c>
      <c r="AQ5" s="2">
        <v>0</v>
      </c>
      <c r="AR5" s="2">
        <v>0</v>
      </c>
      <c r="AS5" s="2">
        <v>1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Tabelle310162251099[[#This Row],[North]]*$AH5+AK5*$AO5+AR5*$AV5+AY5*$BC5+BF5*$BJ5</f>
        <v>8.7100000000000009</v>
      </c>
      <c r="BN5" s="2">
        <f t="shared" ref="BN5:BN13" si="12">AC5*$AH5+AJ5*$AO5+AQ5*$AV5+AX5*$BC5+BE5*$BJ5</f>
        <v>5.16</v>
      </c>
      <c r="BO5" s="2">
        <f t="shared" ref="BO5:BO13" si="13">AB5*$AH5+AI5*$AO5+AP5*$AV5+AW5*$BC5+BD5*$BJ5</f>
        <v>0</v>
      </c>
      <c r="BP5" s="2">
        <f t="shared" ref="BP5:BP13" si="14">AE5*$AH5+AL5*$AO5+AS5*$AV5+AZ5*$BC5+BG5*$BJ5</f>
        <v>0</v>
      </c>
      <c r="BQ5" s="6">
        <f>Tabelle310162251099[[#This Row],[North]]*$AF5*$AG5+AK5*$AM5*$AN5+AR5*$AT5*$AU5+AY5*$BA5*$BB5+BF5*$BH5*$BI5-BM5</f>
        <v>14.501999999999995</v>
      </c>
      <c r="BR5" s="2">
        <f t="shared" ref="BR5:BR13" si="15">AC5*$AF5*$AG5+AJ5*$AM5*$AN5+AQ5*$AT5*$AU5+AX5*$BA5*$BB5+BE5*$BH5*$BI5-BN5</f>
        <v>15.700000000000003</v>
      </c>
      <c r="BS5" s="2">
        <f t="shared" ref="BS5:BS13" si="16">AB5*$AF5*$AG5+AI5*$AM5*$AN5+AP5*$AT5*$AU5+AW5*$BA5*$BB5+BD5*$BH5*$BI5-BO5</f>
        <v>0</v>
      </c>
      <c r="BT5" s="7">
        <f t="shared" ref="BT5:BT13" si="17">AE5*$AF5*$AG5+AL5*$AM5*$AN5+AS5*$AT5*$AU5+AZ5*$BA5*$BB5+BG5*$BH5*$BI5-BP5</f>
        <v>14.027999999999999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Tabelle5121824712101[[#This Row],[Height]]*Tabelle5121824712101[[#This Row],[Length]]</f>
        <v>3.9199999999999995</v>
      </c>
      <c r="R6" s="42">
        <f t="shared" si="1"/>
        <v>2.8</v>
      </c>
      <c r="S6" s="3">
        <v>3.26</v>
      </c>
      <c r="T6" s="40">
        <f>Tabelle5121824712101[[#This Row],[Height2]]*Tabelle5121824712101[[#This Row],[Length3]]</f>
        <v>9.1279999999999983</v>
      </c>
      <c r="U6" s="42">
        <f t="shared" si="3"/>
        <v>2.8</v>
      </c>
      <c r="V6" s="3">
        <v>0</v>
      </c>
      <c r="W6" s="3">
        <f>(1-$BQ$16)*Tabelle2915214973[[#This Row],[North2]]+(1-$BR$16)*Tabelle2915214973[[#This Row],[East2]]+(1-$BS$16)*Tabelle2915214973[[#This Row],[South2]]+(1-$BT$16)*Tabelle2915214973[[#This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IF(Tabelle1814203897[[#This Row],[(f)loor/(c )eiling]]="c",Tabelle1814203897[[#This Row],[Total Area size '[m^2']]],0)</f>
        <v>12.7</v>
      </c>
      <c r="Z6" s="42">
        <f>IF(Tabelle1814203897[[#This Row],[(f)loor/(c )eiling]]="f",Tabelle1814203897[[#This Row],[Total Area size '[m^2']]],0)</f>
        <v>0</v>
      </c>
      <c r="AA6" s="5"/>
      <c r="AB6" s="2">
        <v>0</v>
      </c>
      <c r="AC6" s="2">
        <v>1</v>
      </c>
      <c r="AD6" s="2">
        <v>0</v>
      </c>
      <c r="AE6" s="2">
        <v>0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1</v>
      </c>
      <c r="AJ6" s="3">
        <v>0</v>
      </c>
      <c r="AK6" s="2">
        <v>0</v>
      </c>
      <c r="AL6" s="2">
        <v>0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Tabelle310162251099[[#This Row],[North]]*$AH6+AK6*$AO6+AR6*$AV6+AY6*$BC6+BF6*$BJ6</f>
        <v>0</v>
      </c>
      <c r="BN6" s="2">
        <f t="shared" si="12"/>
        <v>1.44</v>
      </c>
      <c r="BO6" s="2">
        <f t="shared" si="13"/>
        <v>2.2200000000000002</v>
      </c>
      <c r="BP6" s="2">
        <f t="shared" si="14"/>
        <v>0</v>
      </c>
      <c r="BQ6" s="6">
        <f>Tabelle310162251099[[#This Row],[North]]*$AF6*$AG6+AK6*$AM6*$AN6+AR6*$AT6*$AU6+AY6*$BA6*$BB6+BF6*$BH6*$BI6-BM6</f>
        <v>0</v>
      </c>
      <c r="BR6" s="2">
        <f t="shared" si="15"/>
        <v>9.34</v>
      </c>
      <c r="BS6" s="2">
        <f t="shared" si="16"/>
        <v>10.211999999999998</v>
      </c>
      <c r="BT6" s="7">
        <f t="shared" si="17"/>
        <v>0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Tabelle5121824712101[[#This Row],[Height]]*Tabelle5121824712101[[#This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Tabelle5121824712101[[#This Row],[Height2]]*Tabelle5121824712101[[#This Row],[Length3]]</f>
        <v>3.78</v>
      </c>
      <c r="U7" s="42">
        <f t="shared" si="3"/>
        <v>2.8</v>
      </c>
      <c r="V7" s="3">
        <v>0</v>
      </c>
      <c r="W7" s="3">
        <f>(1-$BQ$16)*Tabelle2915214973[[#This Row],[North2]]+(1-$BR$16)*Tabelle2915214973[[#This Row],[East2]]+(1-$BS$16)*Tabelle2915214973[[#This Row],[South2]]+(1-$BT$16)*Tabelle2915214973[[#This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IF(Tabelle1814203897[[#This Row],[(f)loor/(c )eiling]]="c",Tabelle1814203897[[#This Row],[Total Area size '[m^2']]],0)</f>
        <v>0</v>
      </c>
      <c r="Z7" s="42">
        <f>IF(Tabelle1814203897[[#This Row],[(f)loor/(c )eiling]]="f",Tabelle1814203897[[#This Row],[Total Area size '[m^2']]],0)</f>
        <v>12.5</v>
      </c>
      <c r="AA7" s="5"/>
      <c r="AB7" s="2">
        <v>0</v>
      </c>
      <c r="AC7" s="2">
        <v>1</v>
      </c>
      <c r="AD7" s="2">
        <v>0</v>
      </c>
      <c r="AE7" s="2">
        <v>0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1</v>
      </c>
      <c r="AJ7" s="2">
        <v>0</v>
      </c>
      <c r="AK7" s="2">
        <v>0</v>
      </c>
      <c r="AL7" s="2">
        <v>0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Tabelle310162251099[[#This Row],[North]]*$AH7+AK7*$AO7+AR7*$AV7+AY7*$BC7+BF7*$BJ7</f>
        <v>0</v>
      </c>
      <c r="BN7" s="2">
        <f t="shared" si="12"/>
        <v>2.88</v>
      </c>
      <c r="BO7" s="2">
        <f t="shared" si="13"/>
        <v>0</v>
      </c>
      <c r="BP7" s="2">
        <f t="shared" si="14"/>
        <v>0</v>
      </c>
      <c r="BQ7" s="6">
        <f>Tabelle310162251099[[#This Row],[North]]*$AF7*$AG7+AK7*$AM7*$AN7+AR7*$AT7*$AU7+AY7*$BA7*$BB7+BF7*$BH7*$BI7-BM7</f>
        <v>0</v>
      </c>
      <c r="BR7" s="2">
        <f t="shared" si="15"/>
        <v>10.98</v>
      </c>
      <c r="BS7" s="2">
        <f t="shared" si="16"/>
        <v>12.068000000000001</v>
      </c>
      <c r="BT7" s="7">
        <f t="shared" si="17"/>
        <v>0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Tabelle5121824712101[[#This Row],[Height]]*Tabelle5121824712101[[#This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Tabelle5121824712101[[#This Row],[Height2]]*Tabelle5121824712101[[#This Row],[Length3]]</f>
        <v>3.78</v>
      </c>
      <c r="U8" s="42">
        <f t="shared" si="3"/>
        <v>2.8</v>
      </c>
      <c r="V8" s="3">
        <v>0</v>
      </c>
      <c r="W8" s="3">
        <f>(1-$BQ$16)*Tabelle2915214973[[#This Row],[North2]]+(1-$BR$16)*Tabelle2915214973[[#This Row],[East2]]+(1-$BS$16)*Tabelle2915214973[[#This Row],[South2]]+(1-$BT$16)*Tabelle2915214973[[#This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IF(Tabelle1814203897[[#This Row],[(f)loor/(c )eiling]]="c",Tabelle1814203897[[#This Row],[Total Area size '[m^2']]],0)</f>
        <v>0</v>
      </c>
      <c r="Z8" s="42">
        <f>IF(Tabelle1814203897[[#This Row],[(f)loor/(c )eiling]]="f",Tabelle1814203897[[#This Row],[Total Area size '[m^2']]],0)</f>
        <v>18</v>
      </c>
      <c r="AA8" s="5"/>
      <c r="AB8" s="2">
        <v>0</v>
      </c>
      <c r="AC8" s="2">
        <v>1</v>
      </c>
      <c r="AD8" s="2">
        <v>0</v>
      </c>
      <c r="AE8" s="2">
        <v>0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0</v>
      </c>
      <c r="AK8" s="2">
        <v>1</v>
      </c>
      <c r="AL8" s="2">
        <v>0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Tabelle310162251099[[#This Row],[North]]*$AH8+AK8*$AO8+AR8*$AV8+AY8*$BC8+BF8*$BJ8</f>
        <v>0</v>
      </c>
      <c r="BN8" s="2">
        <f t="shared" si="12"/>
        <v>2.88</v>
      </c>
      <c r="BO8" s="2">
        <f t="shared" si="13"/>
        <v>0</v>
      </c>
      <c r="BP8" s="2">
        <f t="shared" si="14"/>
        <v>0</v>
      </c>
      <c r="BQ8" s="6">
        <f>Tabelle310162251099[[#This Row],[North]]*$AF8*$AG8+AK8*$AM8*$AN8+AR8*$AT8*$AU8+AY8*$BA8*$BB8+BF8*$BH8*$BI8-BM8</f>
        <v>12.068000000000001</v>
      </c>
      <c r="BR8" s="2">
        <f t="shared" si="15"/>
        <v>14.899999999999999</v>
      </c>
      <c r="BS8" s="2">
        <f t="shared" si="16"/>
        <v>0</v>
      </c>
      <c r="BT8" s="7">
        <f t="shared" si="17"/>
        <v>0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Tabelle5121824712101[[#This Row],[Height]]*Tabelle5121824712101[[#This Row],[Length]]</f>
        <v>10.555999999999999</v>
      </c>
      <c r="R9" s="42">
        <f t="shared" si="1"/>
        <v>2.8</v>
      </c>
      <c r="S9" s="3">
        <v>3.75</v>
      </c>
      <c r="T9" s="40">
        <f>Tabelle5121824712101[[#This Row],[Height2]]*Tabelle5121824712101[[#This Row],[Length3]]</f>
        <v>10.5</v>
      </c>
      <c r="U9" s="42">
        <f t="shared" si="3"/>
        <v>2.8</v>
      </c>
      <c r="V9" s="3">
        <v>0</v>
      </c>
      <c r="W9" s="3">
        <f>(1-$BQ$16)*Tabelle2915214973[[#This Row],[North2]]+(1-$BR$16)*Tabelle2915214973[[#This Row],[East2]]+(1-$BS$16)*Tabelle2915214973[[#This Row],[South2]]+(1-$BT$16)*Tabelle2915214973[[#This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IF(Tabelle1814203897[[#This Row],[(f)loor/(c )eiling]]="c",Tabelle1814203897[[#This Row],[Total Area size '[m^2']]],0)</f>
        <v>0</v>
      </c>
      <c r="Z9" s="42">
        <f>IF(Tabelle1814203897[[#This Row],[(f)loor/(c )eiling]]="f",Tabelle1814203897[[#This Row],[Total Area size '[m^2']]],0)</f>
        <v>12.1</v>
      </c>
      <c r="AA9" s="5"/>
      <c r="AB9" s="2">
        <v>0</v>
      </c>
      <c r="AC9" s="2">
        <v>0</v>
      </c>
      <c r="AD9" s="2">
        <v>1</v>
      </c>
      <c r="AE9" s="2">
        <v>0</v>
      </c>
      <c r="AF9" s="42">
        <f t="shared" si="4"/>
        <v>2.8</v>
      </c>
      <c r="AG9" s="2">
        <f>0.07+3.77+0.14</f>
        <v>3.98</v>
      </c>
      <c r="AH9" s="44">
        <v>2</v>
      </c>
      <c r="AI9" s="6">
        <v>0</v>
      </c>
      <c r="AJ9" s="2">
        <v>0</v>
      </c>
      <c r="AK9" s="2">
        <v>0</v>
      </c>
      <c r="AL9" s="2">
        <v>1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Tabelle310162251099[[#This Row],[North]]*$AH9+AK9*$AO9+AR9*$AV9+AY9*$BC9+BF9*$BJ9</f>
        <v>2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6">
        <f>Tabelle310162251099[[#This Row],[North]]*$AF9*$AG9+AK9*$AM9*$AN9+AR9*$AT9*$AU9+AY9*$BA9*$BB9+BF9*$BH9*$BI9-BM9</f>
        <v>9.1440000000000001</v>
      </c>
      <c r="BR9" s="2">
        <f t="shared" si="15"/>
        <v>0</v>
      </c>
      <c r="BS9" s="2">
        <f t="shared" si="16"/>
        <v>0</v>
      </c>
      <c r="BT9" s="7">
        <f t="shared" si="17"/>
        <v>14.028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Tabelle5121824712101[[#This Row],[Height]]*Tabelle5121824712101[[#This Row],[Length]]</f>
        <v>6.6639999999999997</v>
      </c>
      <c r="R10" s="42">
        <f t="shared" si="1"/>
        <v>2.8</v>
      </c>
      <c r="S10" s="3">
        <v>3.75</v>
      </c>
      <c r="T10" s="40">
        <f>Tabelle5121824712101[[#This Row],[Height2]]*Tabelle5121824712101[[#This Row],[Length3]]</f>
        <v>10.5</v>
      </c>
      <c r="U10" s="42">
        <f t="shared" si="3"/>
        <v>2.8</v>
      </c>
      <c r="V10" s="3">
        <v>0</v>
      </c>
      <c r="W10" s="3">
        <f>(1-$BQ$16)*Tabelle2915214973[[#This Row],[North2]]+(1-$BR$16)*Tabelle2915214973[[#This Row],[East2]]+(1-$BS$16)*Tabelle2915214973[[#This Row],[South2]]+(1-$BT$16)*Tabelle2915214973[[#This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IF(Tabelle1814203897[[#This Row],[(f)loor/(c )eiling]]="c",Tabelle1814203897[[#This Row],[Total Area size '[m^2']]],0)</f>
        <v>0</v>
      </c>
      <c r="Z10" s="42">
        <f>IF(Tabelle1814203897[[#This Row],[(f)loor/(c )eiling]]="f",Tabelle1814203897[[#This Row],[Total Area size '[m^2']]],0)</f>
        <v>6.9</v>
      </c>
      <c r="AA10" s="5"/>
      <c r="AB10" s="2">
        <v>1</v>
      </c>
      <c r="AC10" s="2">
        <v>0</v>
      </c>
      <c r="AD10" s="2">
        <v>0</v>
      </c>
      <c r="AE10" s="2">
        <v>0</v>
      </c>
      <c r="AF10" s="42">
        <f t="shared" si="4"/>
        <v>2.8</v>
      </c>
      <c r="AG10" s="2">
        <f>0.14+3.77+0.07</f>
        <v>3.98</v>
      </c>
      <c r="AH10" s="44">
        <v>1</v>
      </c>
      <c r="AI10" s="6">
        <v>0</v>
      </c>
      <c r="AJ10" s="2">
        <v>0</v>
      </c>
      <c r="AK10" s="3">
        <v>0</v>
      </c>
      <c r="AL10" s="2">
        <v>1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Tabelle310162251099[[#This Row],[North]]*$AH10+AK10*$AO10+AR10*$AV10+AY10*$BC10+BF10*$BJ10</f>
        <v>0</v>
      </c>
      <c r="BN10" s="2">
        <f t="shared" si="12"/>
        <v>0</v>
      </c>
      <c r="BO10" s="2">
        <f t="shared" si="13"/>
        <v>1</v>
      </c>
      <c r="BP10" s="2">
        <f t="shared" si="14"/>
        <v>0</v>
      </c>
      <c r="BQ10" s="6">
        <f>Tabelle310162251099[[#This Row],[North]]*$AF10*$AG10+AK10*$AM10*$AN10+AR10*$AT10*$AU10+AY10*$BA10*$BB10+BF10*$BH10*$BI10-BM10</f>
        <v>0</v>
      </c>
      <c r="BR10" s="2">
        <f t="shared" si="15"/>
        <v>0</v>
      </c>
      <c r="BS10" s="2">
        <f t="shared" si="16"/>
        <v>10.144</v>
      </c>
      <c r="BT10" s="7">
        <f t="shared" si="17"/>
        <v>10.135999999999999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Tabelle5121824712101[[#This Row],[Height]]*Tabelle5121824712101[[#This Row],[Length]]</f>
        <v>8.1760000000000002</v>
      </c>
      <c r="R11" s="42">
        <f t="shared" si="1"/>
        <v>2.8</v>
      </c>
      <c r="S11" s="3">
        <v>0</v>
      </c>
      <c r="T11" s="40">
        <f>Tabelle5121824712101[[#This Row],[Height2]]*Tabelle5121824712101[[#This Row],[Length3]]</f>
        <v>0</v>
      </c>
      <c r="U11" s="42">
        <f t="shared" si="3"/>
        <v>2.8</v>
      </c>
      <c r="V11" s="3">
        <v>0</v>
      </c>
      <c r="W11" s="3">
        <f>(1-$BQ$16)*Tabelle2915214973[[#This Row],[North2]]+(1-$BR$16)*Tabelle2915214973[[#This Row],[East2]]+(1-$BS$16)*Tabelle2915214973[[#This Row],[South2]]+(1-$BT$16)*Tabelle2915214973[[#This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IF(Tabelle1814203897[[#This Row],[(f)loor/(c )eiling]]="c",Tabelle1814203897[[#This Row],[Total Area size '[m^2']]],0)</f>
        <v>1.8</v>
      </c>
      <c r="Z11" s="42">
        <f>IF(Tabelle1814203897[[#This Row],[(f)loor/(c )eiling]]="f",Tabelle1814203897[[#This Row],[Total Area size '[m^2']]],0)</f>
        <v>0</v>
      </c>
      <c r="AA11" s="5"/>
      <c r="AB11" s="2">
        <v>1</v>
      </c>
      <c r="AC11" s="2">
        <v>0</v>
      </c>
      <c r="AD11" s="2">
        <v>0</v>
      </c>
      <c r="AE11" s="2">
        <v>0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0</v>
      </c>
      <c r="AJ11" s="2">
        <v>0</v>
      </c>
      <c r="AK11" s="2">
        <v>0</v>
      </c>
      <c r="AL11" s="2">
        <v>1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Tabelle310162251099[[#This Row],[North]]*$AH11+AK11*$AO11+AR11*$AV11+AY11*$BC11+BF11*$BJ11</f>
        <v>0</v>
      </c>
      <c r="BN11" s="2">
        <f t="shared" si="12"/>
        <v>0</v>
      </c>
      <c r="BO11" s="2">
        <f t="shared" si="13"/>
        <v>0.64</v>
      </c>
      <c r="BP11" s="2">
        <f t="shared" si="14"/>
        <v>0</v>
      </c>
      <c r="BQ11" s="6">
        <f>Tabelle310162251099[[#This Row],[North]]*$AF11*$AG11+AK11*$AM11*$AN11+AR11*$AT11*$AU11+AY11*$BA11*$BB11+BF11*$BH11*$BI11-BM11</f>
        <v>0</v>
      </c>
      <c r="BR11" s="2">
        <f t="shared" si="15"/>
        <v>0</v>
      </c>
      <c r="BS11" s="2">
        <f t="shared" si="16"/>
        <v>5.5200000000000005</v>
      </c>
      <c r="BT11" s="7">
        <f t="shared" si="17"/>
        <v>3.5419999999999994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Tabelle5121824712101[[#This Row],[Height]]*Tabelle5121824712101[[#This Row],[Length]]</f>
        <v>14.391999999999998</v>
      </c>
      <c r="R12" s="42">
        <f t="shared" si="1"/>
        <v>2.8</v>
      </c>
      <c r="S12" s="3">
        <v>0</v>
      </c>
      <c r="T12" s="40">
        <f>Tabelle5121824712101[[#This Row],[Height2]]*Tabelle5121824712101[[#This Row],[Length3]]</f>
        <v>0</v>
      </c>
      <c r="U12" s="42">
        <f t="shared" si="3"/>
        <v>2.8</v>
      </c>
      <c r="V12" s="3">
        <v>0</v>
      </c>
      <c r="W12" s="3">
        <f>(1-$BQ$16)*Tabelle2915214973[[#This Row],[North2]]+(1-$BR$16)*Tabelle2915214973[[#This Row],[East2]]+(1-$BS$16)*Tabelle2915214973[[#This Row],[South2]]+(1-$BT$16)*Tabelle2915214973[[#This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IF(Tabelle1814203897[[#This Row],[(f)loor/(c )eiling]]="c",Tabelle1814203897[[#This Row],[Total Area size '[m^2']]],0)</f>
        <v>12</v>
      </c>
      <c r="Z12" s="42">
        <f>IF(Tabelle1814203897[[#This Row],[(f)loor/(c )eiling]]="f",Tabelle1814203897[[#This Row],[Total Area size '[m^2']]],0)</f>
        <v>0</v>
      </c>
      <c r="AA12" s="5"/>
      <c r="AB12" s="2">
        <v>1</v>
      </c>
      <c r="AC12" s="2">
        <v>0</v>
      </c>
      <c r="AD12" s="2">
        <v>0</v>
      </c>
      <c r="AE12" s="2">
        <v>0</v>
      </c>
      <c r="AF12" s="42">
        <f t="shared" si="4"/>
        <v>2.8</v>
      </c>
      <c r="AG12" s="2">
        <f>0.9+0.75</f>
        <v>1.65</v>
      </c>
      <c r="AH12" s="44">
        <v>0</v>
      </c>
      <c r="AI12" s="6">
        <v>0</v>
      </c>
      <c r="AJ12" s="2">
        <v>0</v>
      </c>
      <c r="AK12" s="2">
        <v>0</v>
      </c>
      <c r="AL12" s="2">
        <v>1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Tabelle310162251099[[#This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Tabelle310162251099[[#This Row],[North]]*$AF12*$AG12+AK12*$AM12*$AN12+AR12*$AT12*$AU12+AY12*$BA12*$BB12+BF12*$BH12*$BI12-BM12</f>
        <v>0</v>
      </c>
      <c r="BR12" s="2">
        <f t="shared" si="15"/>
        <v>0</v>
      </c>
      <c r="BS12" s="2">
        <f t="shared" si="16"/>
        <v>4.6199999999999992</v>
      </c>
      <c r="BT12" s="7">
        <f t="shared" si="17"/>
        <v>7.4759999999999991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Tabelle5121824712101[[#This Row],[Height]]*Tabelle5121824712101[[#This Row],[Length]]</f>
        <v>17.64</v>
      </c>
      <c r="R13" s="42">
        <f t="shared" si="1"/>
        <v>2.8</v>
      </c>
      <c r="S13" s="33">
        <v>0</v>
      </c>
      <c r="T13" s="40">
        <f>Tabelle5121824712101[[#This Row],[Height2]]*Tabelle5121824712101[[#This Row],[Length3]]</f>
        <v>0</v>
      </c>
      <c r="U13" s="42">
        <f t="shared" si="3"/>
        <v>2.8</v>
      </c>
      <c r="V13" s="3">
        <v>0</v>
      </c>
      <c r="W13" s="3">
        <f>(1-$BQ$16)*Tabelle2915214973[[#This Row],[North2]]+(1-$BR$16)*Tabelle2915214973[[#This Row],[East2]]+(1-$BS$16)*Tabelle2915214973[[#This Row],[South2]]+(1-$BT$16)*Tabelle2915214973[[#This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IF(Tabelle1814203897[[#This Row],[(f)loor/(c )eiling]]="c",Tabelle1814203897[[#This Row],[Total Area size '[m^2']]],0)</f>
        <v>4.5</v>
      </c>
      <c r="Z13" s="42">
        <f>IF(Tabelle1814203897[[#This Row],[(f)loor/(c )eiling]]="f",Tabelle1814203897[[#This Row],[Total Area size '[m^2']]],0)</f>
        <v>0</v>
      </c>
      <c r="AA13" s="5"/>
      <c r="AB13" s="2">
        <v>0</v>
      </c>
      <c r="AC13" s="2">
        <v>0</v>
      </c>
      <c r="AD13" s="2">
        <v>0</v>
      </c>
      <c r="AE13" s="2">
        <v>1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Tabelle310162251099[[#This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Tabelle310162251099[[#This Row],[North]]*$AF13*$AG13+AK13*$AM13*$AN13+AR13*$AT13*$AU13+AY13*$BA13*$BB13+BF13*$BH13*$BI13-BM13</f>
        <v>0</v>
      </c>
      <c r="BR13" s="2">
        <f t="shared" si="15"/>
        <v>0</v>
      </c>
      <c r="BS13" s="2">
        <f t="shared" si="16"/>
        <v>0</v>
      </c>
      <c r="BT13" s="7">
        <f t="shared" si="17"/>
        <v>6.5940000000000012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Tabelle5121824712101[[#This Row],[Height]]*Tabelle5121824712101[[#This Row],[Length]]</f>
        <v>0</v>
      </c>
      <c r="R14" s="42">
        <f t="shared" si="1"/>
        <v>2.8</v>
      </c>
      <c r="S14" s="3">
        <v>0</v>
      </c>
      <c r="T14" s="40">
        <f>Tabelle5121824712101[[#This Row],[Height2]]*Tabelle5121824712101[[#This Row],[Length3]]</f>
        <v>0</v>
      </c>
      <c r="U14" s="42">
        <f t="shared" si="3"/>
        <v>2.8</v>
      </c>
      <c r="V14" s="3">
        <v>0</v>
      </c>
      <c r="W14" s="3">
        <f>(1-$BQ$16)*Tabelle2915214973[[#This Row],[North2]]+(1-$BR$16)*Tabelle2915214973[[#This Row],[East2]]+(1-$BS$16)*Tabelle2915214973[[#This Row],[South2]]+(1-$BT$16)*Tabelle2915214973[[#This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IF(Tabelle1814203897[[#This Row],[(f)loor/(c )eiling]]="c",Tabelle1814203897[[#This Row],[Total Area size '[m^2']]],0)</f>
        <v>0</v>
      </c>
      <c r="Z14" s="42">
        <f>IF(Tabelle1814203897[[#This Row],[(f)loor/(c )eiling]]="f",Tabelle1814203897[[#This Row],[Total Area size '[m^2']]],0)</f>
        <v>7.7</v>
      </c>
      <c r="AA14" s="5"/>
      <c r="AB14" s="2">
        <v>0</v>
      </c>
      <c r="AC14" s="2">
        <v>0</v>
      </c>
      <c r="AD14" s="2">
        <v>0</v>
      </c>
      <c r="AE14" s="2">
        <v>1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Tabelle310162251099[[#This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Tabelle310162251099[[#This Row],[North]]*$AF14*$AG14+AK14*$AM14*$AN14+AR14*$AT14*$AU14+AY14*$BA14*$BB14+BF14*$BH14*$BI14-BM14</f>
        <v>0</v>
      </c>
      <c r="BR14" s="2">
        <f t="shared" ref="BR14" si="21">AC14*$AF14*$AG14+AJ14*$AM14*$AN14+AQ14*$AT14*$AU14+AX14*$BA14*$BB14+BE14*$BH14*$BI14-BN14</f>
        <v>0</v>
      </c>
      <c r="BS14" s="2">
        <f t="shared" ref="BS14" si="22">AB14*$AF14*$AG14+AI14*$AM14*$AN14+AP14*$AT14*$AU14+AW14*$BA14*$BB14+BD14*$BH14*$BI14-BO14</f>
        <v>0</v>
      </c>
      <c r="BT14" s="7">
        <f t="shared" ref="BT14" si="23">AE14*$AF14*$AG14+AL14*$AM14*$AN14+AS14*$AT14*$AU14+AZ14*$BA14*$BB14+BG14*$BH14*$BI14-BP14</f>
        <v>7.4759999999999991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/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24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/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1</v>
      </c>
      <c r="BR16" s="2">
        <v>1</v>
      </c>
      <c r="BS16" s="2">
        <v>1</v>
      </c>
      <c r="BT16" s="2">
        <v>0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24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/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/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8.7100000000000009</v>
      </c>
      <c r="BN22" s="61">
        <f t="shared" ref="BN22:BP25" si="25">SUMIF($C$5:$C$18,$BL22,BN$5:BN$18)</f>
        <v>6.6</v>
      </c>
      <c r="BO22" s="61">
        <f t="shared" si="25"/>
        <v>2.2200000000000002</v>
      </c>
      <c r="BP22" s="61">
        <f t="shared" si="25"/>
        <v>0</v>
      </c>
      <c r="BQ22" s="61">
        <f t="shared" ref="BQ22:BT25" si="26">SUMIF($C$5:$C$18,$BL22,BQ$5:BQ$18)*BQ$16</f>
        <v>14.501999999999995</v>
      </c>
      <c r="BR22" s="61">
        <f t="shared" si="26"/>
        <v>25.040000000000003</v>
      </c>
      <c r="BS22" s="61">
        <f t="shared" si="26"/>
        <v>10.211999999999998</v>
      </c>
      <c r="BT22" s="61">
        <f t="shared" si="26"/>
        <v>0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25"/>
        <v>0</v>
      </c>
      <c r="BO23" s="61">
        <f t="shared" si="25"/>
        <v>0.64</v>
      </c>
      <c r="BP23" s="61">
        <f t="shared" si="25"/>
        <v>0</v>
      </c>
      <c r="BQ23" s="61">
        <f t="shared" si="26"/>
        <v>0</v>
      </c>
      <c r="BR23" s="61">
        <f t="shared" si="26"/>
        <v>0</v>
      </c>
      <c r="BS23" s="61">
        <f t="shared" si="26"/>
        <v>10.14</v>
      </c>
      <c r="BT23" s="61">
        <f t="shared" si="26"/>
        <v>0</v>
      </c>
      <c r="BU23" s="61">
        <f t="shared" ref="BU23:BU25" si="27">SUMIF($C$5:$C$18,$BL23,BU$5:BU$18)</f>
        <v>7.7</v>
      </c>
      <c r="BV23" s="61">
        <f t="shared" ref="BV23:BV25" si="28">BU23*$BU$30</f>
        <v>15.238461538461538</v>
      </c>
      <c r="BW23" s="61">
        <f t="shared" ref="BW23:BW25" si="29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30">SUMIF($C$5:$C$18,$C24,$Y$5:$Y$18)/$G$2</f>
        <v>9.15</v>
      </c>
      <c r="Z24" s="55">
        <f t="shared" ref="Z24:Z26" si="31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2</v>
      </c>
      <c r="BN24" s="61">
        <f t="shared" si="25"/>
        <v>5.76</v>
      </c>
      <c r="BO24" s="61">
        <f t="shared" si="25"/>
        <v>0</v>
      </c>
      <c r="BP24" s="61">
        <f t="shared" si="25"/>
        <v>0</v>
      </c>
      <c r="BQ24" s="61">
        <f t="shared" si="26"/>
        <v>21.212000000000003</v>
      </c>
      <c r="BR24" s="61">
        <f t="shared" si="26"/>
        <v>25.88</v>
      </c>
      <c r="BS24" s="61">
        <f t="shared" si="26"/>
        <v>12.068000000000001</v>
      </c>
      <c r="BT24" s="61">
        <f t="shared" si="26"/>
        <v>0</v>
      </c>
      <c r="BU24" s="61">
        <f t="shared" si="27"/>
        <v>42.6</v>
      </c>
      <c r="BV24" s="61">
        <f t="shared" si="28"/>
        <v>84.306293706293701</v>
      </c>
      <c r="BW24" s="61">
        <f t="shared" si="29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30"/>
        <v>0</v>
      </c>
      <c r="Z25" s="55">
        <f t="shared" si="31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25"/>
        <v>0</v>
      </c>
      <c r="BO25" s="61">
        <f t="shared" si="25"/>
        <v>1</v>
      </c>
      <c r="BP25" s="61">
        <f t="shared" si="25"/>
        <v>0</v>
      </c>
      <c r="BQ25" s="61">
        <f t="shared" si="26"/>
        <v>0</v>
      </c>
      <c r="BR25" s="61">
        <f t="shared" si="26"/>
        <v>0</v>
      </c>
      <c r="BS25" s="61">
        <f t="shared" si="26"/>
        <v>10.144</v>
      </c>
      <c r="BT25" s="61">
        <f t="shared" si="26"/>
        <v>0</v>
      </c>
      <c r="BU25" s="61">
        <f t="shared" si="27"/>
        <v>6.9</v>
      </c>
      <c r="BV25" s="61">
        <f t="shared" si="28"/>
        <v>13.655244755244755</v>
      </c>
      <c r="BW25" s="61">
        <f t="shared" si="29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30"/>
        <v>0</v>
      </c>
      <c r="Z26" s="55">
        <f t="shared" si="31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32">SUM(BM22:BM26)</f>
        <v>10.71</v>
      </c>
      <c r="BN27" s="66">
        <f t="shared" si="32"/>
        <v>12.36</v>
      </c>
      <c r="BO27" s="66">
        <f t="shared" si="32"/>
        <v>3.8600000000000003</v>
      </c>
      <c r="BP27" s="66">
        <f t="shared" si="32"/>
        <v>0</v>
      </c>
      <c r="BQ27" s="66">
        <f t="shared" si="32"/>
        <v>35.713999999999999</v>
      </c>
      <c r="BR27" s="66">
        <f t="shared" si="32"/>
        <v>50.92</v>
      </c>
      <c r="BS27" s="66">
        <f t="shared" si="32"/>
        <v>42.564</v>
      </c>
      <c r="BT27" s="66">
        <f t="shared" si="32"/>
        <v>0</v>
      </c>
      <c r="BU27" s="66">
        <f t="shared" si="32"/>
        <v>57.2</v>
      </c>
      <c r="BV27" s="66">
        <f t="shared" si="32"/>
        <v>113.19999999999999</v>
      </c>
      <c r="BW27" s="66">
        <f t="shared" si="32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33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33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33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42" priority="2" operator="lessThan">
      <formula>0.03</formula>
    </cfRule>
  </conditionalFormatting>
  <conditionalFormatting sqref="I23:I28">
    <cfRule type="cellIs" dxfId="41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6"/>
  <sheetViews>
    <sheetView zoomScale="70" zoomScaleNormal="70" workbookViewId="0">
      <pane xSplit="2" ySplit="4" topLeftCell="BM15" activePane="bottomRight" state="frozen"/>
      <selection activeCell="X55" sqref="X55"/>
      <selection pane="topRight" activeCell="X55" sqref="X55"/>
      <selection pane="bottomLeft" activeCell="X55" sqref="X55"/>
      <selection pane="bottomRight" activeCell="BX1" sqref="BX1:BX1048576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132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Tabelle512182471276106[[#This Row],[Height]]*Tabelle512182471276106[[#This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Tabelle512182471276106[[#This Row],[Height2]]*Tabelle512182471276106[[#This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(1-$BQ$16)*Tabelle2915214973103[[#This Row],[North2]]+(1-$BR$16)*Tabelle2915214973103[[#This Row],[East2]]+(1-$BS$16)*Tabelle2915214973103[[#This Row],[South2]]+(1-$BT$16)*Tabelle2915214973103[[#This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IF(Tabelle1814203872102[[#This Row],[(f)loor/(c )eiling]]="c",Tabelle1814203872102[[#This Row],[Total Area size '[m^2']]],0)</f>
        <v>45.6</v>
      </c>
      <c r="Z5" s="42">
        <f>IF(Tabelle1814203872102[[#This Row],[(f)loor/(c )eiling]]="f",Tabelle1814203872102[[#This Row],[Total Area size '[m^2']]],0)</f>
        <v>0</v>
      </c>
      <c r="AA5" s="5"/>
      <c r="AB5" s="2">
        <v>0</v>
      </c>
      <c r="AC5" s="2">
        <v>0</v>
      </c>
      <c r="AD5" s="2">
        <v>0</v>
      </c>
      <c r="AE5" s="2">
        <v>1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0</v>
      </c>
      <c r="AK5" s="2">
        <v>1</v>
      </c>
      <c r="AL5" s="2">
        <v>0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0</v>
      </c>
      <c r="AQ5" s="2">
        <v>1</v>
      </c>
      <c r="AR5" s="2">
        <v>0</v>
      </c>
      <c r="AS5" s="2">
        <v>0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Tabelle310162251074104[[#This Row],[North]]*$AH5+AK5*$AO5+AR5*$AV5+AY5*$BC5+BF5*$BJ5</f>
        <v>8.7100000000000009</v>
      </c>
      <c r="BN5" s="2">
        <f t="shared" ref="BN5:BN13" si="12">AC5*$AH5+AJ5*$AO5+AQ5*$AV5+AX5*$BC5+BE5*$BJ5</f>
        <v>0</v>
      </c>
      <c r="BO5" s="2">
        <f t="shared" ref="BO5:BO13" si="13">AB5*$AH5+AI5*$AO5+AP5*$AV5+AW5*$BC5+BD5*$BJ5</f>
        <v>0</v>
      </c>
      <c r="BP5" s="2">
        <f t="shared" ref="BP5:BP13" si="14">AE5*$AH5+AL5*$AO5+AS5*$AV5+AZ5*$BC5+BG5*$BJ5</f>
        <v>5.16</v>
      </c>
      <c r="BQ5" s="6">
        <f>Tabelle310162251074104[[#This Row],[North]]*$AF5*$AG5+AK5*$AM5*$AN5+AR5*$AT5*$AU5+AY5*$BA5*$BB5+BF5*$BH5*$BI5-BM5</f>
        <v>14.501999999999995</v>
      </c>
      <c r="BR5" s="2">
        <f t="shared" ref="BR5:BR13" si="15">AC5*$AF5*$AG5+AJ5*$AM5*$AN5+AQ5*$AT5*$AU5+AX5*$BA5*$BB5+BE5*$BH5*$BI5-BN5</f>
        <v>14.027999999999999</v>
      </c>
      <c r="BS5" s="2">
        <f t="shared" ref="BS5:BS13" si="16">AB5*$AF5*$AG5+AI5*$AM5*$AN5+AP5*$AT5*$AU5+AW5*$BA5*$BB5+BD5*$BH5*$BI5-BO5</f>
        <v>0</v>
      </c>
      <c r="BT5" s="7">
        <f t="shared" ref="BT5:BT13" si="17">AE5*$AF5*$AG5+AL5*$AM5*$AN5+AS5*$AT5*$AU5+AZ5*$BA5*$BB5+BG5*$BH5*$BI5-BP5</f>
        <v>15.700000000000003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Tabelle512182471276106[[#This Row],[Height]]*Tabelle512182471276106[[#This Row],[Length]]</f>
        <v>3.9199999999999995</v>
      </c>
      <c r="R6" s="42">
        <f t="shared" si="1"/>
        <v>2.8</v>
      </c>
      <c r="S6" s="3">
        <v>3.26</v>
      </c>
      <c r="T6" s="40">
        <f>Tabelle512182471276106[[#This Row],[Height2]]*Tabelle512182471276106[[#This Row],[Length3]]</f>
        <v>9.1279999999999983</v>
      </c>
      <c r="U6" s="42">
        <f t="shared" si="3"/>
        <v>2.8</v>
      </c>
      <c r="V6" s="3">
        <v>0</v>
      </c>
      <c r="W6" s="3">
        <f>(1-$BQ$16)*Tabelle2915214973103[[#This Row],[North2]]+(1-$BR$16)*Tabelle2915214973103[[#This Row],[East2]]+(1-$BS$16)*Tabelle2915214973103[[#This Row],[South2]]+(1-$BT$16)*Tabelle2915214973103[[#This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IF(Tabelle1814203872102[[#This Row],[(f)loor/(c )eiling]]="c",Tabelle1814203872102[[#This Row],[Total Area size '[m^2']]],0)</f>
        <v>12.7</v>
      </c>
      <c r="Z6" s="42">
        <f>IF(Tabelle1814203872102[[#This Row],[(f)loor/(c )eiling]]="f",Tabelle1814203872102[[#This Row],[Total Area size '[m^2']]],0)</f>
        <v>0</v>
      </c>
      <c r="AA6" s="5"/>
      <c r="AB6" s="2">
        <v>0</v>
      </c>
      <c r="AC6" s="2">
        <v>0</v>
      </c>
      <c r="AD6" s="2">
        <v>0</v>
      </c>
      <c r="AE6" s="2">
        <v>1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1</v>
      </c>
      <c r="AJ6" s="3">
        <v>0</v>
      </c>
      <c r="AK6" s="2">
        <v>0</v>
      </c>
      <c r="AL6" s="2">
        <v>0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Tabelle310162251074104[[#This Row],[North]]*$AH6+AK6*$AO6+AR6*$AV6+AY6*$BC6+BF6*$BJ6</f>
        <v>0</v>
      </c>
      <c r="BN6" s="2">
        <f t="shared" si="12"/>
        <v>0</v>
      </c>
      <c r="BO6" s="2">
        <f t="shared" si="13"/>
        <v>2.2200000000000002</v>
      </c>
      <c r="BP6" s="2">
        <f t="shared" si="14"/>
        <v>1.44</v>
      </c>
      <c r="BQ6" s="6">
        <f>Tabelle310162251074104[[#This Row],[North]]*$AF6*$AG6+AK6*$AM6*$AN6+AR6*$AT6*$AU6+AY6*$BA6*$BB6+BF6*$BH6*$BI6-BM6</f>
        <v>0</v>
      </c>
      <c r="BR6" s="2">
        <f t="shared" si="15"/>
        <v>0</v>
      </c>
      <c r="BS6" s="2">
        <f t="shared" si="16"/>
        <v>10.211999999999998</v>
      </c>
      <c r="BT6" s="7">
        <f t="shared" si="17"/>
        <v>9.34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Tabelle512182471276106[[#This Row],[Height]]*Tabelle512182471276106[[#This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Tabelle512182471276106[[#This Row],[Height2]]*Tabelle512182471276106[[#This Row],[Length3]]</f>
        <v>3.78</v>
      </c>
      <c r="U7" s="42">
        <f t="shared" si="3"/>
        <v>2.8</v>
      </c>
      <c r="V7" s="3">
        <v>0</v>
      </c>
      <c r="W7" s="3">
        <f>(1-$BQ$16)*Tabelle2915214973103[[#This Row],[North2]]+(1-$BR$16)*Tabelle2915214973103[[#This Row],[East2]]+(1-$BS$16)*Tabelle2915214973103[[#This Row],[South2]]+(1-$BT$16)*Tabelle2915214973103[[#This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IF(Tabelle1814203872102[[#This Row],[(f)loor/(c )eiling]]="c",Tabelle1814203872102[[#This Row],[Total Area size '[m^2']]],0)</f>
        <v>0</v>
      </c>
      <c r="Z7" s="42">
        <f>IF(Tabelle1814203872102[[#This Row],[(f)loor/(c )eiling]]="f",Tabelle1814203872102[[#This Row],[Total Area size '[m^2']]],0)</f>
        <v>12.5</v>
      </c>
      <c r="AA7" s="5"/>
      <c r="AB7" s="2">
        <v>0</v>
      </c>
      <c r="AC7" s="2">
        <v>0</v>
      </c>
      <c r="AD7" s="2">
        <v>0</v>
      </c>
      <c r="AE7" s="2">
        <v>1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1</v>
      </c>
      <c r="AJ7" s="2">
        <v>0</v>
      </c>
      <c r="AK7" s="2">
        <v>0</v>
      </c>
      <c r="AL7" s="2">
        <v>0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Tabelle310162251074104[[#This Row],[North]]*$AH7+AK7*$AO7+AR7*$AV7+AY7*$BC7+BF7*$BJ7</f>
        <v>0</v>
      </c>
      <c r="BN7" s="2">
        <f t="shared" si="12"/>
        <v>0</v>
      </c>
      <c r="BO7" s="2">
        <f t="shared" si="13"/>
        <v>0</v>
      </c>
      <c r="BP7" s="2">
        <f t="shared" si="14"/>
        <v>2.88</v>
      </c>
      <c r="BQ7" s="6">
        <f>Tabelle310162251074104[[#This Row],[North]]*$AF7*$AG7+AK7*$AM7*$AN7+AR7*$AT7*$AU7+AY7*$BA7*$BB7+BF7*$BH7*$BI7-BM7</f>
        <v>0</v>
      </c>
      <c r="BR7" s="2">
        <f t="shared" si="15"/>
        <v>0</v>
      </c>
      <c r="BS7" s="2">
        <f t="shared" si="16"/>
        <v>12.068000000000001</v>
      </c>
      <c r="BT7" s="7">
        <f t="shared" si="17"/>
        <v>10.98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Tabelle512182471276106[[#This Row],[Height]]*Tabelle512182471276106[[#This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Tabelle512182471276106[[#This Row],[Height2]]*Tabelle512182471276106[[#This Row],[Length3]]</f>
        <v>3.78</v>
      </c>
      <c r="U8" s="42">
        <f t="shared" si="3"/>
        <v>2.8</v>
      </c>
      <c r="V8" s="3">
        <v>0</v>
      </c>
      <c r="W8" s="3">
        <f>(1-$BQ$16)*Tabelle2915214973103[[#This Row],[North2]]+(1-$BR$16)*Tabelle2915214973103[[#This Row],[East2]]+(1-$BS$16)*Tabelle2915214973103[[#This Row],[South2]]+(1-$BT$16)*Tabelle2915214973103[[#This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IF(Tabelle1814203872102[[#This Row],[(f)loor/(c )eiling]]="c",Tabelle1814203872102[[#This Row],[Total Area size '[m^2']]],0)</f>
        <v>0</v>
      </c>
      <c r="Z8" s="42">
        <f>IF(Tabelle1814203872102[[#This Row],[(f)loor/(c )eiling]]="f",Tabelle1814203872102[[#This Row],[Total Area size '[m^2']]],0)</f>
        <v>18</v>
      </c>
      <c r="AA8" s="5"/>
      <c r="AB8" s="2">
        <v>0</v>
      </c>
      <c r="AC8" s="2">
        <v>0</v>
      </c>
      <c r="AD8" s="2">
        <v>0</v>
      </c>
      <c r="AE8" s="2">
        <v>1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0</v>
      </c>
      <c r="AK8" s="2">
        <v>1</v>
      </c>
      <c r="AL8" s="2">
        <v>0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Tabelle310162251074104[[#This Row],[North]]*$AH8+AK8*$AO8+AR8*$AV8+AY8*$BC8+BF8*$BJ8</f>
        <v>0</v>
      </c>
      <c r="BN8" s="2">
        <f t="shared" si="12"/>
        <v>0</v>
      </c>
      <c r="BO8" s="2">
        <f t="shared" si="13"/>
        <v>0</v>
      </c>
      <c r="BP8" s="2">
        <f t="shared" si="14"/>
        <v>2.88</v>
      </c>
      <c r="BQ8" s="6">
        <f>Tabelle310162251074104[[#This Row],[North]]*$AF8*$AG8+AK8*$AM8*$AN8+AR8*$AT8*$AU8+AY8*$BA8*$BB8+BF8*$BH8*$BI8-BM8</f>
        <v>12.068000000000001</v>
      </c>
      <c r="BR8" s="2">
        <f t="shared" si="15"/>
        <v>0</v>
      </c>
      <c r="BS8" s="2">
        <f t="shared" si="16"/>
        <v>0</v>
      </c>
      <c r="BT8" s="7">
        <f t="shared" si="17"/>
        <v>14.899999999999999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Tabelle512182471276106[[#This Row],[Height]]*Tabelle512182471276106[[#This Row],[Length]]</f>
        <v>10.555999999999999</v>
      </c>
      <c r="R9" s="42">
        <f t="shared" si="1"/>
        <v>2.8</v>
      </c>
      <c r="S9" s="3">
        <v>3.75</v>
      </c>
      <c r="T9" s="40">
        <f>Tabelle512182471276106[[#This Row],[Height2]]*Tabelle512182471276106[[#This Row],[Length3]]</f>
        <v>10.5</v>
      </c>
      <c r="U9" s="42">
        <f t="shared" si="3"/>
        <v>2.8</v>
      </c>
      <c r="V9" s="3">
        <v>0</v>
      </c>
      <c r="W9" s="3">
        <f>(1-$BQ$16)*Tabelle2915214973103[[#This Row],[North2]]+(1-$BR$16)*Tabelle2915214973103[[#This Row],[East2]]+(1-$BS$16)*Tabelle2915214973103[[#This Row],[South2]]+(1-$BT$16)*Tabelle2915214973103[[#This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IF(Tabelle1814203872102[[#This Row],[(f)loor/(c )eiling]]="c",Tabelle1814203872102[[#This Row],[Total Area size '[m^2']]],0)</f>
        <v>0</v>
      </c>
      <c r="Z9" s="42">
        <f>IF(Tabelle1814203872102[[#This Row],[(f)loor/(c )eiling]]="f",Tabelle1814203872102[[#This Row],[Total Area size '[m^2']]],0)</f>
        <v>12.1</v>
      </c>
      <c r="AA9" s="5"/>
      <c r="AB9" s="2">
        <v>0</v>
      </c>
      <c r="AC9" s="2">
        <v>0</v>
      </c>
      <c r="AD9" s="2">
        <v>1</v>
      </c>
      <c r="AE9" s="2">
        <v>0</v>
      </c>
      <c r="AF9" s="42">
        <f t="shared" si="4"/>
        <v>2.8</v>
      </c>
      <c r="AG9" s="2">
        <f>0.07+3.77+0.14</f>
        <v>3.98</v>
      </c>
      <c r="AH9" s="44">
        <v>2</v>
      </c>
      <c r="AI9" s="6">
        <v>0</v>
      </c>
      <c r="AJ9" s="2">
        <v>1</v>
      </c>
      <c r="AK9" s="2">
        <v>0</v>
      </c>
      <c r="AL9" s="2">
        <v>0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Tabelle310162251074104[[#This Row],[North]]*$AH9+AK9*$AO9+AR9*$AV9+AY9*$BC9+BF9*$BJ9</f>
        <v>2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6">
        <f>Tabelle310162251074104[[#This Row],[North]]*$AF9*$AG9+AK9*$AM9*$AN9+AR9*$AT9*$AU9+AY9*$BA9*$BB9+BF9*$BH9*$BI9-BM9</f>
        <v>9.1440000000000001</v>
      </c>
      <c r="BR9" s="2">
        <f t="shared" si="15"/>
        <v>14.028</v>
      </c>
      <c r="BS9" s="2">
        <f t="shared" si="16"/>
        <v>0</v>
      </c>
      <c r="BT9" s="7">
        <f t="shared" si="17"/>
        <v>0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Tabelle512182471276106[[#This Row],[Height]]*Tabelle512182471276106[[#This Row],[Length]]</f>
        <v>6.6639999999999997</v>
      </c>
      <c r="R10" s="42">
        <f t="shared" si="1"/>
        <v>2.8</v>
      </c>
      <c r="S10" s="3">
        <v>3.75</v>
      </c>
      <c r="T10" s="40">
        <f>Tabelle512182471276106[[#This Row],[Height2]]*Tabelle512182471276106[[#This Row],[Length3]]</f>
        <v>10.5</v>
      </c>
      <c r="U10" s="42">
        <f t="shared" si="3"/>
        <v>2.8</v>
      </c>
      <c r="V10" s="3">
        <v>0</v>
      </c>
      <c r="W10" s="3">
        <f>(1-$BQ$16)*Tabelle2915214973103[[#This Row],[North2]]+(1-$BR$16)*Tabelle2915214973103[[#This Row],[East2]]+(1-$BS$16)*Tabelle2915214973103[[#This Row],[South2]]+(1-$BT$16)*Tabelle2915214973103[[#This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IF(Tabelle1814203872102[[#This Row],[(f)loor/(c )eiling]]="c",Tabelle1814203872102[[#This Row],[Total Area size '[m^2']]],0)</f>
        <v>0</v>
      </c>
      <c r="Z10" s="42">
        <f>IF(Tabelle1814203872102[[#This Row],[(f)loor/(c )eiling]]="f",Tabelle1814203872102[[#This Row],[Total Area size '[m^2']]],0)</f>
        <v>6.9</v>
      </c>
      <c r="AA10" s="5"/>
      <c r="AB10" s="2">
        <v>1</v>
      </c>
      <c r="AC10" s="2">
        <v>0</v>
      </c>
      <c r="AD10" s="2">
        <v>0</v>
      </c>
      <c r="AE10" s="2">
        <v>0</v>
      </c>
      <c r="AF10" s="42">
        <f t="shared" si="4"/>
        <v>2.8</v>
      </c>
      <c r="AG10" s="2">
        <f>0.14+3.77+0.07</f>
        <v>3.98</v>
      </c>
      <c r="AH10" s="44">
        <v>1</v>
      </c>
      <c r="AI10" s="6">
        <v>0</v>
      </c>
      <c r="AJ10" s="2">
        <v>1</v>
      </c>
      <c r="AK10" s="3">
        <v>0</v>
      </c>
      <c r="AL10" s="2">
        <v>0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Tabelle310162251074104[[#This Row],[North]]*$AH10+AK10*$AO10+AR10*$AV10+AY10*$BC10+BF10*$BJ10</f>
        <v>0</v>
      </c>
      <c r="BN10" s="2">
        <f t="shared" si="12"/>
        <v>0</v>
      </c>
      <c r="BO10" s="2">
        <f t="shared" si="13"/>
        <v>1</v>
      </c>
      <c r="BP10" s="2">
        <f t="shared" si="14"/>
        <v>0</v>
      </c>
      <c r="BQ10" s="6">
        <f>Tabelle310162251074104[[#This Row],[North]]*$AF10*$AG10+AK10*$AM10*$AN10+AR10*$AT10*$AU10+AY10*$BA10*$BB10+BF10*$BH10*$BI10-BM10</f>
        <v>0</v>
      </c>
      <c r="BR10" s="2">
        <f t="shared" si="15"/>
        <v>10.135999999999999</v>
      </c>
      <c r="BS10" s="2">
        <f t="shared" si="16"/>
        <v>10.144</v>
      </c>
      <c r="BT10" s="7">
        <f t="shared" si="17"/>
        <v>0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Tabelle512182471276106[[#This Row],[Height]]*Tabelle512182471276106[[#This Row],[Length]]</f>
        <v>8.1760000000000002</v>
      </c>
      <c r="R11" s="42">
        <f t="shared" si="1"/>
        <v>2.8</v>
      </c>
      <c r="S11" s="3">
        <v>0</v>
      </c>
      <c r="T11" s="40">
        <f>Tabelle512182471276106[[#This Row],[Height2]]*Tabelle512182471276106[[#This Row],[Length3]]</f>
        <v>0</v>
      </c>
      <c r="U11" s="42">
        <f t="shared" si="3"/>
        <v>2.8</v>
      </c>
      <c r="V11" s="3">
        <v>0</v>
      </c>
      <c r="W11" s="3">
        <f>(1-$BQ$16)*Tabelle2915214973103[[#This Row],[North2]]+(1-$BR$16)*Tabelle2915214973103[[#This Row],[East2]]+(1-$BS$16)*Tabelle2915214973103[[#This Row],[South2]]+(1-$BT$16)*Tabelle2915214973103[[#This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IF(Tabelle1814203872102[[#This Row],[(f)loor/(c )eiling]]="c",Tabelle1814203872102[[#This Row],[Total Area size '[m^2']]],0)</f>
        <v>1.8</v>
      </c>
      <c r="Z11" s="42">
        <f>IF(Tabelle1814203872102[[#This Row],[(f)loor/(c )eiling]]="f",Tabelle1814203872102[[#This Row],[Total Area size '[m^2']]],0)</f>
        <v>0</v>
      </c>
      <c r="AA11" s="5"/>
      <c r="AB11" s="2">
        <v>1</v>
      </c>
      <c r="AC11" s="2">
        <v>0</v>
      </c>
      <c r="AD11" s="2">
        <v>0</v>
      </c>
      <c r="AE11" s="2">
        <v>0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0</v>
      </c>
      <c r="AJ11" s="2">
        <v>1</v>
      </c>
      <c r="AK11" s="2">
        <v>0</v>
      </c>
      <c r="AL11" s="2">
        <v>0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Tabelle310162251074104[[#This Row],[North]]*$AH11+AK11*$AO11+AR11*$AV11+AY11*$BC11+BF11*$BJ11</f>
        <v>0</v>
      </c>
      <c r="BN11" s="2">
        <f t="shared" si="12"/>
        <v>0</v>
      </c>
      <c r="BO11" s="2">
        <f t="shared" si="13"/>
        <v>0.64</v>
      </c>
      <c r="BP11" s="2">
        <f t="shared" si="14"/>
        <v>0</v>
      </c>
      <c r="BQ11" s="6">
        <f>Tabelle310162251074104[[#This Row],[North]]*$AF11*$AG11+AK11*$AM11*$AN11+AR11*$AT11*$AU11+AY11*$BA11*$BB11+BF11*$BH11*$BI11-BM11</f>
        <v>0</v>
      </c>
      <c r="BR11" s="2">
        <f t="shared" si="15"/>
        <v>3.5419999999999994</v>
      </c>
      <c r="BS11" s="2">
        <f t="shared" si="16"/>
        <v>5.5200000000000005</v>
      </c>
      <c r="BT11" s="7">
        <f t="shared" si="17"/>
        <v>0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Tabelle512182471276106[[#This Row],[Height]]*Tabelle512182471276106[[#This Row],[Length]]</f>
        <v>14.391999999999998</v>
      </c>
      <c r="R12" s="42">
        <f t="shared" si="1"/>
        <v>2.8</v>
      </c>
      <c r="S12" s="3">
        <v>0</v>
      </c>
      <c r="T12" s="40">
        <f>Tabelle512182471276106[[#This Row],[Height2]]*Tabelle512182471276106[[#This Row],[Length3]]</f>
        <v>0</v>
      </c>
      <c r="U12" s="42">
        <f t="shared" si="3"/>
        <v>2.8</v>
      </c>
      <c r="V12" s="3">
        <v>0</v>
      </c>
      <c r="W12" s="3">
        <f>(1-$BQ$16)*Tabelle2915214973103[[#This Row],[North2]]+(1-$BR$16)*Tabelle2915214973103[[#This Row],[East2]]+(1-$BS$16)*Tabelle2915214973103[[#This Row],[South2]]+(1-$BT$16)*Tabelle2915214973103[[#This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IF(Tabelle1814203872102[[#This Row],[(f)loor/(c )eiling]]="c",Tabelle1814203872102[[#This Row],[Total Area size '[m^2']]],0)</f>
        <v>12</v>
      </c>
      <c r="Z12" s="42">
        <f>IF(Tabelle1814203872102[[#This Row],[(f)loor/(c )eiling]]="f",Tabelle1814203872102[[#This Row],[Total Area size '[m^2']]],0)</f>
        <v>0</v>
      </c>
      <c r="AA12" s="5"/>
      <c r="AB12" s="2">
        <v>1</v>
      </c>
      <c r="AC12" s="2">
        <v>0</v>
      </c>
      <c r="AD12" s="2">
        <v>0</v>
      </c>
      <c r="AE12" s="2">
        <v>0</v>
      </c>
      <c r="AF12" s="42">
        <f t="shared" si="4"/>
        <v>2.8</v>
      </c>
      <c r="AG12" s="2">
        <f>0.9+0.75</f>
        <v>1.65</v>
      </c>
      <c r="AH12" s="44">
        <v>0</v>
      </c>
      <c r="AI12" s="6">
        <v>0</v>
      </c>
      <c r="AJ12" s="2">
        <v>1</v>
      </c>
      <c r="AK12" s="2">
        <v>0</v>
      </c>
      <c r="AL12" s="2">
        <v>0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Tabelle310162251074104[[#This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Tabelle310162251074104[[#This Row],[North]]*$AF12*$AG12+AK12*$AM12*$AN12+AR12*$AT12*$AU12+AY12*$BA12*$BB12+BF12*$BH12*$BI12-BM12</f>
        <v>0</v>
      </c>
      <c r="BR12" s="2">
        <f t="shared" si="15"/>
        <v>7.4759999999999991</v>
      </c>
      <c r="BS12" s="2">
        <f t="shared" si="16"/>
        <v>4.6199999999999992</v>
      </c>
      <c r="BT12" s="7">
        <f t="shared" si="17"/>
        <v>0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Tabelle512182471276106[[#This Row],[Height]]*Tabelle512182471276106[[#This Row],[Length]]</f>
        <v>17.64</v>
      </c>
      <c r="R13" s="42">
        <f t="shared" si="1"/>
        <v>2.8</v>
      </c>
      <c r="S13" s="33">
        <v>0</v>
      </c>
      <c r="T13" s="40">
        <f>Tabelle512182471276106[[#This Row],[Height2]]*Tabelle512182471276106[[#This Row],[Length3]]</f>
        <v>0</v>
      </c>
      <c r="U13" s="42">
        <f t="shared" si="3"/>
        <v>2.8</v>
      </c>
      <c r="V13" s="3">
        <v>0</v>
      </c>
      <c r="W13" s="3">
        <f>(1-$BQ$16)*Tabelle2915214973103[[#This Row],[North2]]+(1-$BR$16)*Tabelle2915214973103[[#This Row],[East2]]+(1-$BS$16)*Tabelle2915214973103[[#This Row],[South2]]+(1-$BT$16)*Tabelle2915214973103[[#This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IF(Tabelle1814203872102[[#This Row],[(f)loor/(c )eiling]]="c",Tabelle1814203872102[[#This Row],[Total Area size '[m^2']]],0)</f>
        <v>4.5</v>
      </c>
      <c r="Z13" s="42">
        <f>IF(Tabelle1814203872102[[#This Row],[(f)loor/(c )eiling]]="f",Tabelle1814203872102[[#This Row],[Total Area size '[m^2']]],0)</f>
        <v>0</v>
      </c>
      <c r="AA13" s="5"/>
      <c r="AB13" s="2">
        <v>0</v>
      </c>
      <c r="AC13" s="2">
        <v>1</v>
      </c>
      <c r="AD13" s="2">
        <v>0</v>
      </c>
      <c r="AE13" s="2">
        <v>0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Tabelle310162251074104[[#This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Tabelle310162251074104[[#This Row],[North]]*$AF13*$AG13+AK13*$AM13*$AN13+AR13*$AT13*$AU13+AY13*$BA13*$BB13+BF13*$BH13*$BI13-BM13</f>
        <v>0</v>
      </c>
      <c r="BR13" s="2">
        <f t="shared" si="15"/>
        <v>6.5940000000000012</v>
      </c>
      <c r="BS13" s="2">
        <f t="shared" si="16"/>
        <v>0</v>
      </c>
      <c r="BT13" s="7">
        <f t="shared" si="17"/>
        <v>0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Tabelle512182471276106[[#This Row],[Height]]*Tabelle512182471276106[[#This Row],[Length]]</f>
        <v>0</v>
      </c>
      <c r="R14" s="42">
        <f t="shared" si="1"/>
        <v>2.8</v>
      </c>
      <c r="S14" s="3">
        <v>0</v>
      </c>
      <c r="T14" s="40">
        <f>Tabelle512182471276106[[#This Row],[Height2]]*Tabelle512182471276106[[#This Row],[Length3]]</f>
        <v>0</v>
      </c>
      <c r="U14" s="42">
        <f t="shared" si="3"/>
        <v>2.8</v>
      </c>
      <c r="V14" s="3">
        <v>0</v>
      </c>
      <c r="W14" s="3">
        <f>(1-$BQ$16)*Tabelle2915214973103[[#This Row],[North2]]+(1-$BR$16)*Tabelle2915214973103[[#This Row],[East2]]+(1-$BS$16)*Tabelle2915214973103[[#This Row],[South2]]+(1-$BT$16)*Tabelle2915214973103[[#This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IF(Tabelle1814203872102[[#This Row],[(f)loor/(c )eiling]]="c",Tabelle1814203872102[[#This Row],[Total Area size '[m^2']]],0)</f>
        <v>0</v>
      </c>
      <c r="Z14" s="42">
        <f>IF(Tabelle1814203872102[[#This Row],[(f)loor/(c )eiling]]="f",Tabelle1814203872102[[#This Row],[Total Area size '[m^2']]],0)</f>
        <v>7.7</v>
      </c>
      <c r="AA14" s="5"/>
      <c r="AB14" s="2">
        <v>0</v>
      </c>
      <c r="AC14" s="2">
        <v>1</v>
      </c>
      <c r="AD14" s="2">
        <v>0</v>
      </c>
      <c r="AE14" s="2">
        <v>0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Tabelle310162251074104[[#This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Tabelle310162251074104[[#This Row],[North]]*$AF14*$AG14+AK14*$AM14*$AN14+AR14*$AT14*$AU14+AY14*$BA14*$BB14+BF14*$BH14*$BI14-BM14</f>
        <v>0</v>
      </c>
      <c r="BR14" s="2">
        <f t="shared" ref="BR14" si="21">AC14*$AF14*$AG14+AJ14*$AM14*$AN14+AQ14*$AT14*$AU14+AX14*$BA14*$BB14+BE14*$BH14*$BI14-BN14</f>
        <v>7.4759999999999991</v>
      </c>
      <c r="BS14" s="2">
        <f t="shared" ref="BS14" si="22">AB14*$AF14*$AG14+AI14*$AM14*$AN14+AP14*$AT14*$AU14+AW14*$BA14*$BB14+BD14*$BH14*$BI14-BO14</f>
        <v>0</v>
      </c>
      <c r="BT14" s="7">
        <f t="shared" ref="BT14" si="23">AE14*$AF14*$AG14+AL14*$AM14*$AN14+AS14*$AT14*$AU14+AZ14*$BA14*$BB14+BG14*$BH14*$BI14-BP14</f>
        <v>0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/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>
        <f>Tabelle310162251074104[[#This Row],[North]]*$AH15+AK15*$AO15+AR15*$AV15+AY15*$BC15+BF15*$BJ15</f>
        <v>0</v>
      </c>
      <c r="BN15" s="2">
        <f t="shared" ref="BN15" si="24">AC15*$AH15+AJ15*$AO15+AQ15*$AV15+AX15*$BC15+BE15*$BJ15</f>
        <v>0</v>
      </c>
      <c r="BO15" s="2">
        <f t="shared" ref="BO15" si="25">AB15*$AH15+AI15*$AO15+AP15*$AV15+AW15*$BC15+BD15*$BJ15</f>
        <v>0</v>
      </c>
      <c r="BP15" s="2">
        <f t="shared" ref="BP15" si="26">AE15*$AH15+AL15*$AO15+AS15*$AV15+AZ15*$BC15+BG15*$BJ15</f>
        <v>0</v>
      </c>
      <c r="BQ15" s="6">
        <f>Tabelle310162251074104[[#This Row],[North]]*$AF15*$AG15+AK15*$AM15*$AN15+AR15*$AT15*$AU15+AY15*$BA15*$BB15+BF15*$BH15*$BI15-BM15</f>
        <v>0</v>
      </c>
      <c r="BR15" s="2">
        <f t="shared" ref="BR15" si="27">AC15*$AF15*$AG15+AJ15*$AM15*$AN15+AQ15*$AT15*$AU15+AX15*$BA15*$BB15+BE15*$BH15*$BI15-BN15</f>
        <v>0</v>
      </c>
      <c r="BS15" s="2">
        <f t="shared" ref="BS15" si="28">AB15*$AF15*$AG15+AI15*$AM15*$AN15+AP15*$AT15*$AU15+AW15*$BA15*$BB15+BD15*$BH15*$BI15-BO15</f>
        <v>0</v>
      </c>
      <c r="BT15" s="7">
        <f t="shared" ref="BT15" si="29">AE15*$AF15*$AG15+AL15*$AM15*$AN15+AS15*$AT15*$AU15+AZ15*$BA15*$BB15+BG15*$BH15*$BI15-BP15</f>
        <v>0</v>
      </c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30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/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1</v>
      </c>
      <c r="BR16" s="2">
        <v>0</v>
      </c>
      <c r="BS16" s="2">
        <v>1</v>
      </c>
      <c r="BT16" s="2">
        <v>1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30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/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30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/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8.7100000000000009</v>
      </c>
      <c r="BN22" s="61">
        <f t="shared" ref="BN22:BP25" si="31">SUMIF($C$5:$C$18,$BL22,BN$5:BN$18)</f>
        <v>0</v>
      </c>
      <c r="BO22" s="61">
        <f t="shared" si="31"/>
        <v>2.2200000000000002</v>
      </c>
      <c r="BP22" s="61">
        <f t="shared" si="31"/>
        <v>6.6</v>
      </c>
      <c r="BQ22" s="61">
        <f t="shared" ref="BQ22:BT25" si="32">SUMIF($C$5:$C$18,$BL22,BQ$5:BQ$18)*BQ$16</f>
        <v>14.501999999999995</v>
      </c>
      <c r="BR22" s="61">
        <f t="shared" si="32"/>
        <v>0</v>
      </c>
      <c r="BS22" s="61">
        <f t="shared" si="32"/>
        <v>10.211999999999998</v>
      </c>
      <c r="BT22" s="61">
        <f t="shared" si="32"/>
        <v>25.040000000000003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31"/>
        <v>0</v>
      </c>
      <c r="BO23" s="61">
        <f t="shared" si="31"/>
        <v>0.64</v>
      </c>
      <c r="BP23" s="61">
        <f t="shared" si="31"/>
        <v>0</v>
      </c>
      <c r="BQ23" s="61">
        <f t="shared" si="32"/>
        <v>0</v>
      </c>
      <c r="BR23" s="61">
        <f t="shared" si="32"/>
        <v>0</v>
      </c>
      <c r="BS23" s="61">
        <f t="shared" si="32"/>
        <v>10.14</v>
      </c>
      <c r="BT23" s="61">
        <f t="shared" si="32"/>
        <v>0</v>
      </c>
      <c r="BU23" s="61">
        <f t="shared" ref="BU23:BU25" si="33">SUMIF($C$5:$C$18,$BL23,BU$5:BU$18)</f>
        <v>7.7</v>
      </c>
      <c r="BV23" s="61">
        <f t="shared" ref="BV23:BV25" si="34">BU23*$BU$30</f>
        <v>15.238461538461538</v>
      </c>
      <c r="BW23" s="61">
        <f t="shared" ref="BW23:BW25" si="35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36">SUMIF($C$5:$C$18,$C24,$Y$5:$Y$18)/$G$2</f>
        <v>9.15</v>
      </c>
      <c r="Z24" s="55">
        <f t="shared" ref="Z24:Z26" si="37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2</v>
      </c>
      <c r="BN24" s="61">
        <f t="shared" si="31"/>
        <v>0</v>
      </c>
      <c r="BO24" s="61">
        <f t="shared" si="31"/>
        <v>0</v>
      </c>
      <c r="BP24" s="61">
        <f t="shared" si="31"/>
        <v>5.76</v>
      </c>
      <c r="BQ24" s="61">
        <f t="shared" si="32"/>
        <v>21.212000000000003</v>
      </c>
      <c r="BR24" s="61">
        <f t="shared" si="32"/>
        <v>0</v>
      </c>
      <c r="BS24" s="61">
        <f t="shared" si="32"/>
        <v>12.068000000000001</v>
      </c>
      <c r="BT24" s="61">
        <f t="shared" si="32"/>
        <v>25.88</v>
      </c>
      <c r="BU24" s="61">
        <f t="shared" si="33"/>
        <v>42.6</v>
      </c>
      <c r="BV24" s="61">
        <f t="shared" si="34"/>
        <v>84.306293706293701</v>
      </c>
      <c r="BW24" s="61">
        <f t="shared" si="35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36"/>
        <v>0</v>
      </c>
      <c r="Z25" s="55">
        <f t="shared" si="37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31"/>
        <v>0</v>
      </c>
      <c r="BO25" s="61">
        <f t="shared" si="31"/>
        <v>1</v>
      </c>
      <c r="BP25" s="61">
        <f t="shared" si="31"/>
        <v>0</v>
      </c>
      <c r="BQ25" s="61">
        <f t="shared" si="32"/>
        <v>0</v>
      </c>
      <c r="BR25" s="61">
        <f t="shared" si="32"/>
        <v>0</v>
      </c>
      <c r="BS25" s="61">
        <f t="shared" si="32"/>
        <v>10.144</v>
      </c>
      <c r="BT25" s="61">
        <f t="shared" si="32"/>
        <v>0</v>
      </c>
      <c r="BU25" s="61">
        <f t="shared" si="33"/>
        <v>6.9</v>
      </c>
      <c r="BV25" s="61">
        <f t="shared" si="34"/>
        <v>13.655244755244755</v>
      </c>
      <c r="BW25" s="61">
        <f t="shared" si="35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36"/>
        <v>0</v>
      </c>
      <c r="Z26" s="55">
        <f t="shared" si="37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38">SUM(BM22:BM26)</f>
        <v>10.71</v>
      </c>
      <c r="BN27" s="66">
        <f t="shared" si="38"/>
        <v>0</v>
      </c>
      <c r="BO27" s="66">
        <f t="shared" si="38"/>
        <v>3.8600000000000003</v>
      </c>
      <c r="BP27" s="66">
        <f t="shared" si="38"/>
        <v>12.36</v>
      </c>
      <c r="BQ27" s="66">
        <f t="shared" si="38"/>
        <v>35.713999999999999</v>
      </c>
      <c r="BR27" s="66">
        <f t="shared" si="38"/>
        <v>0</v>
      </c>
      <c r="BS27" s="66">
        <f t="shared" si="38"/>
        <v>42.564</v>
      </c>
      <c r="BT27" s="66">
        <f t="shared" si="38"/>
        <v>50.92</v>
      </c>
      <c r="BU27" s="66">
        <f t="shared" si="38"/>
        <v>57.2</v>
      </c>
      <c r="BV27" s="66">
        <f t="shared" si="38"/>
        <v>113.19999999999999</v>
      </c>
      <c r="BW27" s="66">
        <f t="shared" si="38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39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39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39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  <row r="46" spans="9:68" x14ac:dyDescent="0.25">
      <c r="V46" t="s">
        <v>130</v>
      </c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40" priority="2" operator="lessThan">
      <formula>0.03</formula>
    </cfRule>
  </conditionalFormatting>
  <conditionalFormatting sqref="I23:I28">
    <cfRule type="cellIs" dxfId="39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7"/>
  <sheetViews>
    <sheetView zoomScale="70" zoomScaleNormal="70" workbookViewId="0">
      <pane xSplit="2" ySplit="4" topLeftCell="BM14" activePane="bottomRight" state="frozen"/>
      <selection activeCell="X55" sqref="X55"/>
      <selection pane="topRight" activeCell="X55" sqref="X55"/>
      <selection pane="bottomLeft" activeCell="X55" sqref="X55"/>
      <selection pane="bottomRight" activeCell="BW43" sqref="BW43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117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Tabelle512182471281[[#This Row],[Height]]*Tabelle512182471281[[#This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Tabelle512182471281[[#This Row],[Height2]]*Tabelle512182471281[[#This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(1-$BQ$16)*Tabelle2915214978[[#This Row],[North2]]+(1-$BR$16)*Tabelle2915214978[[#This Row],[East2]]+(1-$BS$16)*Tabelle2915214978[[#This Row],[South2]]+(1-$BT$16)*Tabelle2915214978[[#This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IF(Tabelle1814203877[[#This Row],[(f)loor/(c )eiling]]="c",Tabelle1814203877[[#This Row],[Total Area size '[m^2']]],0)</f>
        <v>45.6</v>
      </c>
      <c r="Z5" s="42">
        <f>IF(Tabelle1814203877[[#This Row],[(f)loor/(c )eiling]]="f",Tabelle1814203877[[#This Row],[Total Area size '[m^2']]],0)</f>
        <v>0</v>
      </c>
      <c r="AA5" s="5"/>
      <c r="AB5" s="2">
        <v>1</v>
      </c>
      <c r="AC5" s="2">
        <v>0</v>
      </c>
      <c r="AD5" s="2">
        <v>0</v>
      </c>
      <c r="AE5" s="2">
        <v>0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0</v>
      </c>
      <c r="AK5" s="2">
        <v>0</v>
      </c>
      <c r="AL5" s="2">
        <v>1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0</v>
      </c>
      <c r="AQ5" s="2">
        <v>0</v>
      </c>
      <c r="AR5" s="2">
        <v>1</v>
      </c>
      <c r="AS5" s="2">
        <v>0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Tabelle310162251079[[#This Row],[North]]*$AH5+AK5*$AO5+AR5*$AV5+AY5*$BC5+BF5*$BJ5</f>
        <v>0</v>
      </c>
      <c r="BN5" s="2">
        <f t="shared" ref="BN5:BN13" si="12">AC5*$AH5+AJ5*$AO5+AQ5*$AV5+AX5*$BC5+BE5*$BJ5</f>
        <v>0</v>
      </c>
      <c r="BO5" s="2">
        <f t="shared" ref="BO5:BO13" si="13">AB5*$AH5+AI5*$AO5+AP5*$AV5+AW5*$BC5+BD5*$BJ5</f>
        <v>5.16</v>
      </c>
      <c r="BP5" s="2">
        <f t="shared" ref="BP5:BP13" si="14">AE5*$AH5+AL5*$AO5+AS5*$AV5+AZ5*$BC5+BG5*$BJ5</f>
        <v>8.7100000000000009</v>
      </c>
      <c r="BQ5" s="6">
        <f>Tabelle310162251079[[#This Row],[North]]*$AF5*$AG5+AK5*$AM5*$AN5+AR5*$AT5*$AU5+AY5*$BA5*$BB5+BF5*$BH5*$BI5-BM5</f>
        <v>14.027999999999999</v>
      </c>
      <c r="BR5" s="2">
        <f t="shared" ref="BR5:BR13" si="15">AC5*$AF5*$AG5+AJ5*$AM5*$AN5+AQ5*$AT5*$AU5+AX5*$BA5*$BB5+BE5*$BH5*$BI5-BN5</f>
        <v>0</v>
      </c>
      <c r="BS5" s="2">
        <f t="shared" ref="BS5:BS13" si="16">AB5*$AF5*$AG5+AI5*$AM5*$AN5+AP5*$AT5*$AU5+AW5*$BA5*$BB5+BD5*$BH5*$BI5-BO5</f>
        <v>15.700000000000003</v>
      </c>
      <c r="BT5" s="7">
        <f t="shared" ref="BT5:BT13" si="17">AE5*$AF5*$AG5+AL5*$AM5*$AN5+AS5*$AT5*$AU5+AZ5*$BA5*$BB5+BG5*$BH5*$BI5-BP5</f>
        <v>14.501999999999995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Tabelle512182471281[[#This Row],[Height]]*Tabelle512182471281[[#This Row],[Length]]</f>
        <v>3.9199999999999995</v>
      </c>
      <c r="R6" s="42">
        <f t="shared" si="1"/>
        <v>2.8</v>
      </c>
      <c r="S6" s="3">
        <v>3.26</v>
      </c>
      <c r="T6" s="40">
        <f>Tabelle512182471281[[#This Row],[Height2]]*Tabelle512182471281[[#This Row],[Length3]]</f>
        <v>9.1279999999999983</v>
      </c>
      <c r="U6" s="42">
        <f t="shared" si="3"/>
        <v>2.8</v>
      </c>
      <c r="V6" s="3">
        <v>0</v>
      </c>
      <c r="W6" s="3">
        <f>(1-$BQ$16)*Tabelle2915214978[[#This Row],[North2]]+(1-$BR$16)*Tabelle2915214978[[#This Row],[East2]]+(1-$BS$16)*Tabelle2915214978[[#This Row],[South2]]+(1-$BT$16)*Tabelle2915214978[[#This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IF(Tabelle1814203877[[#This Row],[(f)loor/(c )eiling]]="c",Tabelle1814203877[[#This Row],[Total Area size '[m^2']]],0)</f>
        <v>12.7</v>
      </c>
      <c r="Z6" s="42">
        <f>IF(Tabelle1814203877[[#This Row],[(f)loor/(c )eiling]]="f",Tabelle1814203877[[#This Row],[Total Area size '[m^2']]],0)</f>
        <v>0</v>
      </c>
      <c r="AA6" s="5"/>
      <c r="AB6" s="2">
        <v>1</v>
      </c>
      <c r="AC6" s="2">
        <v>0</v>
      </c>
      <c r="AD6" s="2">
        <v>0</v>
      </c>
      <c r="AE6" s="2">
        <v>0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0</v>
      </c>
      <c r="AJ6" s="3">
        <v>1</v>
      </c>
      <c r="AK6" s="2">
        <v>0</v>
      </c>
      <c r="AL6" s="2">
        <v>0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Tabelle310162251079[[#This Row],[North]]*$AH6+AK6*$AO6+AR6*$AV6+AY6*$BC6+BF6*$BJ6</f>
        <v>0</v>
      </c>
      <c r="BN6" s="2">
        <f t="shared" si="12"/>
        <v>2.2200000000000002</v>
      </c>
      <c r="BO6" s="2">
        <f t="shared" si="13"/>
        <v>1.44</v>
      </c>
      <c r="BP6" s="2">
        <f t="shared" si="14"/>
        <v>0</v>
      </c>
      <c r="BQ6" s="6">
        <f>Tabelle310162251079[[#This Row],[North]]*$AF6*$AG6+AK6*$AM6*$AN6+AR6*$AT6*$AU6+AY6*$BA6*$BB6+BF6*$BH6*$BI6-BM6</f>
        <v>0</v>
      </c>
      <c r="BR6" s="2">
        <f t="shared" si="15"/>
        <v>10.211999999999998</v>
      </c>
      <c r="BS6" s="2">
        <f t="shared" si="16"/>
        <v>9.34</v>
      </c>
      <c r="BT6" s="7">
        <f t="shared" si="17"/>
        <v>0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Tabelle512182471281[[#This Row],[Height]]*Tabelle512182471281[[#This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Tabelle512182471281[[#This Row],[Height2]]*Tabelle512182471281[[#This Row],[Length3]]</f>
        <v>3.78</v>
      </c>
      <c r="U7" s="42">
        <f t="shared" si="3"/>
        <v>2.8</v>
      </c>
      <c r="V7" s="3">
        <v>0</v>
      </c>
      <c r="W7" s="3">
        <f>(1-$BQ$16)*Tabelle2915214978[[#This Row],[North2]]+(1-$BR$16)*Tabelle2915214978[[#This Row],[East2]]+(1-$BS$16)*Tabelle2915214978[[#This Row],[South2]]+(1-$BT$16)*Tabelle2915214978[[#This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IF(Tabelle1814203877[[#This Row],[(f)loor/(c )eiling]]="c",Tabelle1814203877[[#This Row],[Total Area size '[m^2']]],0)</f>
        <v>0</v>
      </c>
      <c r="Z7" s="42">
        <f>IF(Tabelle1814203877[[#This Row],[(f)loor/(c )eiling]]="f",Tabelle1814203877[[#This Row],[Total Area size '[m^2']]],0)</f>
        <v>12.5</v>
      </c>
      <c r="AA7" s="5"/>
      <c r="AB7" s="2">
        <v>1</v>
      </c>
      <c r="AC7" s="2">
        <v>0</v>
      </c>
      <c r="AD7" s="2">
        <v>0</v>
      </c>
      <c r="AE7" s="2">
        <v>0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0</v>
      </c>
      <c r="AJ7" s="2">
        <v>1</v>
      </c>
      <c r="AK7" s="2">
        <v>0</v>
      </c>
      <c r="AL7" s="2">
        <v>0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Tabelle310162251079[[#This Row],[North]]*$AH7+AK7*$AO7+AR7*$AV7+AY7*$BC7+BF7*$BJ7</f>
        <v>0</v>
      </c>
      <c r="BN7" s="2">
        <f t="shared" si="12"/>
        <v>0</v>
      </c>
      <c r="BO7" s="2">
        <f t="shared" si="13"/>
        <v>2.88</v>
      </c>
      <c r="BP7" s="2">
        <f t="shared" si="14"/>
        <v>0</v>
      </c>
      <c r="BQ7" s="6">
        <f>Tabelle310162251079[[#This Row],[North]]*$AF7*$AG7+AK7*$AM7*$AN7+AR7*$AT7*$AU7+AY7*$BA7*$BB7+BF7*$BH7*$BI7-BM7</f>
        <v>0</v>
      </c>
      <c r="BR7" s="2">
        <f t="shared" si="15"/>
        <v>12.068000000000001</v>
      </c>
      <c r="BS7" s="2">
        <f t="shared" si="16"/>
        <v>10.98</v>
      </c>
      <c r="BT7" s="7">
        <f t="shared" si="17"/>
        <v>0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Tabelle512182471281[[#This Row],[Height]]*Tabelle512182471281[[#This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Tabelle512182471281[[#This Row],[Height2]]*Tabelle512182471281[[#This Row],[Length3]]</f>
        <v>3.78</v>
      </c>
      <c r="U8" s="42">
        <f t="shared" si="3"/>
        <v>2.8</v>
      </c>
      <c r="V8" s="3">
        <v>0</v>
      </c>
      <c r="W8" s="3">
        <f>(1-$BQ$16)*Tabelle2915214978[[#This Row],[North2]]+(1-$BR$16)*Tabelle2915214978[[#This Row],[East2]]+(1-$BS$16)*Tabelle2915214978[[#This Row],[South2]]+(1-$BT$16)*Tabelle2915214978[[#This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IF(Tabelle1814203877[[#This Row],[(f)loor/(c )eiling]]="c",Tabelle1814203877[[#This Row],[Total Area size '[m^2']]],0)</f>
        <v>0</v>
      </c>
      <c r="Z8" s="42">
        <f>IF(Tabelle1814203877[[#This Row],[(f)loor/(c )eiling]]="f",Tabelle1814203877[[#This Row],[Total Area size '[m^2']]],0)</f>
        <v>18</v>
      </c>
      <c r="AA8" s="5"/>
      <c r="AB8" s="2">
        <v>1</v>
      </c>
      <c r="AC8" s="2">
        <v>0</v>
      </c>
      <c r="AD8" s="2">
        <v>0</v>
      </c>
      <c r="AE8" s="2">
        <v>0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0</v>
      </c>
      <c r="AK8" s="2">
        <v>0</v>
      </c>
      <c r="AL8" s="2">
        <v>1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Tabelle310162251079[[#This Row],[North]]*$AH8+AK8*$AO8+AR8*$AV8+AY8*$BC8+BF8*$BJ8</f>
        <v>0</v>
      </c>
      <c r="BN8" s="2">
        <f t="shared" si="12"/>
        <v>0</v>
      </c>
      <c r="BO8" s="2">
        <f t="shared" si="13"/>
        <v>2.88</v>
      </c>
      <c r="BP8" s="2">
        <f t="shared" si="14"/>
        <v>0</v>
      </c>
      <c r="BQ8" s="6">
        <f>Tabelle310162251079[[#This Row],[North]]*$AF8*$AG8+AK8*$AM8*$AN8+AR8*$AT8*$AU8+AY8*$BA8*$BB8+BF8*$BH8*$BI8-BM8</f>
        <v>0</v>
      </c>
      <c r="BR8" s="2">
        <f t="shared" si="15"/>
        <v>0</v>
      </c>
      <c r="BS8" s="2">
        <f t="shared" si="16"/>
        <v>14.899999999999999</v>
      </c>
      <c r="BT8" s="7">
        <f t="shared" si="17"/>
        <v>12.068000000000001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Tabelle512182471281[[#This Row],[Height]]*Tabelle512182471281[[#This Row],[Length]]</f>
        <v>10.555999999999999</v>
      </c>
      <c r="R9" s="42">
        <f t="shared" si="1"/>
        <v>2.8</v>
      </c>
      <c r="S9" s="3">
        <v>3.75</v>
      </c>
      <c r="T9" s="40">
        <f>Tabelle512182471281[[#This Row],[Height2]]*Tabelle512182471281[[#This Row],[Length3]]</f>
        <v>10.5</v>
      </c>
      <c r="U9" s="42">
        <f t="shared" si="3"/>
        <v>2.8</v>
      </c>
      <c r="V9" s="3">
        <v>0</v>
      </c>
      <c r="W9" s="3">
        <f>(1-$BQ$16)*Tabelle2915214978[[#This Row],[North2]]+(1-$BR$16)*Tabelle2915214978[[#This Row],[East2]]+(1-$BS$16)*Tabelle2915214978[[#This Row],[South2]]+(1-$BT$16)*Tabelle2915214978[[#This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IF(Tabelle1814203877[[#This Row],[(f)loor/(c )eiling]]="c",Tabelle1814203877[[#This Row],[Total Area size '[m^2']]],0)</f>
        <v>0</v>
      </c>
      <c r="Z9" s="42">
        <f>IF(Tabelle1814203877[[#This Row],[(f)loor/(c )eiling]]="f",Tabelle1814203877[[#This Row],[Total Area size '[m^2']]],0)</f>
        <v>12.1</v>
      </c>
      <c r="AA9" s="5"/>
      <c r="AB9" s="2">
        <v>0</v>
      </c>
      <c r="AC9" s="2">
        <v>0</v>
      </c>
      <c r="AD9" s="2">
        <v>0</v>
      </c>
      <c r="AE9" s="2">
        <v>1</v>
      </c>
      <c r="AF9" s="42">
        <f t="shared" si="4"/>
        <v>2.8</v>
      </c>
      <c r="AG9" s="2">
        <f>0.07+3.77+0.14</f>
        <v>3.98</v>
      </c>
      <c r="AH9" s="44">
        <v>2</v>
      </c>
      <c r="AI9" s="6">
        <v>0</v>
      </c>
      <c r="AJ9" s="2">
        <v>0</v>
      </c>
      <c r="AK9" s="2">
        <v>1</v>
      </c>
      <c r="AL9" s="2">
        <v>0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Tabelle310162251079[[#This Row],[North]]*$AH9+AK9*$AO9+AR9*$AV9+AY9*$BC9+BF9*$BJ9</f>
        <v>0</v>
      </c>
      <c r="BN9" s="2">
        <f t="shared" si="12"/>
        <v>0</v>
      </c>
      <c r="BO9" s="2">
        <f t="shared" si="13"/>
        <v>0</v>
      </c>
      <c r="BP9" s="2">
        <f t="shared" si="14"/>
        <v>2</v>
      </c>
      <c r="BQ9" s="6">
        <f>Tabelle310162251079[[#This Row],[North]]*$AF9*$AG9+AK9*$AM9*$AN9+AR9*$AT9*$AU9+AY9*$BA9*$BB9+BF9*$BH9*$BI9-BM9</f>
        <v>14.028</v>
      </c>
      <c r="BR9" s="2">
        <f t="shared" si="15"/>
        <v>0</v>
      </c>
      <c r="BS9" s="2">
        <f t="shared" si="16"/>
        <v>0</v>
      </c>
      <c r="BT9" s="7">
        <f t="shared" si="17"/>
        <v>9.1440000000000001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Tabelle512182471281[[#This Row],[Height]]*Tabelle512182471281[[#This Row],[Length]]</f>
        <v>6.6639999999999997</v>
      </c>
      <c r="R10" s="42">
        <f t="shared" si="1"/>
        <v>2.8</v>
      </c>
      <c r="S10" s="3">
        <v>3.75</v>
      </c>
      <c r="T10" s="40">
        <f>Tabelle512182471281[[#This Row],[Height2]]*Tabelle512182471281[[#This Row],[Length3]]</f>
        <v>10.5</v>
      </c>
      <c r="U10" s="42">
        <f t="shared" si="3"/>
        <v>2.8</v>
      </c>
      <c r="V10" s="3">
        <v>0</v>
      </c>
      <c r="W10" s="3">
        <f>(1-$BQ$16)*Tabelle2915214978[[#This Row],[North2]]+(1-$BR$16)*Tabelle2915214978[[#This Row],[East2]]+(1-$BS$16)*Tabelle2915214978[[#This Row],[South2]]+(1-$BT$16)*Tabelle2915214978[[#This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IF(Tabelle1814203877[[#This Row],[(f)loor/(c )eiling]]="c",Tabelle1814203877[[#This Row],[Total Area size '[m^2']]],0)</f>
        <v>0</v>
      </c>
      <c r="Z10" s="42">
        <f>IF(Tabelle1814203877[[#This Row],[(f)loor/(c )eiling]]="f",Tabelle1814203877[[#This Row],[Total Area size '[m^2']]],0)</f>
        <v>6.9</v>
      </c>
      <c r="AA10" s="5"/>
      <c r="AB10" s="2">
        <v>0</v>
      </c>
      <c r="AC10" s="2">
        <v>1</v>
      </c>
      <c r="AD10" s="2">
        <v>0</v>
      </c>
      <c r="AE10" s="2">
        <v>0</v>
      </c>
      <c r="AF10" s="42">
        <f t="shared" si="4"/>
        <v>2.8</v>
      </c>
      <c r="AG10" s="2">
        <f>0.14+3.77+0.07</f>
        <v>3.98</v>
      </c>
      <c r="AH10" s="44">
        <v>1</v>
      </c>
      <c r="AI10" s="6">
        <v>0</v>
      </c>
      <c r="AJ10" s="2">
        <v>0</v>
      </c>
      <c r="AK10" s="3">
        <v>1</v>
      </c>
      <c r="AL10" s="2">
        <v>0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Tabelle310162251079[[#This Row],[North]]*$AH10+AK10*$AO10+AR10*$AV10+AY10*$BC10+BF10*$BJ10</f>
        <v>0</v>
      </c>
      <c r="BN10" s="2">
        <f t="shared" si="12"/>
        <v>1</v>
      </c>
      <c r="BO10" s="2">
        <f t="shared" si="13"/>
        <v>0</v>
      </c>
      <c r="BP10" s="2">
        <f t="shared" si="14"/>
        <v>0</v>
      </c>
      <c r="BQ10" s="6">
        <f>Tabelle310162251079[[#This Row],[North]]*$AF10*$AG10+AK10*$AM10*$AN10+AR10*$AT10*$AU10+AY10*$BA10*$BB10+BF10*$BH10*$BI10-BM10</f>
        <v>10.135999999999999</v>
      </c>
      <c r="BR10" s="2">
        <f t="shared" si="15"/>
        <v>10.144</v>
      </c>
      <c r="BS10" s="2">
        <f t="shared" si="16"/>
        <v>0</v>
      </c>
      <c r="BT10" s="7">
        <f t="shared" si="17"/>
        <v>0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Tabelle512182471281[[#This Row],[Height]]*Tabelle512182471281[[#This Row],[Length]]</f>
        <v>8.1760000000000002</v>
      </c>
      <c r="R11" s="42">
        <f t="shared" si="1"/>
        <v>2.8</v>
      </c>
      <c r="S11" s="3">
        <v>0</v>
      </c>
      <c r="T11" s="40">
        <f>Tabelle512182471281[[#This Row],[Height2]]*Tabelle512182471281[[#This Row],[Length3]]</f>
        <v>0</v>
      </c>
      <c r="U11" s="42">
        <f t="shared" si="3"/>
        <v>2.8</v>
      </c>
      <c r="V11" s="3">
        <v>0</v>
      </c>
      <c r="W11" s="3">
        <f>(1-$BQ$16)*Tabelle2915214978[[#This Row],[North2]]+(1-$BR$16)*Tabelle2915214978[[#This Row],[East2]]+(1-$BS$16)*Tabelle2915214978[[#This Row],[South2]]+(1-$BT$16)*Tabelle2915214978[[#This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IF(Tabelle1814203877[[#This Row],[(f)loor/(c )eiling]]="c",Tabelle1814203877[[#This Row],[Total Area size '[m^2']]],0)</f>
        <v>1.8</v>
      </c>
      <c r="Z11" s="42">
        <f>IF(Tabelle1814203877[[#This Row],[(f)loor/(c )eiling]]="f",Tabelle1814203877[[#This Row],[Total Area size '[m^2']]],0)</f>
        <v>0</v>
      </c>
      <c r="AA11" s="5"/>
      <c r="AB11" s="2">
        <v>0</v>
      </c>
      <c r="AC11" s="2">
        <v>1</v>
      </c>
      <c r="AD11" s="2">
        <v>0</v>
      </c>
      <c r="AE11" s="2">
        <v>0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0</v>
      </c>
      <c r="AJ11" s="2">
        <v>0</v>
      </c>
      <c r="AK11" s="2">
        <v>1</v>
      </c>
      <c r="AL11" s="2">
        <v>0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Tabelle310162251079[[#This Row],[North]]*$AH11+AK11*$AO11+AR11*$AV11+AY11*$BC11+BF11*$BJ11</f>
        <v>0</v>
      </c>
      <c r="BN11" s="2">
        <f t="shared" si="12"/>
        <v>0.64</v>
      </c>
      <c r="BO11" s="2">
        <f t="shared" si="13"/>
        <v>0</v>
      </c>
      <c r="BP11" s="2">
        <f t="shared" si="14"/>
        <v>0</v>
      </c>
      <c r="BQ11" s="6">
        <f>Tabelle310162251079[[#This Row],[North]]*$AF11*$AG11+AK11*$AM11*$AN11+AR11*$AT11*$AU11+AY11*$BA11*$BB11+BF11*$BH11*$BI11-BM11</f>
        <v>3.5419999999999994</v>
      </c>
      <c r="BR11" s="2">
        <f t="shared" si="15"/>
        <v>5.5200000000000005</v>
      </c>
      <c r="BS11" s="2">
        <f t="shared" si="16"/>
        <v>0</v>
      </c>
      <c r="BT11" s="7">
        <f t="shared" si="17"/>
        <v>0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Tabelle512182471281[[#This Row],[Height]]*Tabelle512182471281[[#This Row],[Length]]</f>
        <v>14.391999999999998</v>
      </c>
      <c r="R12" s="42">
        <f t="shared" si="1"/>
        <v>2.8</v>
      </c>
      <c r="S12" s="3">
        <v>0</v>
      </c>
      <c r="T12" s="40">
        <f>Tabelle512182471281[[#This Row],[Height2]]*Tabelle512182471281[[#This Row],[Length3]]</f>
        <v>0</v>
      </c>
      <c r="U12" s="42">
        <f t="shared" si="3"/>
        <v>2.8</v>
      </c>
      <c r="V12" s="3">
        <v>0</v>
      </c>
      <c r="W12" s="3">
        <f>(1-$BQ$16)*Tabelle2915214978[[#This Row],[North2]]+(1-$BR$16)*Tabelle2915214978[[#This Row],[East2]]+(1-$BS$16)*Tabelle2915214978[[#This Row],[South2]]+(1-$BT$16)*Tabelle2915214978[[#This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IF(Tabelle1814203877[[#This Row],[(f)loor/(c )eiling]]="c",Tabelle1814203877[[#This Row],[Total Area size '[m^2']]],0)</f>
        <v>12</v>
      </c>
      <c r="Z12" s="42">
        <f>IF(Tabelle1814203877[[#This Row],[(f)loor/(c )eiling]]="f",Tabelle1814203877[[#This Row],[Total Area size '[m^2']]],0)</f>
        <v>0</v>
      </c>
      <c r="AA12" s="5"/>
      <c r="AB12" s="2">
        <v>0</v>
      </c>
      <c r="AC12" s="2">
        <v>1</v>
      </c>
      <c r="AD12" s="2">
        <v>0</v>
      </c>
      <c r="AE12" s="2">
        <v>0</v>
      </c>
      <c r="AF12" s="42">
        <f t="shared" si="4"/>
        <v>2.8</v>
      </c>
      <c r="AG12" s="2">
        <f>0.9+0.75</f>
        <v>1.65</v>
      </c>
      <c r="AH12" s="44">
        <v>0</v>
      </c>
      <c r="AI12" s="6">
        <v>0</v>
      </c>
      <c r="AJ12" s="2">
        <v>0</v>
      </c>
      <c r="AK12" s="2">
        <v>1</v>
      </c>
      <c r="AL12" s="2">
        <v>0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Tabelle310162251079[[#This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Tabelle310162251079[[#This Row],[North]]*$AF12*$AG12+AK12*$AM12*$AN12+AR12*$AT12*$AU12+AY12*$BA12*$BB12+BF12*$BH12*$BI12-BM12</f>
        <v>7.4759999999999991</v>
      </c>
      <c r="BR12" s="2">
        <f t="shared" si="15"/>
        <v>4.6199999999999992</v>
      </c>
      <c r="BS12" s="2">
        <f t="shared" si="16"/>
        <v>0</v>
      </c>
      <c r="BT12" s="7">
        <f t="shared" si="17"/>
        <v>0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Tabelle512182471281[[#This Row],[Height]]*Tabelle512182471281[[#This Row],[Length]]</f>
        <v>17.64</v>
      </c>
      <c r="R13" s="42">
        <f t="shared" si="1"/>
        <v>2.8</v>
      </c>
      <c r="S13" s="33">
        <v>0</v>
      </c>
      <c r="T13" s="40">
        <f>Tabelle512182471281[[#This Row],[Height2]]*Tabelle512182471281[[#This Row],[Length3]]</f>
        <v>0</v>
      </c>
      <c r="U13" s="42">
        <f t="shared" si="3"/>
        <v>2.8</v>
      </c>
      <c r="V13" s="3">
        <v>0</v>
      </c>
      <c r="W13" s="3">
        <f>(1-$BQ$16)*Tabelle2915214978[[#This Row],[North2]]+(1-$BR$16)*Tabelle2915214978[[#This Row],[East2]]+(1-$BS$16)*Tabelle2915214978[[#This Row],[South2]]+(1-$BT$16)*Tabelle2915214978[[#This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IF(Tabelle1814203877[[#This Row],[(f)loor/(c )eiling]]="c",Tabelle1814203877[[#This Row],[Total Area size '[m^2']]],0)</f>
        <v>4.5</v>
      </c>
      <c r="Z13" s="42">
        <f>IF(Tabelle1814203877[[#This Row],[(f)loor/(c )eiling]]="f",Tabelle1814203877[[#This Row],[Total Area size '[m^2']]],0)</f>
        <v>0</v>
      </c>
      <c r="AA13" s="5"/>
      <c r="AB13" s="2">
        <v>0</v>
      </c>
      <c r="AC13" s="2">
        <v>0</v>
      </c>
      <c r="AD13" s="2">
        <v>1</v>
      </c>
      <c r="AE13" s="2">
        <v>0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Tabelle310162251079[[#This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Tabelle310162251079[[#This Row],[North]]*$AF13*$AG13+AK13*$AM13*$AN13+AR13*$AT13*$AU13+AY13*$BA13*$BB13+BF13*$BH13*$BI13-BM13</f>
        <v>6.5940000000000012</v>
      </c>
      <c r="BR13" s="2">
        <f t="shared" si="15"/>
        <v>0</v>
      </c>
      <c r="BS13" s="2">
        <f t="shared" si="16"/>
        <v>0</v>
      </c>
      <c r="BT13" s="7">
        <f t="shared" si="17"/>
        <v>0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Tabelle512182471281[[#This Row],[Height]]*Tabelle512182471281[[#This Row],[Length]]</f>
        <v>0</v>
      </c>
      <c r="R14" s="42">
        <f t="shared" si="1"/>
        <v>2.8</v>
      </c>
      <c r="S14" s="3">
        <v>0</v>
      </c>
      <c r="T14" s="40">
        <f>Tabelle512182471281[[#This Row],[Height2]]*Tabelle512182471281[[#This Row],[Length3]]</f>
        <v>0</v>
      </c>
      <c r="U14" s="42">
        <f t="shared" si="3"/>
        <v>2.8</v>
      </c>
      <c r="V14" s="3">
        <v>0</v>
      </c>
      <c r="W14" s="3">
        <f>(1-$BQ$16)*Tabelle2915214978[[#This Row],[North2]]+(1-$BR$16)*Tabelle2915214978[[#This Row],[East2]]+(1-$BS$16)*Tabelle2915214978[[#This Row],[South2]]+(1-$BT$16)*Tabelle2915214978[[#This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IF(Tabelle1814203877[[#This Row],[(f)loor/(c )eiling]]="c",Tabelle1814203877[[#This Row],[Total Area size '[m^2']]],0)</f>
        <v>0</v>
      </c>
      <c r="Z14" s="42">
        <f>IF(Tabelle1814203877[[#This Row],[(f)loor/(c )eiling]]="f",Tabelle1814203877[[#This Row],[Total Area size '[m^2']]],0)</f>
        <v>7.7</v>
      </c>
      <c r="AA14" s="5"/>
      <c r="AB14" s="2">
        <v>0</v>
      </c>
      <c r="AC14" s="2">
        <v>0</v>
      </c>
      <c r="AD14" s="2">
        <v>1</v>
      </c>
      <c r="AE14" s="2">
        <v>0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Tabelle310162251079[[#This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Tabelle310162251079[[#This Row],[North]]*$AF14*$AG14+AK14*$AM14*$AN14+AR14*$AT14*$AU14+AY14*$BA14*$BB14+BF14*$BH14*$BI14-BM14</f>
        <v>7.4759999999999991</v>
      </c>
      <c r="BR14" s="2">
        <f t="shared" ref="BR14" si="21">AC14*$AF14*$AG14+AJ14*$AM14*$AN14+AQ14*$AT14*$AU14+AX14*$BA14*$BB14+BE14*$BH14*$BI14-BN14</f>
        <v>0</v>
      </c>
      <c r="BS14" s="2">
        <f t="shared" ref="BS14" si="22">AB14*$AF14*$AG14+AI14*$AM14*$AN14+AP14*$AT14*$AU14+AW14*$BA14*$BB14+BD14*$BH14*$BI14-BO14</f>
        <v>0</v>
      </c>
      <c r="BT14" s="7">
        <f t="shared" ref="BT14" si="23">AE14*$AF14*$AG14+AL14*$AM14*$AN14+AS14*$AT14*$AU14+AZ14*$BA14*$BB14+BG14*$BH14*$BI14-BP14</f>
        <v>0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>
        <f>Tabelle5121824712[[#This Row],[Height22]]*Tabelle5121824712[[#This Row],[Length33]]+Tabelle5121824712[[#This Row],[Length34]]/2</f>
        <v>0</v>
      </c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24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>
        <f>Tabelle5121824712[[#This Row],[Height22]]*Tabelle5121824712[[#This Row],[Length33]]+Tabelle5121824712[[#This Row],[Length34]]/2</f>
        <v>0</v>
      </c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0</v>
      </c>
      <c r="BR16" s="2">
        <v>1</v>
      </c>
      <c r="BS16" s="2">
        <v>1</v>
      </c>
      <c r="BT16" s="2">
        <v>1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24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>
        <f>Tabelle5121824712[[#This Row],[Height22]]*Tabelle5121824712[[#This Row],[Length33]]+Tabelle5121824712[[#This Row],[Length34]]/2</f>
        <v>0</v>
      </c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>
        <f>Tabelle5121824712[[#This Row],[Height22]]*Tabelle5121824712[[#This Row],[Length33]]+Tabelle5121824712[[#This Row],[Length34]]/2</f>
        <v>0</v>
      </c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0</v>
      </c>
      <c r="BN22" s="61">
        <f t="shared" ref="BN22:BP25" si="25">SUMIF($C$5:$C$18,$BL22,BN$5:BN$18)</f>
        <v>2.2200000000000002</v>
      </c>
      <c r="BO22" s="61">
        <f t="shared" si="25"/>
        <v>6.6</v>
      </c>
      <c r="BP22" s="61">
        <f t="shared" si="25"/>
        <v>8.7100000000000009</v>
      </c>
      <c r="BQ22" s="61">
        <f t="shared" ref="BQ22:BT25" si="26">SUMIF($C$5:$C$18,$BL22,BQ$5:BQ$18)*BQ$16</f>
        <v>0</v>
      </c>
      <c r="BR22" s="61">
        <f t="shared" si="26"/>
        <v>10.211999999999998</v>
      </c>
      <c r="BS22" s="61">
        <f t="shared" si="26"/>
        <v>25.040000000000003</v>
      </c>
      <c r="BT22" s="61">
        <f t="shared" si="26"/>
        <v>14.501999999999995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25"/>
        <v>0.64</v>
      </c>
      <c r="BO23" s="61">
        <f t="shared" si="25"/>
        <v>0</v>
      </c>
      <c r="BP23" s="61">
        <f t="shared" si="25"/>
        <v>0</v>
      </c>
      <c r="BQ23" s="61">
        <f t="shared" si="26"/>
        <v>0</v>
      </c>
      <c r="BR23" s="61">
        <f t="shared" si="26"/>
        <v>10.14</v>
      </c>
      <c r="BS23" s="61">
        <f t="shared" si="26"/>
        <v>0</v>
      </c>
      <c r="BT23" s="61">
        <f t="shared" si="26"/>
        <v>0</v>
      </c>
      <c r="BU23" s="61">
        <f t="shared" ref="BU23:BU25" si="27">SUMIF($C$5:$C$18,$BL23,BU$5:BU$18)</f>
        <v>7.7</v>
      </c>
      <c r="BV23" s="61">
        <f t="shared" ref="BV23:BV25" si="28">BU23*$BU$30</f>
        <v>15.238461538461538</v>
      </c>
      <c r="BW23" s="61">
        <f t="shared" ref="BW23:BW25" si="29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30">SUMIF($C$5:$C$18,$C24,$Y$5:$Y$18)/$G$2</f>
        <v>9.15</v>
      </c>
      <c r="Z24" s="55">
        <f t="shared" ref="Z24:Z26" si="31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0</v>
      </c>
      <c r="BN24" s="61">
        <f t="shared" si="25"/>
        <v>0</v>
      </c>
      <c r="BO24" s="61">
        <f t="shared" si="25"/>
        <v>5.76</v>
      </c>
      <c r="BP24" s="61">
        <f t="shared" si="25"/>
        <v>2</v>
      </c>
      <c r="BQ24" s="61">
        <f t="shared" si="26"/>
        <v>0</v>
      </c>
      <c r="BR24" s="61">
        <f t="shared" si="26"/>
        <v>12.068000000000001</v>
      </c>
      <c r="BS24" s="61">
        <f t="shared" si="26"/>
        <v>25.88</v>
      </c>
      <c r="BT24" s="61">
        <f t="shared" si="26"/>
        <v>21.212000000000003</v>
      </c>
      <c r="BU24" s="61">
        <f t="shared" si="27"/>
        <v>42.6</v>
      </c>
      <c r="BV24" s="61">
        <f t="shared" si="28"/>
        <v>84.306293706293701</v>
      </c>
      <c r="BW24" s="61">
        <f t="shared" si="29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30"/>
        <v>0</v>
      </c>
      <c r="Z25" s="55">
        <f t="shared" si="31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25"/>
        <v>1</v>
      </c>
      <c r="BO25" s="61">
        <f t="shared" si="25"/>
        <v>0</v>
      </c>
      <c r="BP25" s="61">
        <f t="shared" si="25"/>
        <v>0</v>
      </c>
      <c r="BQ25" s="61">
        <f t="shared" si="26"/>
        <v>0</v>
      </c>
      <c r="BR25" s="61">
        <f t="shared" si="26"/>
        <v>10.144</v>
      </c>
      <c r="BS25" s="61">
        <f t="shared" si="26"/>
        <v>0</v>
      </c>
      <c r="BT25" s="61">
        <f t="shared" si="26"/>
        <v>0</v>
      </c>
      <c r="BU25" s="61">
        <f t="shared" si="27"/>
        <v>6.9</v>
      </c>
      <c r="BV25" s="61">
        <f t="shared" si="28"/>
        <v>13.655244755244755</v>
      </c>
      <c r="BW25" s="61">
        <f t="shared" si="29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30"/>
        <v>0</v>
      </c>
      <c r="Z26" s="55">
        <f t="shared" si="31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32">SUM(BM22:BM26)</f>
        <v>0</v>
      </c>
      <c r="BN27" s="66">
        <f t="shared" si="32"/>
        <v>3.8600000000000003</v>
      </c>
      <c r="BO27" s="66">
        <f t="shared" si="32"/>
        <v>12.36</v>
      </c>
      <c r="BP27" s="66">
        <f t="shared" si="32"/>
        <v>10.71</v>
      </c>
      <c r="BQ27" s="66">
        <f t="shared" si="32"/>
        <v>0</v>
      </c>
      <c r="BR27" s="66">
        <f t="shared" si="32"/>
        <v>42.564</v>
      </c>
      <c r="BS27" s="66">
        <f t="shared" si="32"/>
        <v>50.92</v>
      </c>
      <c r="BT27" s="66">
        <f t="shared" si="32"/>
        <v>35.713999999999999</v>
      </c>
      <c r="BU27" s="66">
        <f t="shared" si="32"/>
        <v>57.2</v>
      </c>
      <c r="BV27" s="66">
        <f t="shared" si="32"/>
        <v>113.19999999999999</v>
      </c>
      <c r="BW27" s="66">
        <f t="shared" si="32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33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33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33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38" priority="2" operator="lessThan">
      <formula>0.03</formula>
    </cfRule>
  </conditionalFormatting>
  <conditionalFormatting sqref="I23:I28">
    <cfRule type="cellIs" dxfId="37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7"/>
  <sheetViews>
    <sheetView zoomScale="70" zoomScaleNormal="70" workbookViewId="0">
      <pane xSplit="2" ySplit="4" topLeftCell="BL17" activePane="bottomRight" state="frozen"/>
      <selection activeCell="X55" sqref="X55"/>
      <selection pane="topRight" activeCell="X55" sqref="X55"/>
      <selection pane="bottomLeft" activeCell="X55" sqref="X55"/>
      <selection pane="bottomRight" activeCell="BW45" sqref="BW45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118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Tabelle51218247128191[[#This Row],[Height]]*Tabelle51218247128191[[#This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Tabelle51218247128191[[#This Row],[Height2]]*Tabelle51218247128191[[#This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(1-$BQ$16)*Tabelle291521497888[[#This Row],[North2]]+(1-$BR$16)*Tabelle291521497888[[#This Row],[East2]]+(1-$BS$16)*Tabelle291521497888[[#This Row],[South2]]+(1-$BT$16)*Tabelle291521497888[[#This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IF(Tabelle181420387787[[#This Row],[(f)loor/(c )eiling]]="c",Tabelle181420387787[[#This Row],[Total Area size '[m^2']]],0)</f>
        <v>45.6</v>
      </c>
      <c r="Z5" s="42">
        <f>IF(Tabelle181420387787[[#This Row],[(f)loor/(c )eiling]]="f",Tabelle181420387787[[#This Row],[Total Area size '[m^2']]],0)</f>
        <v>0</v>
      </c>
      <c r="AA5" s="5"/>
      <c r="AB5" s="2">
        <v>1</v>
      </c>
      <c r="AC5" s="2">
        <v>0</v>
      </c>
      <c r="AD5" s="2">
        <v>0</v>
      </c>
      <c r="AE5" s="2">
        <v>0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1</v>
      </c>
      <c r="AK5" s="2">
        <v>0</v>
      </c>
      <c r="AL5" s="2">
        <v>0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0</v>
      </c>
      <c r="AQ5" s="2">
        <v>0</v>
      </c>
      <c r="AR5" s="2">
        <v>1</v>
      </c>
      <c r="AS5" s="2">
        <v>0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Tabelle31016225107989[[#This Row],[North]]*$AH5+AK5*$AO5+AR5*$AV5+AY5*$BC5+BF5*$BJ5</f>
        <v>0</v>
      </c>
      <c r="BN5" s="2">
        <f t="shared" ref="BN5:BN13" si="12">AC5*$AH5+AJ5*$AO5+AQ5*$AV5+AX5*$BC5+BE5*$BJ5</f>
        <v>8.7100000000000009</v>
      </c>
      <c r="BO5" s="2">
        <f t="shared" ref="BO5:BO13" si="13">AB5*$AH5+AI5*$AO5+AP5*$AV5+AW5*$BC5+BD5*$BJ5</f>
        <v>5.16</v>
      </c>
      <c r="BP5" s="2">
        <f t="shared" ref="BP5:BP13" si="14">AE5*$AH5+AL5*$AO5+AS5*$AV5+AZ5*$BC5+BG5*$BJ5</f>
        <v>0</v>
      </c>
      <c r="BQ5" s="6">
        <f>Tabelle31016225107989[[#This Row],[North]]*$AF5*$AG5+AK5*$AM5*$AN5+AR5*$AT5*$AU5+AY5*$BA5*$BB5+BF5*$BH5*$BI5-BM5</f>
        <v>14.027999999999999</v>
      </c>
      <c r="BR5" s="2">
        <f t="shared" ref="BR5:BR13" si="15">AC5*$AF5*$AG5+AJ5*$AM5*$AN5+AQ5*$AT5*$AU5+AX5*$BA5*$BB5+BE5*$BH5*$BI5-BN5</f>
        <v>14.501999999999995</v>
      </c>
      <c r="BS5" s="2">
        <f t="shared" ref="BS5:BS13" si="16">AB5*$AF5*$AG5+AI5*$AM5*$AN5+AP5*$AT5*$AU5+AW5*$BA5*$BB5+BD5*$BH5*$BI5-BO5</f>
        <v>15.700000000000003</v>
      </c>
      <c r="BT5" s="7">
        <f t="shared" ref="BT5:BT13" si="17">AE5*$AF5*$AG5+AL5*$AM5*$AN5+AS5*$AT5*$AU5+AZ5*$BA5*$BB5+BG5*$BH5*$BI5-BP5</f>
        <v>0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Tabelle51218247128191[[#This Row],[Height]]*Tabelle51218247128191[[#This Row],[Length]]</f>
        <v>3.9199999999999995</v>
      </c>
      <c r="R6" s="42">
        <f t="shared" si="1"/>
        <v>2.8</v>
      </c>
      <c r="S6" s="3">
        <v>3.26</v>
      </c>
      <c r="T6" s="40">
        <f>Tabelle51218247128191[[#This Row],[Height2]]*Tabelle51218247128191[[#This Row],[Length3]]</f>
        <v>9.1279999999999983</v>
      </c>
      <c r="U6" s="42">
        <f t="shared" si="3"/>
        <v>2.8</v>
      </c>
      <c r="V6" s="3">
        <v>0</v>
      </c>
      <c r="W6" s="3">
        <f>(1-$BQ$16)*Tabelle291521497888[[#This Row],[North2]]+(1-$BR$16)*Tabelle291521497888[[#This Row],[East2]]+(1-$BS$16)*Tabelle291521497888[[#This Row],[South2]]+(1-$BT$16)*Tabelle291521497888[[#This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IF(Tabelle181420387787[[#This Row],[(f)loor/(c )eiling]]="c",Tabelle181420387787[[#This Row],[Total Area size '[m^2']]],0)</f>
        <v>12.7</v>
      </c>
      <c r="Z6" s="42">
        <f>IF(Tabelle181420387787[[#This Row],[(f)loor/(c )eiling]]="f",Tabelle181420387787[[#This Row],[Total Area size '[m^2']]],0)</f>
        <v>0</v>
      </c>
      <c r="AA6" s="5"/>
      <c r="AB6" s="2">
        <v>1</v>
      </c>
      <c r="AC6" s="2">
        <v>0</v>
      </c>
      <c r="AD6" s="2">
        <v>0</v>
      </c>
      <c r="AE6" s="2">
        <v>0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0</v>
      </c>
      <c r="AJ6" s="3">
        <v>0</v>
      </c>
      <c r="AK6" s="2">
        <v>0</v>
      </c>
      <c r="AL6" s="2">
        <v>1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Tabelle31016225107989[[#This Row],[North]]*$AH6+AK6*$AO6+AR6*$AV6+AY6*$BC6+BF6*$BJ6</f>
        <v>0</v>
      </c>
      <c r="BN6" s="2">
        <f t="shared" si="12"/>
        <v>0</v>
      </c>
      <c r="BO6" s="2">
        <f t="shared" si="13"/>
        <v>1.44</v>
      </c>
      <c r="BP6" s="2">
        <f t="shared" si="14"/>
        <v>2.2200000000000002</v>
      </c>
      <c r="BQ6" s="6">
        <f>Tabelle31016225107989[[#This Row],[North]]*$AF6*$AG6+AK6*$AM6*$AN6+AR6*$AT6*$AU6+AY6*$BA6*$BB6+BF6*$BH6*$BI6-BM6</f>
        <v>0</v>
      </c>
      <c r="BR6" s="2">
        <f t="shared" si="15"/>
        <v>0</v>
      </c>
      <c r="BS6" s="2">
        <f t="shared" si="16"/>
        <v>9.34</v>
      </c>
      <c r="BT6" s="7">
        <f t="shared" si="17"/>
        <v>10.211999999999998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Tabelle51218247128191[[#This Row],[Height]]*Tabelle51218247128191[[#This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Tabelle51218247128191[[#This Row],[Height2]]*Tabelle51218247128191[[#This Row],[Length3]]</f>
        <v>3.78</v>
      </c>
      <c r="U7" s="42">
        <f t="shared" si="3"/>
        <v>2.8</v>
      </c>
      <c r="V7" s="3">
        <v>0</v>
      </c>
      <c r="W7" s="3">
        <f>(1-$BQ$16)*Tabelle291521497888[[#This Row],[North2]]+(1-$BR$16)*Tabelle291521497888[[#This Row],[East2]]+(1-$BS$16)*Tabelle291521497888[[#This Row],[South2]]+(1-$BT$16)*Tabelle291521497888[[#This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IF(Tabelle181420387787[[#This Row],[(f)loor/(c )eiling]]="c",Tabelle181420387787[[#This Row],[Total Area size '[m^2']]],0)</f>
        <v>0</v>
      </c>
      <c r="Z7" s="42">
        <f>IF(Tabelle181420387787[[#This Row],[(f)loor/(c )eiling]]="f",Tabelle181420387787[[#This Row],[Total Area size '[m^2']]],0)</f>
        <v>12.5</v>
      </c>
      <c r="AA7" s="5"/>
      <c r="AB7" s="2">
        <v>1</v>
      </c>
      <c r="AC7" s="2">
        <v>0</v>
      </c>
      <c r="AD7" s="2">
        <v>0</v>
      </c>
      <c r="AE7" s="2">
        <v>0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0</v>
      </c>
      <c r="AJ7" s="2">
        <v>0</v>
      </c>
      <c r="AK7" s="2">
        <v>0</v>
      </c>
      <c r="AL7" s="2">
        <v>1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Tabelle31016225107989[[#This Row],[North]]*$AH7+AK7*$AO7+AR7*$AV7+AY7*$BC7+BF7*$BJ7</f>
        <v>0</v>
      </c>
      <c r="BN7" s="2">
        <f t="shared" si="12"/>
        <v>0</v>
      </c>
      <c r="BO7" s="2">
        <f t="shared" si="13"/>
        <v>2.88</v>
      </c>
      <c r="BP7" s="2">
        <f t="shared" si="14"/>
        <v>0</v>
      </c>
      <c r="BQ7" s="6">
        <f>Tabelle31016225107989[[#This Row],[North]]*$AF7*$AG7+AK7*$AM7*$AN7+AR7*$AT7*$AU7+AY7*$BA7*$BB7+BF7*$BH7*$BI7-BM7</f>
        <v>0</v>
      </c>
      <c r="BR7" s="2">
        <f t="shared" si="15"/>
        <v>0</v>
      </c>
      <c r="BS7" s="2">
        <f t="shared" si="16"/>
        <v>10.98</v>
      </c>
      <c r="BT7" s="7">
        <f t="shared" si="17"/>
        <v>12.068000000000001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Tabelle51218247128191[[#This Row],[Height]]*Tabelle51218247128191[[#This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Tabelle51218247128191[[#This Row],[Height2]]*Tabelle51218247128191[[#This Row],[Length3]]</f>
        <v>3.78</v>
      </c>
      <c r="U8" s="42">
        <f t="shared" si="3"/>
        <v>2.8</v>
      </c>
      <c r="V8" s="3">
        <v>0</v>
      </c>
      <c r="W8" s="3">
        <f>(1-$BQ$16)*Tabelle291521497888[[#This Row],[North2]]+(1-$BR$16)*Tabelle291521497888[[#This Row],[East2]]+(1-$BS$16)*Tabelle291521497888[[#This Row],[South2]]+(1-$BT$16)*Tabelle291521497888[[#This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IF(Tabelle181420387787[[#This Row],[(f)loor/(c )eiling]]="c",Tabelle181420387787[[#This Row],[Total Area size '[m^2']]],0)</f>
        <v>0</v>
      </c>
      <c r="Z8" s="42">
        <f>IF(Tabelle181420387787[[#This Row],[(f)loor/(c )eiling]]="f",Tabelle181420387787[[#This Row],[Total Area size '[m^2']]],0)</f>
        <v>18</v>
      </c>
      <c r="AA8" s="5"/>
      <c r="AB8" s="2">
        <v>1</v>
      </c>
      <c r="AC8" s="2">
        <v>0</v>
      </c>
      <c r="AD8" s="2">
        <v>0</v>
      </c>
      <c r="AE8" s="2">
        <v>0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1</v>
      </c>
      <c r="AK8" s="2">
        <v>0</v>
      </c>
      <c r="AL8" s="2">
        <v>0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Tabelle31016225107989[[#This Row],[North]]*$AH8+AK8*$AO8+AR8*$AV8+AY8*$BC8+BF8*$BJ8</f>
        <v>0</v>
      </c>
      <c r="BN8" s="2">
        <f t="shared" si="12"/>
        <v>0</v>
      </c>
      <c r="BO8" s="2">
        <f t="shared" si="13"/>
        <v>2.88</v>
      </c>
      <c r="BP8" s="2">
        <f t="shared" si="14"/>
        <v>0</v>
      </c>
      <c r="BQ8" s="6">
        <f>Tabelle31016225107989[[#This Row],[North]]*$AF8*$AG8+AK8*$AM8*$AN8+AR8*$AT8*$AU8+AY8*$BA8*$BB8+BF8*$BH8*$BI8-BM8</f>
        <v>0</v>
      </c>
      <c r="BR8" s="2">
        <f t="shared" si="15"/>
        <v>12.068000000000001</v>
      </c>
      <c r="BS8" s="2">
        <f t="shared" si="16"/>
        <v>14.899999999999999</v>
      </c>
      <c r="BT8" s="7">
        <f t="shared" si="17"/>
        <v>0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Tabelle51218247128191[[#This Row],[Height]]*Tabelle51218247128191[[#This Row],[Length]]</f>
        <v>10.555999999999999</v>
      </c>
      <c r="R9" s="42">
        <f t="shared" si="1"/>
        <v>2.8</v>
      </c>
      <c r="S9" s="3">
        <v>3.75</v>
      </c>
      <c r="T9" s="40">
        <f>Tabelle51218247128191[[#This Row],[Height2]]*Tabelle51218247128191[[#This Row],[Length3]]</f>
        <v>10.5</v>
      </c>
      <c r="U9" s="42">
        <f t="shared" si="3"/>
        <v>2.8</v>
      </c>
      <c r="V9" s="3">
        <v>0</v>
      </c>
      <c r="W9" s="3">
        <f>(1-$BQ$16)*Tabelle291521497888[[#This Row],[North2]]+(1-$BR$16)*Tabelle291521497888[[#This Row],[East2]]+(1-$BS$16)*Tabelle291521497888[[#This Row],[South2]]+(1-$BT$16)*Tabelle291521497888[[#This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IF(Tabelle181420387787[[#This Row],[(f)loor/(c )eiling]]="c",Tabelle181420387787[[#This Row],[Total Area size '[m^2']]],0)</f>
        <v>0</v>
      </c>
      <c r="Z9" s="42">
        <f>IF(Tabelle181420387787[[#This Row],[(f)loor/(c )eiling]]="f",Tabelle181420387787[[#This Row],[Total Area size '[m^2']]],0)</f>
        <v>12.1</v>
      </c>
      <c r="AA9" s="5"/>
      <c r="AB9" s="2">
        <v>0</v>
      </c>
      <c r="AC9" s="2">
        <v>1</v>
      </c>
      <c r="AD9" s="2">
        <v>0</v>
      </c>
      <c r="AE9" s="2">
        <v>0</v>
      </c>
      <c r="AF9" s="42">
        <f t="shared" si="4"/>
        <v>2.8</v>
      </c>
      <c r="AG9" s="2">
        <f>0.07+3.77+0.14</f>
        <v>3.98</v>
      </c>
      <c r="AH9" s="44">
        <v>2</v>
      </c>
      <c r="AI9" s="6">
        <v>0</v>
      </c>
      <c r="AJ9" s="2">
        <v>0</v>
      </c>
      <c r="AK9" s="2">
        <v>1</v>
      </c>
      <c r="AL9" s="2">
        <v>0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Tabelle31016225107989[[#This Row],[North]]*$AH9+AK9*$AO9+AR9*$AV9+AY9*$BC9+BF9*$BJ9</f>
        <v>0</v>
      </c>
      <c r="BN9" s="2">
        <f t="shared" si="12"/>
        <v>2</v>
      </c>
      <c r="BO9" s="2">
        <f t="shared" si="13"/>
        <v>0</v>
      </c>
      <c r="BP9" s="2">
        <f t="shared" si="14"/>
        <v>0</v>
      </c>
      <c r="BQ9" s="6">
        <f>Tabelle31016225107989[[#This Row],[North]]*$AF9*$AG9+AK9*$AM9*$AN9+AR9*$AT9*$AU9+AY9*$BA9*$BB9+BF9*$BH9*$BI9-BM9</f>
        <v>14.028</v>
      </c>
      <c r="BR9" s="2">
        <f t="shared" si="15"/>
        <v>9.1440000000000001</v>
      </c>
      <c r="BS9" s="2">
        <f t="shared" si="16"/>
        <v>0</v>
      </c>
      <c r="BT9" s="7">
        <f t="shared" si="17"/>
        <v>0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Tabelle51218247128191[[#This Row],[Height]]*Tabelle51218247128191[[#This Row],[Length]]</f>
        <v>6.6639999999999997</v>
      </c>
      <c r="R10" s="42">
        <f t="shared" si="1"/>
        <v>2.8</v>
      </c>
      <c r="S10" s="3">
        <v>3.75</v>
      </c>
      <c r="T10" s="40">
        <f>Tabelle51218247128191[[#This Row],[Height2]]*Tabelle51218247128191[[#This Row],[Length3]]</f>
        <v>10.5</v>
      </c>
      <c r="U10" s="42">
        <f t="shared" si="3"/>
        <v>2.8</v>
      </c>
      <c r="V10" s="3">
        <v>0</v>
      </c>
      <c r="W10" s="3">
        <f>(1-$BQ$16)*Tabelle291521497888[[#This Row],[North2]]+(1-$BR$16)*Tabelle291521497888[[#This Row],[East2]]+(1-$BS$16)*Tabelle291521497888[[#This Row],[South2]]+(1-$BT$16)*Tabelle291521497888[[#This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IF(Tabelle181420387787[[#This Row],[(f)loor/(c )eiling]]="c",Tabelle181420387787[[#This Row],[Total Area size '[m^2']]],0)</f>
        <v>0</v>
      </c>
      <c r="Z10" s="42">
        <f>IF(Tabelle181420387787[[#This Row],[(f)loor/(c )eiling]]="f",Tabelle181420387787[[#This Row],[Total Area size '[m^2']]],0)</f>
        <v>6.9</v>
      </c>
      <c r="AA10" s="5"/>
      <c r="AB10" s="2">
        <v>0</v>
      </c>
      <c r="AC10" s="2">
        <v>0</v>
      </c>
      <c r="AD10" s="2">
        <v>0</v>
      </c>
      <c r="AE10" s="2">
        <v>1</v>
      </c>
      <c r="AF10" s="42">
        <f t="shared" si="4"/>
        <v>2.8</v>
      </c>
      <c r="AG10" s="2">
        <f>0.14+3.77+0.07</f>
        <v>3.98</v>
      </c>
      <c r="AH10" s="44">
        <v>1</v>
      </c>
      <c r="AI10" s="6">
        <v>0</v>
      </c>
      <c r="AJ10" s="2">
        <v>0</v>
      </c>
      <c r="AK10" s="3">
        <v>1</v>
      </c>
      <c r="AL10" s="2">
        <v>0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Tabelle31016225107989[[#This Row],[North]]*$AH10+AK10*$AO10+AR10*$AV10+AY10*$BC10+BF10*$BJ10</f>
        <v>0</v>
      </c>
      <c r="BN10" s="2">
        <f t="shared" si="12"/>
        <v>0</v>
      </c>
      <c r="BO10" s="2">
        <f t="shared" si="13"/>
        <v>0</v>
      </c>
      <c r="BP10" s="2">
        <f t="shared" si="14"/>
        <v>1</v>
      </c>
      <c r="BQ10" s="6">
        <f>Tabelle31016225107989[[#This Row],[North]]*$AF10*$AG10+AK10*$AM10*$AN10+AR10*$AT10*$AU10+AY10*$BA10*$BB10+BF10*$BH10*$BI10-BM10</f>
        <v>10.135999999999999</v>
      </c>
      <c r="BR10" s="2">
        <f t="shared" si="15"/>
        <v>0</v>
      </c>
      <c r="BS10" s="2">
        <f t="shared" si="16"/>
        <v>0</v>
      </c>
      <c r="BT10" s="7">
        <f t="shared" si="17"/>
        <v>10.144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Tabelle51218247128191[[#This Row],[Height]]*Tabelle51218247128191[[#This Row],[Length]]</f>
        <v>8.1760000000000002</v>
      </c>
      <c r="R11" s="42">
        <f t="shared" si="1"/>
        <v>2.8</v>
      </c>
      <c r="S11" s="3">
        <v>0</v>
      </c>
      <c r="T11" s="40">
        <f>Tabelle51218247128191[[#This Row],[Height2]]*Tabelle51218247128191[[#This Row],[Length3]]</f>
        <v>0</v>
      </c>
      <c r="U11" s="42">
        <f t="shared" si="3"/>
        <v>2.8</v>
      </c>
      <c r="V11" s="3">
        <v>0</v>
      </c>
      <c r="W11" s="3">
        <f>(1-$BQ$16)*Tabelle291521497888[[#This Row],[North2]]+(1-$BR$16)*Tabelle291521497888[[#This Row],[East2]]+(1-$BS$16)*Tabelle291521497888[[#This Row],[South2]]+(1-$BT$16)*Tabelle291521497888[[#This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IF(Tabelle181420387787[[#This Row],[(f)loor/(c )eiling]]="c",Tabelle181420387787[[#This Row],[Total Area size '[m^2']]],0)</f>
        <v>1.8</v>
      </c>
      <c r="Z11" s="42">
        <f>IF(Tabelle181420387787[[#This Row],[(f)loor/(c )eiling]]="f",Tabelle181420387787[[#This Row],[Total Area size '[m^2']]],0)</f>
        <v>0</v>
      </c>
      <c r="AA11" s="5"/>
      <c r="AB11" s="2">
        <v>0</v>
      </c>
      <c r="AC11" s="2">
        <v>0</v>
      </c>
      <c r="AD11" s="2">
        <v>0</v>
      </c>
      <c r="AE11" s="2">
        <v>1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0</v>
      </c>
      <c r="AJ11" s="2">
        <v>0</v>
      </c>
      <c r="AK11" s="2">
        <v>1</v>
      </c>
      <c r="AL11" s="2">
        <v>0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Tabelle31016225107989[[#This Row],[North]]*$AH11+AK11*$AO11+AR11*$AV11+AY11*$BC11+BF11*$BJ11</f>
        <v>0</v>
      </c>
      <c r="BN11" s="2">
        <f t="shared" si="12"/>
        <v>0</v>
      </c>
      <c r="BO11" s="2">
        <f t="shared" si="13"/>
        <v>0</v>
      </c>
      <c r="BP11" s="2">
        <f t="shared" si="14"/>
        <v>0.64</v>
      </c>
      <c r="BQ11" s="6">
        <f>Tabelle31016225107989[[#This Row],[North]]*$AF11*$AG11+AK11*$AM11*$AN11+AR11*$AT11*$AU11+AY11*$BA11*$BB11+BF11*$BH11*$BI11-BM11</f>
        <v>3.5419999999999994</v>
      </c>
      <c r="BR11" s="2">
        <f t="shared" si="15"/>
        <v>0</v>
      </c>
      <c r="BS11" s="2">
        <f t="shared" si="16"/>
        <v>0</v>
      </c>
      <c r="BT11" s="7">
        <f t="shared" si="17"/>
        <v>5.5200000000000005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Tabelle51218247128191[[#This Row],[Height]]*Tabelle51218247128191[[#This Row],[Length]]</f>
        <v>14.391999999999998</v>
      </c>
      <c r="R12" s="42">
        <f t="shared" si="1"/>
        <v>2.8</v>
      </c>
      <c r="S12" s="3">
        <v>0</v>
      </c>
      <c r="T12" s="40">
        <f>Tabelle51218247128191[[#This Row],[Height2]]*Tabelle51218247128191[[#This Row],[Length3]]</f>
        <v>0</v>
      </c>
      <c r="U12" s="42">
        <f t="shared" si="3"/>
        <v>2.8</v>
      </c>
      <c r="V12" s="3">
        <v>0</v>
      </c>
      <c r="W12" s="3">
        <f>(1-$BQ$16)*Tabelle291521497888[[#This Row],[North2]]+(1-$BR$16)*Tabelle291521497888[[#This Row],[East2]]+(1-$BS$16)*Tabelle291521497888[[#This Row],[South2]]+(1-$BT$16)*Tabelle291521497888[[#This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IF(Tabelle181420387787[[#This Row],[(f)loor/(c )eiling]]="c",Tabelle181420387787[[#This Row],[Total Area size '[m^2']]],0)</f>
        <v>12</v>
      </c>
      <c r="Z12" s="42">
        <f>IF(Tabelle181420387787[[#This Row],[(f)loor/(c )eiling]]="f",Tabelle181420387787[[#This Row],[Total Area size '[m^2']]],0)</f>
        <v>0</v>
      </c>
      <c r="AA12" s="5"/>
      <c r="AB12" s="2">
        <v>0</v>
      </c>
      <c r="AC12" s="2">
        <v>0</v>
      </c>
      <c r="AD12" s="2">
        <v>0</v>
      </c>
      <c r="AE12" s="2">
        <v>1</v>
      </c>
      <c r="AF12" s="42">
        <f t="shared" si="4"/>
        <v>2.8</v>
      </c>
      <c r="AG12" s="2">
        <f>0.9+0.75</f>
        <v>1.65</v>
      </c>
      <c r="AH12" s="44">
        <v>0</v>
      </c>
      <c r="AI12" s="6">
        <v>0</v>
      </c>
      <c r="AJ12" s="2">
        <v>0</v>
      </c>
      <c r="AK12" s="2">
        <v>1</v>
      </c>
      <c r="AL12" s="2">
        <v>0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Tabelle31016225107989[[#This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Tabelle31016225107989[[#This Row],[North]]*$AF12*$AG12+AK12*$AM12*$AN12+AR12*$AT12*$AU12+AY12*$BA12*$BB12+BF12*$BH12*$BI12-BM12</f>
        <v>7.4759999999999991</v>
      </c>
      <c r="BR12" s="2">
        <f t="shared" si="15"/>
        <v>0</v>
      </c>
      <c r="BS12" s="2">
        <f t="shared" si="16"/>
        <v>0</v>
      </c>
      <c r="BT12" s="7">
        <f t="shared" si="17"/>
        <v>4.6199999999999992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Tabelle51218247128191[[#This Row],[Height]]*Tabelle51218247128191[[#This Row],[Length]]</f>
        <v>17.64</v>
      </c>
      <c r="R13" s="42">
        <f t="shared" si="1"/>
        <v>2.8</v>
      </c>
      <c r="S13" s="33">
        <v>0</v>
      </c>
      <c r="T13" s="40">
        <f>Tabelle51218247128191[[#This Row],[Height2]]*Tabelle51218247128191[[#This Row],[Length3]]</f>
        <v>0</v>
      </c>
      <c r="U13" s="42">
        <f t="shared" si="3"/>
        <v>2.8</v>
      </c>
      <c r="V13" s="3">
        <v>0</v>
      </c>
      <c r="W13" s="3">
        <f>(1-$BQ$16)*Tabelle291521497888[[#This Row],[North2]]+(1-$BR$16)*Tabelle291521497888[[#This Row],[East2]]+(1-$BS$16)*Tabelle291521497888[[#This Row],[South2]]+(1-$BT$16)*Tabelle291521497888[[#This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IF(Tabelle181420387787[[#This Row],[(f)loor/(c )eiling]]="c",Tabelle181420387787[[#This Row],[Total Area size '[m^2']]],0)</f>
        <v>4.5</v>
      </c>
      <c r="Z13" s="42">
        <f>IF(Tabelle181420387787[[#This Row],[(f)loor/(c )eiling]]="f",Tabelle181420387787[[#This Row],[Total Area size '[m^2']]],0)</f>
        <v>0</v>
      </c>
      <c r="AA13" s="5"/>
      <c r="AB13" s="2">
        <v>0</v>
      </c>
      <c r="AC13" s="2">
        <v>0</v>
      </c>
      <c r="AD13" s="2">
        <v>1</v>
      </c>
      <c r="AE13" s="2">
        <v>0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Tabelle31016225107989[[#This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Tabelle31016225107989[[#This Row],[North]]*$AF13*$AG13+AK13*$AM13*$AN13+AR13*$AT13*$AU13+AY13*$BA13*$BB13+BF13*$BH13*$BI13-BM13</f>
        <v>6.5940000000000012</v>
      </c>
      <c r="BR13" s="2">
        <f t="shared" si="15"/>
        <v>0</v>
      </c>
      <c r="BS13" s="2">
        <f t="shared" si="16"/>
        <v>0</v>
      </c>
      <c r="BT13" s="7">
        <f t="shared" si="17"/>
        <v>0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Tabelle51218247128191[[#This Row],[Height]]*Tabelle51218247128191[[#This Row],[Length]]</f>
        <v>0</v>
      </c>
      <c r="R14" s="42">
        <f t="shared" si="1"/>
        <v>2.8</v>
      </c>
      <c r="S14" s="3">
        <v>0</v>
      </c>
      <c r="T14" s="40">
        <f>Tabelle51218247128191[[#This Row],[Height2]]*Tabelle51218247128191[[#This Row],[Length3]]</f>
        <v>0</v>
      </c>
      <c r="U14" s="42">
        <f t="shared" si="3"/>
        <v>2.8</v>
      </c>
      <c r="V14" s="3">
        <v>0</v>
      </c>
      <c r="W14" s="3">
        <f>(1-$BQ$16)*Tabelle291521497888[[#This Row],[North2]]+(1-$BR$16)*Tabelle291521497888[[#This Row],[East2]]+(1-$BS$16)*Tabelle291521497888[[#This Row],[South2]]+(1-$BT$16)*Tabelle291521497888[[#This Row],[West2]]</f>
        <v>7.4759999999999991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IF(Tabelle181420387787[[#This Row],[(f)loor/(c )eiling]]="c",Tabelle181420387787[[#This Row],[Total Area size '[m^2']]],0)</f>
        <v>0</v>
      </c>
      <c r="Z14" s="42">
        <f>IF(Tabelle181420387787[[#This Row],[(f)loor/(c )eiling]]="f",Tabelle181420387787[[#This Row],[Total Area size '[m^2']]],0)</f>
        <v>7.7</v>
      </c>
      <c r="AA14" s="5"/>
      <c r="AB14" s="2">
        <v>0</v>
      </c>
      <c r="AC14" s="2">
        <v>0</v>
      </c>
      <c r="AD14" s="2">
        <v>1</v>
      </c>
      <c r="AE14" s="2">
        <v>0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>
        <f>Tabelle31016225107989[[#This Row],[North]]*$AH14+AK14*$AO14+AR14*$AV14+AY14*$BC14+BF14*$BJ14</f>
        <v>0</v>
      </c>
      <c r="BN14" s="2">
        <f t="shared" ref="BN14" si="18">AC14*$AH14+AJ14*$AO14+AQ14*$AV14+AX14*$BC14+BE14*$BJ14</f>
        <v>0</v>
      </c>
      <c r="BO14" s="2">
        <f t="shared" ref="BO14" si="19">AB14*$AH14+AI14*$AO14+AP14*$AV14+AW14*$BC14+BD14*$BJ14</f>
        <v>0</v>
      </c>
      <c r="BP14" s="2">
        <f t="shared" ref="BP14" si="20">AE14*$AH14+AL14*$AO14+AS14*$AV14+AZ14*$BC14+BG14*$BJ14</f>
        <v>0</v>
      </c>
      <c r="BQ14" s="6">
        <f>Tabelle31016225107989[[#This Row],[North]]*$AF14*$AG14+AK14*$AM14*$AN14+AR14*$AT14*$AU14+AY14*$BA14*$BB14+BF14*$BH14*$BI14-BM14</f>
        <v>7.4759999999999991</v>
      </c>
      <c r="BR14" s="2">
        <f t="shared" ref="BR14" si="21">AC14*$AF14*$AG14+AJ14*$AM14*$AN14+AQ14*$AT14*$AU14+AX14*$BA14*$BB14+BE14*$BH14*$BI14-BN14</f>
        <v>0</v>
      </c>
      <c r="BS14" s="2">
        <f t="shared" ref="BS14" si="22">AB14*$AF14*$AG14+AI14*$AM14*$AN14+AP14*$AT14*$AU14+AW14*$BA14*$BB14+BD14*$BH14*$BI14-BO14</f>
        <v>0</v>
      </c>
      <c r="BT14" s="7">
        <f t="shared" ref="BT14" si="23">AE14*$AF14*$AG14+AL14*$AM14*$AN14+AS14*$AT14*$AU14+AZ14*$BA14*$BB14+BG14*$BH14*$BI14-BP14</f>
        <v>0</v>
      </c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>
        <f>Tabelle5121824712[[#This Row],[Height22]]*Tabelle5121824712[[#This Row],[Length33]]+Tabelle5121824712[[#This Row],[Length34]]/2</f>
        <v>0</v>
      </c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24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>
        <f>Tabelle5121824712[[#This Row],[Height22]]*Tabelle5121824712[[#This Row],[Length33]]+Tabelle5121824712[[#This Row],[Length34]]/2</f>
        <v>0</v>
      </c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0</v>
      </c>
      <c r="BR16" s="2">
        <v>1</v>
      </c>
      <c r="BS16" s="2">
        <v>1</v>
      </c>
      <c r="BT16" s="2">
        <v>1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24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>
        <f>Tabelle5121824712[[#This Row],[Height22]]*Tabelle5121824712[[#This Row],[Length33]]+Tabelle5121824712[[#This Row],[Length34]]/2</f>
        <v>0</v>
      </c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24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>
        <f>Tabelle5121824712[[#This Row],[Height22]]*Tabelle5121824712[[#This Row],[Length33]]+Tabelle5121824712[[#This Row],[Length34]]/2</f>
        <v>0</v>
      </c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0</v>
      </c>
      <c r="BN22" s="61">
        <f t="shared" ref="BN22:BP25" si="25">SUMIF($C$5:$C$18,$BL22,BN$5:BN$18)</f>
        <v>8.7100000000000009</v>
      </c>
      <c r="BO22" s="61">
        <f t="shared" si="25"/>
        <v>6.6</v>
      </c>
      <c r="BP22" s="61">
        <f t="shared" si="25"/>
        <v>2.2200000000000002</v>
      </c>
      <c r="BQ22" s="61">
        <f t="shared" ref="BQ22:BT25" si="26">SUMIF($C$5:$C$18,$BL22,BQ$5:BQ$18)*BQ$16</f>
        <v>0</v>
      </c>
      <c r="BR22" s="61">
        <f t="shared" si="26"/>
        <v>14.501999999999995</v>
      </c>
      <c r="BS22" s="61">
        <f t="shared" si="26"/>
        <v>25.040000000000003</v>
      </c>
      <c r="BT22" s="61">
        <f t="shared" si="26"/>
        <v>10.211999999999998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25"/>
        <v>0</v>
      </c>
      <c r="BO23" s="61">
        <f t="shared" si="25"/>
        <v>0</v>
      </c>
      <c r="BP23" s="61">
        <f t="shared" si="25"/>
        <v>0.64</v>
      </c>
      <c r="BQ23" s="61">
        <f t="shared" si="26"/>
        <v>0</v>
      </c>
      <c r="BR23" s="61">
        <f t="shared" si="26"/>
        <v>0</v>
      </c>
      <c r="BS23" s="61">
        <f t="shared" si="26"/>
        <v>0</v>
      </c>
      <c r="BT23" s="61">
        <f t="shared" si="26"/>
        <v>10.14</v>
      </c>
      <c r="BU23" s="61">
        <f t="shared" ref="BU23:BU25" si="27">SUMIF($C$5:$C$18,$BL23,BU$5:BU$18)</f>
        <v>7.7</v>
      </c>
      <c r="BV23" s="61">
        <f t="shared" ref="BV23:BV25" si="28">BU23*$BU$30</f>
        <v>15.238461538461538</v>
      </c>
      <c r="BW23" s="61">
        <f t="shared" ref="BW23:BW25" si="29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30">SUMIF($C$5:$C$18,$C24,$Y$5:$Y$18)/$G$2</f>
        <v>9.15</v>
      </c>
      <c r="Z24" s="55">
        <f t="shared" ref="Z24:Z26" si="31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0</v>
      </c>
      <c r="BN24" s="61">
        <f t="shared" si="25"/>
        <v>2</v>
      </c>
      <c r="BO24" s="61">
        <f t="shared" si="25"/>
        <v>5.76</v>
      </c>
      <c r="BP24" s="61">
        <f t="shared" si="25"/>
        <v>0</v>
      </c>
      <c r="BQ24" s="61">
        <f t="shared" si="26"/>
        <v>0</v>
      </c>
      <c r="BR24" s="61">
        <f t="shared" si="26"/>
        <v>21.212000000000003</v>
      </c>
      <c r="BS24" s="61">
        <f t="shared" si="26"/>
        <v>25.88</v>
      </c>
      <c r="BT24" s="61">
        <f t="shared" si="26"/>
        <v>12.068000000000001</v>
      </c>
      <c r="BU24" s="61">
        <f t="shared" si="27"/>
        <v>42.6</v>
      </c>
      <c r="BV24" s="61">
        <f t="shared" si="28"/>
        <v>84.306293706293701</v>
      </c>
      <c r="BW24" s="61">
        <f t="shared" si="29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30"/>
        <v>0</v>
      </c>
      <c r="Z25" s="55">
        <f t="shared" si="31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25"/>
        <v>0</v>
      </c>
      <c r="BO25" s="61">
        <f t="shared" si="25"/>
        <v>0</v>
      </c>
      <c r="BP25" s="61">
        <f t="shared" si="25"/>
        <v>1</v>
      </c>
      <c r="BQ25" s="61">
        <f t="shared" si="26"/>
        <v>0</v>
      </c>
      <c r="BR25" s="61">
        <f t="shared" si="26"/>
        <v>0</v>
      </c>
      <c r="BS25" s="61">
        <f t="shared" si="26"/>
        <v>0</v>
      </c>
      <c r="BT25" s="61">
        <f t="shared" si="26"/>
        <v>10.144</v>
      </c>
      <c r="BU25" s="61">
        <f t="shared" si="27"/>
        <v>6.9</v>
      </c>
      <c r="BV25" s="61">
        <f t="shared" si="28"/>
        <v>13.655244755244755</v>
      </c>
      <c r="BW25" s="61">
        <f t="shared" si="29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30"/>
        <v>0</v>
      </c>
      <c r="Z26" s="55">
        <f t="shared" si="31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32">SUM(BM22:BM26)</f>
        <v>0</v>
      </c>
      <c r="BN27" s="66">
        <f t="shared" si="32"/>
        <v>10.71</v>
      </c>
      <c r="BO27" s="66">
        <f t="shared" si="32"/>
        <v>12.36</v>
      </c>
      <c r="BP27" s="66">
        <f t="shared" si="32"/>
        <v>3.8600000000000003</v>
      </c>
      <c r="BQ27" s="66">
        <f t="shared" si="32"/>
        <v>0</v>
      </c>
      <c r="BR27" s="66">
        <f t="shared" si="32"/>
        <v>35.713999999999999</v>
      </c>
      <c r="BS27" s="66">
        <f t="shared" si="32"/>
        <v>50.92</v>
      </c>
      <c r="BT27" s="66">
        <f t="shared" si="32"/>
        <v>42.564</v>
      </c>
      <c r="BU27" s="66">
        <f t="shared" si="32"/>
        <v>57.2</v>
      </c>
      <c r="BV27" s="66">
        <f t="shared" si="32"/>
        <v>113.19999999999999</v>
      </c>
      <c r="BW27" s="66">
        <f t="shared" si="32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33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33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33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36" priority="2" operator="lessThan">
      <formula>0.03</formula>
    </cfRule>
  </conditionalFormatting>
  <conditionalFormatting sqref="I23:I28">
    <cfRule type="cellIs" dxfId="35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6"/>
  <sheetViews>
    <sheetView zoomScale="70" zoomScaleNormal="70" workbookViewId="0">
      <pane xSplit="2" ySplit="4" topLeftCell="BM17" activePane="bottomRight" state="frozen"/>
      <selection activeCell="X55" sqref="X55"/>
      <selection pane="topRight" activeCell="X55" sqref="X55"/>
      <selection pane="bottomLeft" activeCell="X55" sqref="X55"/>
      <selection pane="bottomRight" activeCell="BX1" sqref="BX1:BX1048576"/>
    </sheetView>
  </sheetViews>
  <sheetFormatPr baseColWidth="10" defaultRowHeight="15" x14ac:dyDescent="0.25"/>
  <cols>
    <col min="1" max="1" width="15.28515625" customWidth="1"/>
    <col min="2" max="2" width="25" bestFit="1" customWidth="1"/>
    <col min="3" max="3" width="49.140625" bestFit="1" customWidth="1"/>
    <col min="4" max="4" width="11.42578125" customWidth="1"/>
    <col min="5" max="5" width="11.5703125" customWidth="1"/>
    <col min="6" max="6" width="18.85546875" hidden="1" customWidth="1"/>
    <col min="7" max="7" width="24" customWidth="1"/>
    <col min="8" max="8" width="22" customWidth="1" collapsed="1"/>
    <col min="9" max="13" width="11.42578125" hidden="1" customWidth="1"/>
    <col min="14" max="14" width="11.42578125" customWidth="1"/>
    <col min="15" max="16" width="19.42578125" customWidth="1"/>
    <col min="17" max="17" width="27.140625" customWidth="1"/>
    <col min="18" max="19" width="21.7109375" customWidth="1"/>
    <col min="20" max="24" width="26.28515625" customWidth="1"/>
    <col min="25" max="25" width="15.140625" bestFit="1" customWidth="1"/>
    <col min="26" max="26" width="16.7109375" bestFit="1" customWidth="1"/>
    <col min="27" max="27" width="11.42578125" customWidth="1"/>
    <col min="28" max="28" width="21.42578125" bestFit="1" customWidth="1"/>
    <col min="29" max="34" width="11.42578125" customWidth="1"/>
    <col min="35" max="35" width="19.28515625" bestFit="1" customWidth="1"/>
    <col min="36" max="41" width="11.42578125" customWidth="1"/>
    <col min="42" max="42" width="17" customWidth="1"/>
    <col min="43" max="48" width="11.42578125" customWidth="1"/>
    <col min="49" max="49" width="17.28515625" customWidth="1"/>
    <col min="50" max="53" width="11.42578125" customWidth="1"/>
    <col min="54" max="54" width="11.85546875" customWidth="1"/>
    <col min="55" max="55" width="11.42578125" customWidth="1"/>
    <col min="56" max="56" width="17.28515625" customWidth="1"/>
    <col min="57" max="60" width="11.42578125" customWidth="1"/>
    <col min="61" max="61" width="11.85546875" customWidth="1"/>
    <col min="62" max="63" width="11.42578125" customWidth="1"/>
    <col min="64" max="65" width="17.28515625" customWidth="1"/>
    <col min="66" max="72" width="11.42578125" customWidth="1"/>
    <col min="73" max="74" width="12.85546875" customWidth="1"/>
    <col min="75" max="75" width="18.140625" customWidth="1"/>
    <col min="76" max="76" width="19.5703125" customWidth="1"/>
    <col min="77" max="77" width="26.42578125" bestFit="1" customWidth="1"/>
    <col min="78" max="78" width="30" bestFit="1" customWidth="1"/>
    <col min="79" max="82" width="20.28515625" customWidth="1"/>
    <col min="83" max="83" width="21" customWidth="1"/>
    <col min="84" max="84" width="21.42578125" bestFit="1" customWidth="1"/>
    <col min="85" max="85" width="21.7109375" bestFit="1" customWidth="1"/>
  </cols>
  <sheetData>
    <row r="1" spans="1:76" s="34" customFormat="1" ht="21" x14ac:dyDescent="0.35">
      <c r="A1" s="19"/>
      <c r="B1" s="19" t="s">
        <v>3</v>
      </c>
      <c r="C1" s="19" t="s">
        <v>4</v>
      </c>
      <c r="D1" s="19"/>
      <c r="E1" s="19" t="s">
        <v>0</v>
      </c>
      <c r="G1" s="19" t="s">
        <v>13</v>
      </c>
      <c r="H1" s="19" t="s">
        <v>14</v>
      </c>
      <c r="I1" s="19" t="s">
        <v>83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6" s="34" customFormat="1" ht="21.75" thickBot="1" x14ac:dyDescent="0.4">
      <c r="A2" s="19"/>
      <c r="B2" s="19" t="s">
        <v>91</v>
      </c>
      <c r="C2" s="19" t="s">
        <v>134</v>
      </c>
      <c r="D2" s="19"/>
      <c r="E2" s="19">
        <v>2014</v>
      </c>
      <c r="G2" s="19">
        <v>2</v>
      </c>
      <c r="H2" s="19">
        <v>2.8</v>
      </c>
      <c r="I2" s="19">
        <f>ROUND(H35,0)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6" s="36" customFormat="1" ht="19.5" thickBot="1" x14ac:dyDescent="0.35">
      <c r="A3" s="18" t="s">
        <v>50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 t="s">
        <v>74</v>
      </c>
      <c r="P3" s="22"/>
      <c r="Q3" s="22"/>
      <c r="R3" s="22" t="s">
        <v>75</v>
      </c>
      <c r="S3" s="22"/>
      <c r="T3" s="22"/>
      <c r="U3" s="22" t="s">
        <v>78</v>
      </c>
      <c r="V3" s="22"/>
      <c r="W3" s="22"/>
      <c r="X3" s="22"/>
      <c r="Y3" s="22" t="s">
        <v>71</v>
      </c>
      <c r="Z3" s="22" t="s">
        <v>2</v>
      </c>
      <c r="AA3" s="18"/>
      <c r="AB3" s="88" t="s">
        <v>65</v>
      </c>
      <c r="AC3" s="89"/>
      <c r="AD3" s="89"/>
      <c r="AE3" s="89"/>
      <c r="AF3" s="89"/>
      <c r="AG3" s="75"/>
      <c r="AH3" s="75"/>
      <c r="AI3" s="20"/>
      <c r="AJ3" s="88" t="s">
        <v>66</v>
      </c>
      <c r="AK3" s="89"/>
      <c r="AL3" s="89"/>
      <c r="AM3" s="89"/>
      <c r="AN3" s="75"/>
      <c r="AO3" s="75"/>
      <c r="AP3" s="20"/>
      <c r="AQ3" s="90" t="s">
        <v>67</v>
      </c>
      <c r="AR3" s="90"/>
      <c r="AS3" s="90"/>
      <c r="AT3" s="90"/>
      <c r="AU3" s="76"/>
      <c r="AV3" s="76"/>
      <c r="AW3" s="76"/>
      <c r="AX3" s="90" t="s">
        <v>68</v>
      </c>
      <c r="AY3" s="90"/>
      <c r="AZ3" s="90"/>
      <c r="BA3" s="90"/>
      <c r="BB3" s="76"/>
      <c r="BC3" s="76"/>
      <c r="BD3" s="76"/>
      <c r="BE3" s="85" t="s">
        <v>69</v>
      </c>
      <c r="BF3" s="85"/>
      <c r="BG3" s="85"/>
      <c r="BH3" s="85"/>
      <c r="BI3" s="76"/>
      <c r="BJ3" s="76"/>
      <c r="BK3" s="76"/>
      <c r="BL3" s="76"/>
      <c r="BM3" s="76"/>
      <c r="BN3" s="21" t="s">
        <v>28</v>
      </c>
      <c r="BO3" s="75"/>
      <c r="BP3" s="75"/>
      <c r="BQ3" s="75"/>
      <c r="BR3" s="22" t="s">
        <v>29</v>
      </c>
      <c r="BS3" s="75"/>
      <c r="BT3" s="75"/>
      <c r="BU3" s="22"/>
      <c r="BV3" s="22"/>
      <c r="BW3" s="22"/>
      <c r="BX3" s="35"/>
    </row>
    <row r="4" spans="1:76" x14ac:dyDescent="0.25">
      <c r="A4" s="40" t="s">
        <v>5</v>
      </c>
      <c r="B4" s="2" t="s">
        <v>6</v>
      </c>
      <c r="C4" s="2" t="s">
        <v>7</v>
      </c>
      <c r="D4" s="2" t="s">
        <v>110</v>
      </c>
      <c r="E4" s="2" t="s">
        <v>111</v>
      </c>
      <c r="F4" s="2" t="s">
        <v>8</v>
      </c>
      <c r="G4" s="2" t="s">
        <v>9</v>
      </c>
      <c r="H4" s="2" t="s">
        <v>25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5"/>
      <c r="O4" s="41" t="s">
        <v>27</v>
      </c>
      <c r="P4" s="13" t="s">
        <v>26</v>
      </c>
      <c r="Q4" s="43" t="s">
        <v>79</v>
      </c>
      <c r="R4" s="41" t="s">
        <v>62</v>
      </c>
      <c r="S4" s="13" t="s">
        <v>70</v>
      </c>
      <c r="T4" s="43" t="s">
        <v>80</v>
      </c>
      <c r="U4" s="41" t="s">
        <v>76</v>
      </c>
      <c r="V4" s="13" t="s">
        <v>77</v>
      </c>
      <c r="W4" s="13" t="s">
        <v>129</v>
      </c>
      <c r="X4" s="43" t="s">
        <v>81</v>
      </c>
      <c r="Y4" s="41" t="s">
        <v>72</v>
      </c>
      <c r="Z4" s="40" t="s">
        <v>73</v>
      </c>
      <c r="AA4" s="5"/>
      <c r="AB4" s="2" t="s">
        <v>23</v>
      </c>
      <c r="AC4" s="2" t="s">
        <v>22</v>
      </c>
      <c r="AD4" s="2" t="s">
        <v>21</v>
      </c>
      <c r="AE4" s="2" t="s">
        <v>24</v>
      </c>
      <c r="AF4" s="40" t="s">
        <v>27</v>
      </c>
      <c r="AG4" s="2" t="s">
        <v>26</v>
      </c>
      <c r="AH4" s="44" t="s">
        <v>30</v>
      </c>
      <c r="AI4" s="6" t="s">
        <v>87</v>
      </c>
      <c r="AJ4" s="2" t="s">
        <v>33</v>
      </c>
      <c r="AK4" s="2" t="s">
        <v>32</v>
      </c>
      <c r="AL4" s="2" t="s">
        <v>35</v>
      </c>
      <c r="AM4" s="40" t="s">
        <v>36</v>
      </c>
      <c r="AN4" s="2" t="s">
        <v>37</v>
      </c>
      <c r="AO4" s="44" t="s">
        <v>38</v>
      </c>
      <c r="AP4" s="11" t="s">
        <v>34</v>
      </c>
      <c r="AQ4" s="12" t="s">
        <v>39</v>
      </c>
      <c r="AR4" s="12" t="s">
        <v>64</v>
      </c>
      <c r="AS4" s="12" t="s">
        <v>40</v>
      </c>
      <c r="AT4" s="43" t="s">
        <v>41</v>
      </c>
      <c r="AU4" s="12" t="s">
        <v>42</v>
      </c>
      <c r="AV4" s="45" t="s">
        <v>43</v>
      </c>
      <c r="AW4" s="11" t="s">
        <v>88</v>
      </c>
      <c r="AX4" s="12" t="s">
        <v>44</v>
      </c>
      <c r="AY4" s="12" t="s">
        <v>89</v>
      </c>
      <c r="AZ4" s="12" t="s">
        <v>45</v>
      </c>
      <c r="BA4" s="43" t="s">
        <v>46</v>
      </c>
      <c r="BB4" s="12" t="s">
        <v>47</v>
      </c>
      <c r="BC4" s="45" t="s">
        <v>48</v>
      </c>
      <c r="BD4" s="11" t="s">
        <v>90</v>
      </c>
      <c r="BE4" s="12" t="s">
        <v>58</v>
      </c>
      <c r="BF4" s="12" t="s">
        <v>61</v>
      </c>
      <c r="BG4" s="12" t="s">
        <v>60</v>
      </c>
      <c r="BH4" s="43" t="s">
        <v>62</v>
      </c>
      <c r="BI4" s="12" t="s">
        <v>63</v>
      </c>
      <c r="BJ4" s="43" t="s">
        <v>49</v>
      </c>
      <c r="BK4" s="1"/>
      <c r="BL4" s="1"/>
      <c r="BM4" s="2" t="s">
        <v>21</v>
      </c>
      <c r="BN4" s="2" t="s">
        <v>22</v>
      </c>
      <c r="BO4" s="2" t="s">
        <v>23</v>
      </c>
      <c r="BP4" s="2" t="s">
        <v>24</v>
      </c>
      <c r="BQ4" s="6" t="s">
        <v>32</v>
      </c>
      <c r="BR4" s="2" t="s">
        <v>58</v>
      </c>
      <c r="BS4" s="2" t="s">
        <v>59</v>
      </c>
      <c r="BT4" s="7" t="s">
        <v>60</v>
      </c>
      <c r="BU4" s="2" t="s">
        <v>139</v>
      </c>
      <c r="BV4" s="2" t="s">
        <v>140</v>
      </c>
      <c r="BW4" s="91" t="s">
        <v>31</v>
      </c>
    </row>
    <row r="5" spans="1:76" x14ac:dyDescent="0.25">
      <c r="A5" s="40">
        <v>1</v>
      </c>
      <c r="B5" s="2" t="s">
        <v>93</v>
      </c>
      <c r="C5" s="2" t="s">
        <v>101</v>
      </c>
      <c r="D5" s="2" t="s">
        <v>112</v>
      </c>
      <c r="E5" s="37" t="s">
        <v>106</v>
      </c>
      <c r="F5" s="2"/>
      <c r="G5" s="2" t="s">
        <v>104</v>
      </c>
      <c r="H5" s="40">
        <v>45.6</v>
      </c>
      <c r="I5" s="2"/>
      <c r="J5" s="2"/>
      <c r="K5" s="2"/>
      <c r="L5" s="2"/>
      <c r="M5" s="2"/>
      <c r="N5" s="5"/>
      <c r="O5" s="42">
        <f t="shared" ref="O5:O14" si="0">$H$2</f>
        <v>2.8</v>
      </c>
      <c r="P5" s="3">
        <v>1.4</v>
      </c>
      <c r="Q5" s="40">
        <f>Tabelle51218247127686[[#This Row],[Height]]*Tabelle51218247127686[[#This Row],[Length]]</f>
        <v>3.9199999999999995</v>
      </c>
      <c r="R5" s="42">
        <f t="shared" ref="R5:R14" si="1">$H$2</f>
        <v>2.8</v>
      </c>
      <c r="S5" s="3">
        <f t="shared" ref="S5" si="2">(3.75+0.9+0.71+0.9)</f>
        <v>6.2600000000000007</v>
      </c>
      <c r="T5" s="40">
        <f>Tabelle51218247127686[[#This Row],[Height2]]*Tabelle51218247127686[[#This Row],[Length3]]</f>
        <v>17.528000000000002</v>
      </c>
      <c r="U5" s="42">
        <f t="shared" ref="U5:U14" si="3">$H$2</f>
        <v>2.8</v>
      </c>
      <c r="V5" s="3">
        <v>1.5</v>
      </c>
      <c r="W5" s="3">
        <f>(1-$BQ$16)*Tabelle291521497383[[#This Row],[North2]]+(1-$BR$16)*Tabelle291521497383[[#This Row],[East2]]+(1-$BS$16)*Tabelle291521497383[[#This Row],[South2]]+(1-$BT$16)*Tabelle291521497383[[#This Row],[West2]]</f>
        <v>14.027999999999999</v>
      </c>
      <c r="X5" s="40">
        <f>Tabelle5121824712[[#This Row],[Height22]]*Tabelle5121824712[[#This Row],[Length33]]+Tabelle5121824712[[#This Row],[Length34]]/2</f>
        <v>11.213999999999999</v>
      </c>
      <c r="Y5" s="42">
        <f>IF(Tabelle181420387282[[#This Row],[(f)loor/(c )eiling]]="c",Tabelle181420387282[[#This Row],[Total Area size '[m^2']]],0)</f>
        <v>45.6</v>
      </c>
      <c r="Z5" s="42">
        <f>IF(Tabelle181420387282[[#This Row],[(f)loor/(c )eiling]]="f",Tabelle181420387282[[#This Row],[Total Area size '[m^2']]],0)</f>
        <v>0</v>
      </c>
      <c r="AA5" s="5"/>
      <c r="AB5" s="2">
        <v>0</v>
      </c>
      <c r="AC5" s="2">
        <v>0</v>
      </c>
      <c r="AD5" s="2">
        <v>1</v>
      </c>
      <c r="AE5" s="2">
        <v>0</v>
      </c>
      <c r="AF5" s="42">
        <f t="shared" ref="AF5:AF14" si="4">$H$2</f>
        <v>2.8</v>
      </c>
      <c r="AG5" s="2">
        <f t="shared" ref="AG5" si="5">(0.33+1.62+3.1+1.2+1.2)</f>
        <v>7.4500000000000011</v>
      </c>
      <c r="AH5" s="44">
        <v>5.16</v>
      </c>
      <c r="AI5" s="6">
        <v>0</v>
      </c>
      <c r="AJ5" s="2">
        <v>0</v>
      </c>
      <c r="AK5" s="2">
        <v>0</v>
      </c>
      <c r="AL5" s="2">
        <v>1</v>
      </c>
      <c r="AM5" s="42">
        <f t="shared" ref="AM5:AM12" si="6">$H$2</f>
        <v>2.8</v>
      </c>
      <c r="AN5" s="2">
        <v>8.2899999999999991</v>
      </c>
      <c r="AO5" s="44">
        <f t="shared" ref="AO5" si="7">5.83+2.88</f>
        <v>8.7100000000000009</v>
      </c>
      <c r="AP5" s="6">
        <v>1</v>
      </c>
      <c r="AQ5" s="2">
        <v>0</v>
      </c>
      <c r="AR5" s="2">
        <v>0</v>
      </c>
      <c r="AS5" s="2">
        <v>0</v>
      </c>
      <c r="AT5" s="42">
        <f t="shared" ref="AT5:AT14" si="8">$H$2</f>
        <v>2.8</v>
      </c>
      <c r="AU5" s="2">
        <f t="shared" ref="AU5" si="9">0.33+4.6+0.08</f>
        <v>5.01</v>
      </c>
      <c r="AV5" s="44">
        <v>0</v>
      </c>
      <c r="AW5" s="6"/>
      <c r="AX5" s="2"/>
      <c r="AY5" s="2"/>
      <c r="AZ5" s="2"/>
      <c r="BA5" s="42">
        <f t="shared" ref="BA5:BA14" si="10">$H$2</f>
        <v>2.8</v>
      </c>
      <c r="BB5" s="2"/>
      <c r="BC5" s="44">
        <v>0</v>
      </c>
      <c r="BD5" s="6"/>
      <c r="BE5" s="2"/>
      <c r="BF5" s="2"/>
      <c r="BG5" s="2"/>
      <c r="BH5" s="42">
        <f t="shared" ref="BH5:BH14" si="11">$H$2</f>
        <v>2.8</v>
      </c>
      <c r="BI5" s="2"/>
      <c r="BJ5" s="44">
        <v>0</v>
      </c>
      <c r="BK5" s="1"/>
      <c r="BL5" s="1"/>
      <c r="BM5" s="2">
        <f>Tabelle31016225107484[[#This Row],[North]]*$AH5+AK5*$AO5+AR5*$AV5+AY5*$BC5+BF5*$BJ5</f>
        <v>5.16</v>
      </c>
      <c r="BN5" s="2">
        <f t="shared" ref="BN5:BN13" si="12">AC5*$AH5+AJ5*$AO5+AQ5*$AV5+AX5*$BC5+BE5*$BJ5</f>
        <v>0</v>
      </c>
      <c r="BO5" s="2">
        <f t="shared" ref="BO5:BO13" si="13">AB5*$AH5+AI5*$AO5+AP5*$AV5+AW5*$BC5+BD5*$BJ5</f>
        <v>0</v>
      </c>
      <c r="BP5" s="2">
        <f t="shared" ref="BP5:BP13" si="14">AE5*$AH5+AL5*$AO5+AS5*$AV5+AZ5*$BC5+BG5*$BJ5</f>
        <v>8.7100000000000009</v>
      </c>
      <c r="BQ5" s="6">
        <f>Tabelle31016225107484[[#This Row],[North]]*$AF5*$AG5+AK5*$AM5*$AN5+AR5*$AT5*$AU5+AY5*$BA5*$BB5+BF5*$BH5*$BI5-BM5</f>
        <v>15.700000000000003</v>
      </c>
      <c r="BR5" s="2">
        <f t="shared" ref="BR5:BR13" si="15">AC5*$AF5*$AG5+AJ5*$AM5*$AN5+AQ5*$AT5*$AU5+AX5*$BA5*$BB5+BE5*$BH5*$BI5-BN5</f>
        <v>0</v>
      </c>
      <c r="BS5" s="2">
        <f t="shared" ref="BS5:BS13" si="16">AB5*$AF5*$AG5+AI5*$AM5*$AN5+AP5*$AT5*$AU5+AW5*$BA5*$BB5+BD5*$BH5*$BI5-BO5</f>
        <v>14.027999999999999</v>
      </c>
      <c r="BT5" s="7">
        <f t="shared" ref="BT5:BT13" si="17">AE5*$AF5*$AG5+AL5*$AM5*$AN5+AS5*$AT5*$AU5+AZ5*$BA5*$BB5+BG5*$BH5*$BI5-BP5</f>
        <v>14.501999999999995</v>
      </c>
      <c r="BU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5" s="2"/>
      <c r="BW5" s="2">
        <f>IF(Tabelle18142038[[#This Row],[(g)round/(r )oof]]="G",Tabelle18142038[[#This Row],[Total Area size '[m^2']]],IF(Tabelle18142038[[#This Row],[(g)round/(r )oof]]="B",Tabelle18142038[[#This Row],[Total Area size '[m^2']]],0))</f>
        <v>45.6</v>
      </c>
    </row>
    <row r="6" spans="1:76" x14ac:dyDescent="0.25">
      <c r="A6" s="40">
        <v>2</v>
      </c>
      <c r="B6" s="2" t="s">
        <v>11</v>
      </c>
      <c r="C6" s="2" t="s">
        <v>101</v>
      </c>
      <c r="D6" s="2" t="s">
        <v>112</v>
      </c>
      <c r="E6" s="37" t="s">
        <v>106</v>
      </c>
      <c r="F6" s="2"/>
      <c r="G6" s="2" t="s">
        <v>104</v>
      </c>
      <c r="H6" s="40">
        <v>12.7</v>
      </c>
      <c r="I6" s="2"/>
      <c r="J6" s="2"/>
      <c r="K6" s="2"/>
      <c r="L6" s="2"/>
      <c r="M6" s="2"/>
      <c r="N6" s="5"/>
      <c r="O6" s="42">
        <f t="shared" si="0"/>
        <v>2.8</v>
      </c>
      <c r="P6" s="3">
        <v>1.4</v>
      </c>
      <c r="Q6" s="40">
        <f>Tabelle51218247127686[[#This Row],[Height]]*Tabelle51218247127686[[#This Row],[Length]]</f>
        <v>3.9199999999999995</v>
      </c>
      <c r="R6" s="42">
        <f t="shared" si="1"/>
        <v>2.8</v>
      </c>
      <c r="S6" s="3">
        <v>3.26</v>
      </c>
      <c r="T6" s="40">
        <f>Tabelle51218247127686[[#This Row],[Height2]]*Tabelle51218247127686[[#This Row],[Length3]]</f>
        <v>9.1279999999999983</v>
      </c>
      <c r="U6" s="42">
        <f t="shared" si="3"/>
        <v>2.8</v>
      </c>
      <c r="V6" s="3">
        <v>0</v>
      </c>
      <c r="W6" s="3">
        <f>(1-$BQ$16)*Tabelle291521497383[[#This Row],[North2]]+(1-$BR$16)*Tabelle291521497383[[#This Row],[East2]]+(1-$BS$16)*Tabelle291521497383[[#This Row],[South2]]+(1-$BT$16)*Tabelle291521497383[[#This Row],[West2]]</f>
        <v>0</v>
      </c>
      <c r="X6" s="40">
        <f>Tabelle5121824712[[#This Row],[Height22]]*Tabelle5121824712[[#This Row],[Length33]]+Tabelle5121824712[[#This Row],[Length34]]/2</f>
        <v>0</v>
      </c>
      <c r="Y6" s="42">
        <f>IF(Tabelle181420387282[[#This Row],[(f)loor/(c )eiling]]="c",Tabelle181420387282[[#This Row],[Total Area size '[m^2']]],0)</f>
        <v>12.7</v>
      </c>
      <c r="Z6" s="42">
        <f>IF(Tabelle181420387282[[#This Row],[(f)loor/(c )eiling]]="f",Tabelle181420387282[[#This Row],[Total Area size '[m^2']]],0)</f>
        <v>0</v>
      </c>
      <c r="AA6" s="5"/>
      <c r="AB6" s="2">
        <v>0</v>
      </c>
      <c r="AC6" s="2">
        <v>0</v>
      </c>
      <c r="AD6" s="2">
        <v>1</v>
      </c>
      <c r="AE6" s="2">
        <v>0</v>
      </c>
      <c r="AF6" s="42">
        <f t="shared" si="4"/>
        <v>2.8</v>
      </c>
      <c r="AG6" s="2">
        <f>1.2+1.2+1.12+0.33</f>
        <v>3.85</v>
      </c>
      <c r="AH6" s="44">
        <v>1.44</v>
      </c>
      <c r="AI6" s="6">
        <v>0</v>
      </c>
      <c r="AJ6" s="3">
        <v>1</v>
      </c>
      <c r="AK6" s="2">
        <v>0</v>
      </c>
      <c r="AL6" s="2">
        <v>0</v>
      </c>
      <c r="AM6" s="42">
        <f t="shared" si="6"/>
        <v>2.8</v>
      </c>
      <c r="AN6" s="2">
        <f>0.33+0.66+1.85+1.6</f>
        <v>4.4399999999999995</v>
      </c>
      <c r="AO6" s="44">
        <v>2.2200000000000002</v>
      </c>
      <c r="AP6" s="6"/>
      <c r="AQ6" s="2"/>
      <c r="AR6" s="2"/>
      <c r="AS6" s="2"/>
      <c r="AT6" s="42">
        <f t="shared" si="8"/>
        <v>2.8</v>
      </c>
      <c r="AU6" s="2"/>
      <c r="AV6" s="44"/>
      <c r="AW6" s="6"/>
      <c r="AX6" s="2"/>
      <c r="AY6" s="2"/>
      <c r="AZ6" s="2"/>
      <c r="BA6" s="42">
        <f t="shared" si="10"/>
        <v>2.8</v>
      </c>
      <c r="BB6" s="2"/>
      <c r="BC6" s="44">
        <v>0</v>
      </c>
      <c r="BD6" s="6"/>
      <c r="BE6" s="2"/>
      <c r="BF6" s="2"/>
      <c r="BG6" s="2"/>
      <c r="BH6" s="42">
        <f t="shared" si="11"/>
        <v>2.8</v>
      </c>
      <c r="BI6" s="2"/>
      <c r="BJ6" s="44">
        <v>0</v>
      </c>
      <c r="BK6" s="1"/>
      <c r="BL6" s="1"/>
      <c r="BM6" s="2">
        <f>Tabelle31016225107484[[#This Row],[North]]*$AH6+AK6*$AO6+AR6*$AV6+AY6*$BC6+BF6*$BJ6</f>
        <v>1.44</v>
      </c>
      <c r="BN6" s="2">
        <f t="shared" si="12"/>
        <v>2.2200000000000002</v>
      </c>
      <c r="BO6" s="2">
        <f t="shared" si="13"/>
        <v>0</v>
      </c>
      <c r="BP6" s="2">
        <f t="shared" si="14"/>
        <v>0</v>
      </c>
      <c r="BQ6" s="6">
        <f>Tabelle31016225107484[[#This Row],[North]]*$AF6*$AG6+AK6*$AM6*$AN6+AR6*$AT6*$AU6+AY6*$BA6*$BB6+BF6*$BH6*$BI6-BM6</f>
        <v>9.34</v>
      </c>
      <c r="BR6" s="2">
        <f t="shared" si="15"/>
        <v>10.211999999999998</v>
      </c>
      <c r="BS6" s="2">
        <f t="shared" si="16"/>
        <v>0</v>
      </c>
      <c r="BT6" s="7">
        <f t="shared" si="17"/>
        <v>0</v>
      </c>
      <c r="BU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6" s="2"/>
      <c r="BW6" s="2">
        <f>IF(Tabelle18142038[[#This Row],[(g)round/(r )oof]]="G",Tabelle18142038[[#This Row],[Total Area size '[m^2']]],IF(Tabelle18142038[[#This Row],[(g)round/(r )oof]]="B",Tabelle18142038[[#This Row],[Total Area size '[m^2']]],0))</f>
        <v>12.7</v>
      </c>
    </row>
    <row r="7" spans="1:76" x14ac:dyDescent="0.25">
      <c r="A7" s="40">
        <v>3</v>
      </c>
      <c r="B7" s="2" t="s">
        <v>94</v>
      </c>
      <c r="C7" s="2" t="s">
        <v>102</v>
      </c>
      <c r="D7" s="2" t="s">
        <v>113</v>
      </c>
      <c r="E7" s="37" t="s">
        <v>107</v>
      </c>
      <c r="F7" s="2"/>
      <c r="G7" s="2" t="s">
        <v>104</v>
      </c>
      <c r="H7" s="40">
        <v>12.5</v>
      </c>
      <c r="I7" s="2"/>
      <c r="J7" s="2"/>
      <c r="K7" s="2"/>
      <c r="L7" s="2"/>
      <c r="M7" s="2"/>
      <c r="N7" s="5"/>
      <c r="O7" s="42">
        <f t="shared" si="0"/>
        <v>2.8</v>
      </c>
      <c r="P7" s="3">
        <f>(3.9+2.38)</f>
        <v>6.2799999999999994</v>
      </c>
      <c r="Q7" s="40">
        <f>Tabelle51218247127686[[#This Row],[Height]]*Tabelle51218247127686[[#This Row],[Length]]</f>
        <v>17.583999999999996</v>
      </c>
      <c r="R7" s="42">
        <f t="shared" si="1"/>
        <v>2.8</v>
      </c>
      <c r="S7" s="3">
        <f>3.73-2.38</f>
        <v>1.35</v>
      </c>
      <c r="T7" s="40">
        <f>Tabelle51218247127686[[#This Row],[Height2]]*Tabelle51218247127686[[#This Row],[Length3]]</f>
        <v>3.78</v>
      </c>
      <c r="U7" s="42">
        <f t="shared" si="3"/>
        <v>2.8</v>
      </c>
      <c r="V7" s="3">
        <v>0</v>
      </c>
      <c r="W7" s="3">
        <f>(1-$BQ$16)*Tabelle291521497383[[#This Row],[North2]]+(1-$BR$16)*Tabelle291521497383[[#This Row],[East2]]+(1-$BS$16)*Tabelle291521497383[[#This Row],[South2]]+(1-$BT$16)*Tabelle291521497383[[#This Row],[West2]]</f>
        <v>0</v>
      </c>
      <c r="X7" s="40">
        <f>Tabelle5121824712[[#This Row],[Height22]]*Tabelle5121824712[[#This Row],[Length33]]+Tabelle5121824712[[#This Row],[Length34]]/2</f>
        <v>0</v>
      </c>
      <c r="Y7" s="42">
        <f>IF(Tabelle181420387282[[#This Row],[(f)loor/(c )eiling]]="c",Tabelle181420387282[[#This Row],[Total Area size '[m^2']]],0)</f>
        <v>0</v>
      </c>
      <c r="Z7" s="42">
        <f>IF(Tabelle181420387282[[#This Row],[(f)loor/(c )eiling]]="f",Tabelle181420387282[[#This Row],[Total Area size '[m^2']]],0)</f>
        <v>12.5</v>
      </c>
      <c r="AA7" s="5"/>
      <c r="AB7" s="2">
        <v>0</v>
      </c>
      <c r="AC7" s="2">
        <v>0</v>
      </c>
      <c r="AD7" s="2">
        <v>1</v>
      </c>
      <c r="AE7" s="2">
        <v>0</v>
      </c>
      <c r="AF7" s="42">
        <f t="shared" si="4"/>
        <v>2.8</v>
      </c>
      <c r="AG7" s="3">
        <f>0.05+2.4+2.18+0.32</f>
        <v>4.95</v>
      </c>
      <c r="AH7" s="44">
        <v>2.88</v>
      </c>
      <c r="AI7" s="6">
        <v>0</v>
      </c>
      <c r="AJ7" s="2">
        <v>1</v>
      </c>
      <c r="AK7" s="2">
        <v>0</v>
      </c>
      <c r="AL7" s="2">
        <v>0</v>
      </c>
      <c r="AM7" s="42">
        <f t="shared" si="6"/>
        <v>2.8</v>
      </c>
      <c r="AN7" s="2">
        <f>0.32+3.92+0.07</f>
        <v>4.3100000000000005</v>
      </c>
      <c r="AO7" s="44">
        <v>0</v>
      </c>
      <c r="AP7" s="6"/>
      <c r="AQ7" s="2"/>
      <c r="AR7" s="2"/>
      <c r="AS7" s="2"/>
      <c r="AT7" s="42">
        <f t="shared" si="8"/>
        <v>2.8</v>
      </c>
      <c r="AU7" s="2"/>
      <c r="AV7" s="44"/>
      <c r="AW7" s="6"/>
      <c r="AX7" s="2"/>
      <c r="AY7" s="2"/>
      <c r="AZ7" s="2"/>
      <c r="BA7" s="42">
        <f t="shared" si="10"/>
        <v>2.8</v>
      </c>
      <c r="BB7" s="2"/>
      <c r="BC7" s="44">
        <v>0</v>
      </c>
      <c r="BD7" s="6"/>
      <c r="BE7" s="2"/>
      <c r="BF7" s="2"/>
      <c r="BG7" s="2"/>
      <c r="BH7" s="42">
        <f t="shared" si="11"/>
        <v>2.8</v>
      </c>
      <c r="BI7" s="2"/>
      <c r="BJ7" s="44">
        <v>0</v>
      </c>
      <c r="BK7" s="1"/>
      <c r="BL7" s="1"/>
      <c r="BM7" s="2">
        <f>Tabelle31016225107484[[#This Row],[North]]*$AH7+AK7*$AO7+AR7*$AV7+AY7*$BC7+BF7*$BJ7</f>
        <v>2.88</v>
      </c>
      <c r="BN7" s="2">
        <f t="shared" si="12"/>
        <v>0</v>
      </c>
      <c r="BO7" s="2">
        <f t="shared" si="13"/>
        <v>0</v>
      </c>
      <c r="BP7" s="2">
        <f t="shared" si="14"/>
        <v>0</v>
      </c>
      <c r="BQ7" s="6">
        <f>Tabelle31016225107484[[#This Row],[North]]*$AF7*$AG7+AK7*$AM7*$AN7+AR7*$AT7*$AU7+AY7*$BA7*$BB7+BF7*$BH7*$BI7-BM7</f>
        <v>10.98</v>
      </c>
      <c r="BR7" s="2">
        <f t="shared" si="15"/>
        <v>12.068000000000001</v>
      </c>
      <c r="BS7" s="2">
        <f t="shared" si="16"/>
        <v>0</v>
      </c>
      <c r="BT7" s="7">
        <f t="shared" si="17"/>
        <v>0</v>
      </c>
      <c r="BU7" s="2">
        <f>IF(Tabelle18142038[[#This Row],[(g)round/(r )oof]]="R",Tabelle18142038[[#This Row],[Total Area size '[m^2']]],IF(Tabelle18142038[[#This Row],[(g)round/(r )oof]]="B",Tabelle18142038[[#This Row],[Total Area size '[m^2']]],0))</f>
        <v>12.5</v>
      </c>
      <c r="BV7" s="2"/>
      <c r="BW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8" spans="1:76" x14ac:dyDescent="0.25">
      <c r="A8" s="40">
        <v>4</v>
      </c>
      <c r="B8" s="2" t="s">
        <v>95</v>
      </c>
      <c r="C8" s="2" t="s">
        <v>102</v>
      </c>
      <c r="D8" s="2" t="s">
        <v>113</v>
      </c>
      <c r="E8" s="37" t="s">
        <v>107</v>
      </c>
      <c r="F8" s="2"/>
      <c r="G8" s="2" t="s">
        <v>104</v>
      </c>
      <c r="H8" s="40">
        <v>18</v>
      </c>
      <c r="I8" s="2"/>
      <c r="J8" s="2"/>
      <c r="K8" s="2"/>
      <c r="L8" s="2"/>
      <c r="M8" s="2"/>
      <c r="N8" s="5"/>
      <c r="O8" s="42">
        <f t="shared" si="0"/>
        <v>2.8</v>
      </c>
      <c r="P8" s="3">
        <f>(3.9+3.77)</f>
        <v>7.67</v>
      </c>
      <c r="Q8" s="40">
        <f>Tabelle51218247127686[[#This Row],[Height]]*Tabelle51218247127686[[#This Row],[Length]]</f>
        <v>21.475999999999999</v>
      </c>
      <c r="R8" s="42">
        <f t="shared" si="1"/>
        <v>2.8</v>
      </c>
      <c r="S8" s="3">
        <f>3.73-2.38</f>
        <v>1.35</v>
      </c>
      <c r="T8" s="40">
        <f>Tabelle51218247127686[[#This Row],[Height2]]*Tabelle51218247127686[[#This Row],[Length3]]</f>
        <v>3.78</v>
      </c>
      <c r="U8" s="42">
        <f t="shared" si="3"/>
        <v>2.8</v>
      </c>
      <c r="V8" s="3">
        <v>0</v>
      </c>
      <c r="W8" s="3">
        <f>(1-$BQ$16)*Tabelle291521497383[[#This Row],[North2]]+(1-$BR$16)*Tabelle291521497383[[#This Row],[East2]]+(1-$BS$16)*Tabelle291521497383[[#This Row],[South2]]+(1-$BT$16)*Tabelle291521497383[[#This Row],[West2]]</f>
        <v>0</v>
      </c>
      <c r="X8" s="40">
        <f>Tabelle5121824712[[#This Row],[Height22]]*Tabelle5121824712[[#This Row],[Length33]]+Tabelle5121824712[[#This Row],[Length34]]/2</f>
        <v>0</v>
      </c>
      <c r="Y8" s="42">
        <f>IF(Tabelle181420387282[[#This Row],[(f)loor/(c )eiling]]="c",Tabelle181420387282[[#This Row],[Total Area size '[m^2']]],0)</f>
        <v>0</v>
      </c>
      <c r="Z8" s="42">
        <f>IF(Tabelle181420387282[[#This Row],[(f)loor/(c )eiling]]="f",Tabelle181420387282[[#This Row],[Total Area size '[m^2']]],0)</f>
        <v>18</v>
      </c>
      <c r="AA8" s="5"/>
      <c r="AB8" s="2">
        <v>0</v>
      </c>
      <c r="AC8" s="2">
        <v>0</v>
      </c>
      <c r="AD8" s="2">
        <v>1</v>
      </c>
      <c r="AE8" s="2">
        <v>0</v>
      </c>
      <c r="AF8" s="42">
        <f t="shared" si="4"/>
        <v>2.8</v>
      </c>
      <c r="AG8" s="2">
        <f>0.05+1.1+2.4+2.48+0.32</f>
        <v>6.35</v>
      </c>
      <c r="AH8" s="44">
        <v>2.88</v>
      </c>
      <c r="AI8" s="6">
        <v>0</v>
      </c>
      <c r="AJ8" s="2">
        <v>0</v>
      </c>
      <c r="AK8" s="2">
        <v>0</v>
      </c>
      <c r="AL8" s="2">
        <v>1</v>
      </c>
      <c r="AM8" s="42">
        <f t="shared" si="6"/>
        <v>2.8</v>
      </c>
      <c r="AN8" s="2">
        <f>0.32+3.92+0.07</f>
        <v>4.3100000000000005</v>
      </c>
      <c r="AO8" s="44">
        <v>0</v>
      </c>
      <c r="AP8" s="6"/>
      <c r="AQ8" s="2"/>
      <c r="AR8" s="2"/>
      <c r="AS8" s="2"/>
      <c r="AT8" s="42">
        <f t="shared" si="8"/>
        <v>2.8</v>
      </c>
      <c r="AU8" s="2"/>
      <c r="AV8" s="44"/>
      <c r="AW8" s="6"/>
      <c r="AX8" s="2"/>
      <c r="AY8" s="2"/>
      <c r="AZ8" s="2"/>
      <c r="BA8" s="42">
        <f t="shared" si="10"/>
        <v>2.8</v>
      </c>
      <c r="BB8" s="2"/>
      <c r="BC8" s="44">
        <v>0</v>
      </c>
      <c r="BD8" s="6"/>
      <c r="BE8" s="2"/>
      <c r="BF8" s="2"/>
      <c r="BG8" s="2"/>
      <c r="BH8" s="42">
        <f t="shared" si="11"/>
        <v>2.8</v>
      </c>
      <c r="BI8" s="2"/>
      <c r="BJ8" s="44">
        <v>0</v>
      </c>
      <c r="BK8" s="1"/>
      <c r="BL8" s="1"/>
      <c r="BM8" s="2">
        <f>Tabelle31016225107484[[#This Row],[North]]*$AH8+AK8*$AO8+AR8*$AV8+AY8*$BC8+BF8*$BJ8</f>
        <v>2.88</v>
      </c>
      <c r="BN8" s="2">
        <f t="shared" si="12"/>
        <v>0</v>
      </c>
      <c r="BO8" s="2">
        <f t="shared" si="13"/>
        <v>0</v>
      </c>
      <c r="BP8" s="2">
        <f t="shared" si="14"/>
        <v>0</v>
      </c>
      <c r="BQ8" s="6">
        <f>Tabelle31016225107484[[#This Row],[North]]*$AF8*$AG8+AK8*$AM8*$AN8+AR8*$AT8*$AU8+AY8*$BA8*$BB8+BF8*$BH8*$BI8-BM8</f>
        <v>14.899999999999999</v>
      </c>
      <c r="BR8" s="2">
        <f t="shared" si="15"/>
        <v>0</v>
      </c>
      <c r="BS8" s="2">
        <f t="shared" si="16"/>
        <v>0</v>
      </c>
      <c r="BT8" s="7">
        <f t="shared" si="17"/>
        <v>12.068000000000001</v>
      </c>
      <c r="BU8" s="2">
        <f>IF(Tabelle18142038[[#This Row],[(g)round/(r )oof]]="R",Tabelle18142038[[#This Row],[Total Area size '[m^2']]],IF(Tabelle18142038[[#This Row],[(g)round/(r )oof]]="B",Tabelle18142038[[#This Row],[Total Area size '[m^2']]],0))</f>
        <v>18</v>
      </c>
      <c r="BV8" s="2"/>
      <c r="BW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9" spans="1:76" x14ac:dyDescent="0.25">
      <c r="A9" s="40">
        <v>5</v>
      </c>
      <c r="B9" s="2" t="s">
        <v>96</v>
      </c>
      <c r="C9" s="2" t="s">
        <v>102</v>
      </c>
      <c r="D9" s="2" t="s">
        <v>113</v>
      </c>
      <c r="E9" s="37" t="s">
        <v>107</v>
      </c>
      <c r="F9" s="2"/>
      <c r="G9" s="2" t="s">
        <v>104</v>
      </c>
      <c r="H9" s="40">
        <v>12.1</v>
      </c>
      <c r="I9" s="2"/>
      <c r="J9" s="2"/>
      <c r="K9" s="2"/>
      <c r="L9" s="2"/>
      <c r="M9" s="2"/>
      <c r="N9" s="5"/>
      <c r="O9" s="42">
        <f t="shared" si="0"/>
        <v>2.8</v>
      </c>
      <c r="P9" s="3">
        <v>3.77</v>
      </c>
      <c r="Q9" s="40">
        <f>Tabelle51218247127686[[#This Row],[Height]]*Tabelle51218247127686[[#This Row],[Length]]</f>
        <v>10.555999999999999</v>
      </c>
      <c r="R9" s="42">
        <f t="shared" si="1"/>
        <v>2.8</v>
      </c>
      <c r="S9" s="3">
        <v>3.75</v>
      </c>
      <c r="T9" s="40">
        <f>Tabelle51218247127686[[#This Row],[Height2]]*Tabelle51218247127686[[#This Row],[Length3]]</f>
        <v>10.5</v>
      </c>
      <c r="U9" s="42">
        <f t="shared" si="3"/>
        <v>2.8</v>
      </c>
      <c r="V9" s="3">
        <v>0</v>
      </c>
      <c r="W9" s="3">
        <f>(1-$BQ$16)*Tabelle291521497383[[#This Row],[North2]]+(1-$BR$16)*Tabelle291521497383[[#This Row],[East2]]+(1-$BS$16)*Tabelle291521497383[[#This Row],[South2]]+(1-$BT$16)*Tabelle291521497383[[#This Row],[West2]]</f>
        <v>14.028</v>
      </c>
      <c r="X9" s="40">
        <f>Tabelle5121824712[[#This Row],[Height22]]*Tabelle5121824712[[#This Row],[Length33]]+Tabelle5121824712[[#This Row],[Length34]]/2</f>
        <v>7.0140000000000002</v>
      </c>
      <c r="Y9" s="42">
        <f>IF(Tabelle181420387282[[#This Row],[(f)loor/(c )eiling]]="c",Tabelle181420387282[[#This Row],[Total Area size '[m^2']]],0)</f>
        <v>0</v>
      </c>
      <c r="Z9" s="42">
        <f>IF(Tabelle181420387282[[#This Row],[(f)loor/(c )eiling]]="f",Tabelle181420387282[[#This Row],[Total Area size '[m^2']]],0)</f>
        <v>12.1</v>
      </c>
      <c r="AA9" s="5"/>
      <c r="AB9" s="2">
        <v>0</v>
      </c>
      <c r="AC9" s="2">
        <v>0</v>
      </c>
      <c r="AD9" s="2">
        <v>0</v>
      </c>
      <c r="AE9" s="2">
        <v>1</v>
      </c>
      <c r="AF9" s="42">
        <f t="shared" si="4"/>
        <v>2.8</v>
      </c>
      <c r="AG9" s="2">
        <f>0.07+3.77+0.14</f>
        <v>3.98</v>
      </c>
      <c r="AH9" s="44">
        <v>2</v>
      </c>
      <c r="AI9" s="6">
        <v>1</v>
      </c>
      <c r="AJ9" s="2">
        <v>0</v>
      </c>
      <c r="AK9" s="2">
        <v>0</v>
      </c>
      <c r="AL9" s="2">
        <v>0</v>
      </c>
      <c r="AM9" s="42">
        <f t="shared" si="6"/>
        <v>2.8</v>
      </c>
      <c r="AN9" s="2">
        <f>0.32+4.61+0.08</f>
        <v>5.0100000000000007</v>
      </c>
      <c r="AO9" s="44">
        <v>0</v>
      </c>
      <c r="AP9" s="6"/>
      <c r="AQ9" s="2"/>
      <c r="AR9" s="2"/>
      <c r="AS9" s="2"/>
      <c r="AT9" s="42">
        <f t="shared" si="8"/>
        <v>2.8</v>
      </c>
      <c r="AU9" s="2"/>
      <c r="AV9" s="44"/>
      <c r="AW9" s="6"/>
      <c r="AX9" s="2"/>
      <c r="AY9" s="2"/>
      <c r="AZ9" s="2"/>
      <c r="BA9" s="42">
        <f t="shared" si="10"/>
        <v>2.8</v>
      </c>
      <c r="BB9" s="2"/>
      <c r="BC9" s="44">
        <v>0</v>
      </c>
      <c r="BD9" s="6"/>
      <c r="BE9" s="2"/>
      <c r="BF9" s="2"/>
      <c r="BG9" s="2"/>
      <c r="BH9" s="42">
        <f t="shared" si="11"/>
        <v>2.8</v>
      </c>
      <c r="BI9" s="2"/>
      <c r="BJ9" s="44">
        <v>0</v>
      </c>
      <c r="BK9" s="1"/>
      <c r="BL9" s="1"/>
      <c r="BM9" s="2">
        <f>Tabelle31016225107484[[#This Row],[North]]*$AH9+AK9*$AO9+AR9*$AV9+AY9*$BC9+BF9*$BJ9</f>
        <v>0</v>
      </c>
      <c r="BN9" s="2">
        <f t="shared" si="12"/>
        <v>0</v>
      </c>
      <c r="BO9" s="2">
        <f t="shared" si="13"/>
        <v>0</v>
      </c>
      <c r="BP9" s="2">
        <f t="shared" si="14"/>
        <v>2</v>
      </c>
      <c r="BQ9" s="6">
        <f>Tabelle31016225107484[[#This Row],[North]]*$AF9*$AG9+AK9*$AM9*$AN9+AR9*$AT9*$AU9+AY9*$BA9*$BB9+BF9*$BH9*$BI9-BM9</f>
        <v>0</v>
      </c>
      <c r="BR9" s="2">
        <f t="shared" si="15"/>
        <v>0</v>
      </c>
      <c r="BS9" s="2">
        <f t="shared" si="16"/>
        <v>14.028</v>
      </c>
      <c r="BT9" s="7">
        <f t="shared" si="17"/>
        <v>9.1440000000000001</v>
      </c>
      <c r="BU9" s="2">
        <f>IF(Tabelle18142038[[#This Row],[(g)round/(r )oof]]="R",Tabelle18142038[[#This Row],[Total Area size '[m^2']]],IF(Tabelle18142038[[#This Row],[(g)round/(r )oof]]="B",Tabelle18142038[[#This Row],[Total Area size '[m^2']]],0))</f>
        <v>12.1</v>
      </c>
      <c r="BV9" s="2"/>
      <c r="BW9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0" spans="1:76" x14ac:dyDescent="0.25">
      <c r="A10" s="40">
        <v>6</v>
      </c>
      <c r="B10" s="2" t="s">
        <v>98</v>
      </c>
      <c r="C10" s="2" t="s">
        <v>103</v>
      </c>
      <c r="D10" s="2" t="s">
        <v>113</v>
      </c>
      <c r="E10" s="37" t="s">
        <v>107</v>
      </c>
      <c r="F10" s="2"/>
      <c r="G10" s="2" t="s">
        <v>104</v>
      </c>
      <c r="H10" s="40">
        <v>6.9</v>
      </c>
      <c r="I10" s="2"/>
      <c r="J10" s="2"/>
      <c r="K10" s="2"/>
      <c r="L10" s="2"/>
      <c r="M10" s="2"/>
      <c r="N10" s="5"/>
      <c r="O10" s="42">
        <f t="shared" si="0"/>
        <v>2.8</v>
      </c>
      <c r="P10" s="3">
        <v>2.38</v>
      </c>
      <c r="Q10" s="40">
        <f>Tabelle51218247127686[[#This Row],[Height]]*Tabelle51218247127686[[#This Row],[Length]]</f>
        <v>6.6639999999999997</v>
      </c>
      <c r="R10" s="42">
        <f t="shared" si="1"/>
        <v>2.8</v>
      </c>
      <c r="S10" s="3">
        <v>3.75</v>
      </c>
      <c r="T10" s="40">
        <f>Tabelle51218247127686[[#This Row],[Height2]]*Tabelle51218247127686[[#This Row],[Length3]]</f>
        <v>10.5</v>
      </c>
      <c r="U10" s="42">
        <f t="shared" si="3"/>
        <v>2.8</v>
      </c>
      <c r="V10" s="3">
        <v>0</v>
      </c>
      <c r="W10" s="3">
        <f>(1-$BQ$16)*Tabelle291521497383[[#This Row],[North2]]+(1-$BR$16)*Tabelle291521497383[[#This Row],[East2]]+(1-$BS$16)*Tabelle291521497383[[#This Row],[South2]]+(1-$BT$16)*Tabelle291521497383[[#This Row],[West2]]</f>
        <v>10.135999999999999</v>
      </c>
      <c r="X10" s="40">
        <f>Tabelle5121824712[[#This Row],[Height22]]*Tabelle5121824712[[#This Row],[Length33]]+Tabelle5121824712[[#This Row],[Length34]]/2</f>
        <v>5.0679999999999996</v>
      </c>
      <c r="Y10" s="42">
        <f>IF(Tabelle181420387282[[#This Row],[(f)loor/(c )eiling]]="c",Tabelle181420387282[[#This Row],[Total Area size '[m^2']]],0)</f>
        <v>0</v>
      </c>
      <c r="Z10" s="42">
        <f>IF(Tabelle181420387282[[#This Row],[(f)loor/(c )eiling]]="f",Tabelle181420387282[[#This Row],[Total Area size '[m^2']]],0)</f>
        <v>6.9</v>
      </c>
      <c r="AA10" s="5"/>
      <c r="AB10" s="2">
        <v>0</v>
      </c>
      <c r="AC10" s="2">
        <v>1</v>
      </c>
      <c r="AD10" s="2">
        <v>0</v>
      </c>
      <c r="AE10" s="2">
        <v>0</v>
      </c>
      <c r="AF10" s="42">
        <f t="shared" si="4"/>
        <v>2.8</v>
      </c>
      <c r="AG10" s="2">
        <f>0.14+3.77+0.07</f>
        <v>3.98</v>
      </c>
      <c r="AH10" s="44">
        <v>1</v>
      </c>
      <c r="AI10" s="6">
        <v>1</v>
      </c>
      <c r="AJ10" s="2">
        <v>0</v>
      </c>
      <c r="AK10" s="3">
        <v>0</v>
      </c>
      <c r="AL10" s="2">
        <v>0</v>
      </c>
      <c r="AM10" s="42">
        <f t="shared" si="6"/>
        <v>2.8</v>
      </c>
      <c r="AN10" s="3">
        <f>0.32+3.22+0.08</f>
        <v>3.62</v>
      </c>
      <c r="AO10" s="44">
        <v>0</v>
      </c>
      <c r="AP10" s="6"/>
      <c r="AQ10" s="2"/>
      <c r="AR10" s="2"/>
      <c r="AS10" s="2"/>
      <c r="AT10" s="42">
        <f t="shared" si="8"/>
        <v>2.8</v>
      </c>
      <c r="AU10" s="2"/>
      <c r="AV10" s="44"/>
      <c r="AW10" s="6"/>
      <c r="AX10" s="2"/>
      <c r="AY10" s="2"/>
      <c r="AZ10" s="2"/>
      <c r="BA10" s="42">
        <f t="shared" si="10"/>
        <v>2.8</v>
      </c>
      <c r="BB10" s="2"/>
      <c r="BC10" s="44">
        <v>0</v>
      </c>
      <c r="BD10" s="6"/>
      <c r="BE10" s="2"/>
      <c r="BF10" s="2"/>
      <c r="BG10" s="2"/>
      <c r="BH10" s="42">
        <f t="shared" si="11"/>
        <v>2.8</v>
      </c>
      <c r="BI10" s="2"/>
      <c r="BJ10" s="44">
        <v>0</v>
      </c>
      <c r="BK10" s="1"/>
      <c r="BL10" s="1"/>
      <c r="BM10" s="2">
        <f>Tabelle31016225107484[[#This Row],[North]]*$AH10+AK10*$AO10+AR10*$AV10+AY10*$BC10+BF10*$BJ10</f>
        <v>0</v>
      </c>
      <c r="BN10" s="2">
        <f t="shared" si="12"/>
        <v>1</v>
      </c>
      <c r="BO10" s="2">
        <f t="shared" si="13"/>
        <v>0</v>
      </c>
      <c r="BP10" s="2">
        <f t="shared" si="14"/>
        <v>0</v>
      </c>
      <c r="BQ10" s="6">
        <f>Tabelle31016225107484[[#This Row],[North]]*$AF10*$AG10+AK10*$AM10*$AN10+AR10*$AT10*$AU10+AY10*$BA10*$BB10+BF10*$BH10*$BI10-BM10</f>
        <v>0</v>
      </c>
      <c r="BR10" s="2">
        <f t="shared" si="15"/>
        <v>10.144</v>
      </c>
      <c r="BS10" s="2">
        <f t="shared" si="16"/>
        <v>10.135999999999999</v>
      </c>
      <c r="BT10" s="7">
        <f t="shared" si="17"/>
        <v>0</v>
      </c>
      <c r="BU10" s="2">
        <f>IF(Tabelle18142038[[#This Row],[(g)round/(r )oof]]="R",Tabelle18142038[[#This Row],[Total Area size '[m^2']]],IF(Tabelle18142038[[#This Row],[(g)round/(r )oof]]="B",Tabelle18142038[[#This Row],[Total Area size '[m^2']]],0))</f>
        <v>6.9</v>
      </c>
      <c r="BV10" s="2"/>
      <c r="BW10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1" spans="1:76" x14ac:dyDescent="0.25">
      <c r="A11" s="40">
        <v>7</v>
      </c>
      <c r="B11" s="2" t="s">
        <v>99</v>
      </c>
      <c r="C11" s="2" t="s">
        <v>10</v>
      </c>
      <c r="D11" s="2" t="s">
        <v>112</v>
      </c>
      <c r="E11" s="37" t="s">
        <v>106</v>
      </c>
      <c r="F11" s="2"/>
      <c r="G11" s="2" t="s">
        <v>105</v>
      </c>
      <c r="H11" s="40">
        <v>1.8</v>
      </c>
      <c r="I11" s="2"/>
      <c r="J11" s="2"/>
      <c r="K11" s="2"/>
      <c r="L11" s="2"/>
      <c r="M11" s="2"/>
      <c r="N11" s="5"/>
      <c r="O11" s="42">
        <f t="shared" si="0"/>
        <v>2.8</v>
      </c>
      <c r="P11" s="3">
        <f>2.04+0.88</f>
        <v>2.92</v>
      </c>
      <c r="Q11" s="40">
        <f>Tabelle51218247127686[[#This Row],[Height]]*Tabelle51218247127686[[#This Row],[Length]]</f>
        <v>8.1760000000000002</v>
      </c>
      <c r="R11" s="42">
        <f t="shared" si="1"/>
        <v>2.8</v>
      </c>
      <c r="S11" s="3">
        <v>0</v>
      </c>
      <c r="T11" s="40">
        <f>Tabelle51218247127686[[#This Row],[Height2]]*Tabelle51218247127686[[#This Row],[Length3]]</f>
        <v>0</v>
      </c>
      <c r="U11" s="42">
        <f t="shared" si="3"/>
        <v>2.8</v>
      </c>
      <c r="V11" s="3">
        <v>0</v>
      </c>
      <c r="W11" s="3">
        <f>(1-$BQ$16)*Tabelle291521497383[[#This Row],[North2]]+(1-$BR$16)*Tabelle291521497383[[#This Row],[East2]]+(1-$BS$16)*Tabelle291521497383[[#This Row],[South2]]+(1-$BT$16)*Tabelle291521497383[[#This Row],[West2]]</f>
        <v>3.5419999999999994</v>
      </c>
      <c r="X11" s="40">
        <f>Tabelle5121824712[[#This Row],[Height22]]*Tabelle5121824712[[#This Row],[Length33]]+Tabelle5121824712[[#This Row],[Length34]]/2</f>
        <v>1.7709999999999997</v>
      </c>
      <c r="Y11" s="42">
        <f>IF(Tabelle181420387282[[#This Row],[(f)loor/(c )eiling]]="c",Tabelle181420387282[[#This Row],[Total Area size '[m^2']]],0)</f>
        <v>1.8</v>
      </c>
      <c r="Z11" s="42">
        <f>IF(Tabelle181420387282[[#This Row],[(f)loor/(c )eiling]]="f",Tabelle181420387282[[#This Row],[Total Area size '[m^2']]],0)</f>
        <v>0</v>
      </c>
      <c r="AA11" s="5"/>
      <c r="AB11" s="2">
        <v>0</v>
      </c>
      <c r="AC11" s="2">
        <v>1</v>
      </c>
      <c r="AD11" s="2">
        <v>0</v>
      </c>
      <c r="AE11" s="2">
        <v>0</v>
      </c>
      <c r="AF11" s="42">
        <f t="shared" si="4"/>
        <v>2.8</v>
      </c>
      <c r="AG11" s="2">
        <f>0.8+1.4</f>
        <v>2.2000000000000002</v>
      </c>
      <c r="AH11" s="44">
        <v>0.64</v>
      </c>
      <c r="AI11" s="6">
        <v>1</v>
      </c>
      <c r="AJ11" s="2">
        <v>0</v>
      </c>
      <c r="AK11" s="2">
        <v>0</v>
      </c>
      <c r="AL11" s="2">
        <v>0</v>
      </c>
      <c r="AM11" s="42">
        <f t="shared" si="6"/>
        <v>2.8</v>
      </c>
      <c r="AN11" s="2">
        <f>0.33+0.88+0.055</f>
        <v>1.2649999999999999</v>
      </c>
      <c r="AO11" s="44">
        <v>0</v>
      </c>
      <c r="AP11" s="6"/>
      <c r="AQ11" s="2"/>
      <c r="AR11" s="2"/>
      <c r="AS11" s="2"/>
      <c r="AT11" s="42">
        <f t="shared" si="8"/>
        <v>2.8</v>
      </c>
      <c r="AU11" s="2"/>
      <c r="AV11" s="44"/>
      <c r="AW11" s="6"/>
      <c r="AX11" s="2"/>
      <c r="AY11" s="2"/>
      <c r="AZ11" s="2"/>
      <c r="BA11" s="42">
        <f t="shared" si="10"/>
        <v>2.8</v>
      </c>
      <c r="BB11" s="2"/>
      <c r="BC11" s="44">
        <v>0</v>
      </c>
      <c r="BD11" s="6"/>
      <c r="BE11" s="2"/>
      <c r="BF11" s="2"/>
      <c r="BG11" s="2"/>
      <c r="BH11" s="42">
        <f t="shared" si="11"/>
        <v>2.8</v>
      </c>
      <c r="BI11" s="2"/>
      <c r="BJ11" s="44">
        <v>0</v>
      </c>
      <c r="BK11" s="1"/>
      <c r="BL11" s="1"/>
      <c r="BM11" s="2">
        <f>Tabelle31016225107484[[#This Row],[North]]*$AH11+AK11*$AO11+AR11*$AV11+AY11*$BC11+BF11*$BJ11</f>
        <v>0</v>
      </c>
      <c r="BN11" s="2">
        <f t="shared" si="12"/>
        <v>0.64</v>
      </c>
      <c r="BO11" s="2">
        <f t="shared" si="13"/>
        <v>0</v>
      </c>
      <c r="BP11" s="2">
        <f t="shared" si="14"/>
        <v>0</v>
      </c>
      <c r="BQ11" s="6">
        <f>Tabelle31016225107484[[#This Row],[North]]*$AF11*$AG11+AK11*$AM11*$AN11+AR11*$AT11*$AU11+AY11*$BA11*$BB11+BF11*$BH11*$BI11-BM11</f>
        <v>0</v>
      </c>
      <c r="BR11" s="2">
        <f t="shared" si="15"/>
        <v>5.5200000000000005</v>
      </c>
      <c r="BS11" s="2">
        <f t="shared" si="16"/>
        <v>3.5419999999999994</v>
      </c>
      <c r="BT11" s="7">
        <f t="shared" si="17"/>
        <v>0</v>
      </c>
      <c r="BU11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1" s="2"/>
      <c r="BW11" s="2">
        <f>IF(Tabelle18142038[[#This Row],[(g)round/(r )oof]]="G",Tabelle18142038[[#This Row],[Total Area size '[m^2']]],IF(Tabelle18142038[[#This Row],[(g)round/(r )oof]]="B",Tabelle18142038[[#This Row],[Total Area size '[m^2']]],0))</f>
        <v>1.8</v>
      </c>
    </row>
    <row r="12" spans="1:76" x14ac:dyDescent="0.25">
      <c r="A12" s="40">
        <v>8</v>
      </c>
      <c r="B12" s="2" t="s">
        <v>108</v>
      </c>
      <c r="C12" s="2" t="s">
        <v>10</v>
      </c>
      <c r="D12" s="2" t="s">
        <v>112</v>
      </c>
      <c r="E12" s="37" t="s">
        <v>106</v>
      </c>
      <c r="F12" s="2"/>
      <c r="G12" s="2" t="s">
        <v>105</v>
      </c>
      <c r="H12" s="40">
        <v>12</v>
      </c>
      <c r="I12" s="2"/>
      <c r="J12" s="2"/>
      <c r="K12" s="2"/>
      <c r="L12" s="2"/>
      <c r="M12" s="2"/>
      <c r="N12" s="5"/>
      <c r="O12" s="42">
        <f t="shared" si="0"/>
        <v>2.8</v>
      </c>
      <c r="P12" s="3">
        <f>2.04+2.22+0.88</f>
        <v>5.14</v>
      </c>
      <c r="Q12" s="40">
        <f>Tabelle51218247127686[[#This Row],[Height]]*Tabelle51218247127686[[#This Row],[Length]]</f>
        <v>14.391999999999998</v>
      </c>
      <c r="R12" s="42">
        <f t="shared" si="1"/>
        <v>2.8</v>
      </c>
      <c r="S12" s="3">
        <v>0</v>
      </c>
      <c r="T12" s="40">
        <f>Tabelle51218247127686[[#This Row],[Height2]]*Tabelle51218247127686[[#This Row],[Length3]]</f>
        <v>0</v>
      </c>
      <c r="U12" s="42">
        <f t="shared" si="3"/>
        <v>2.8</v>
      </c>
      <c r="V12" s="3">
        <v>0</v>
      </c>
      <c r="W12" s="3">
        <f>(1-$BQ$16)*Tabelle291521497383[[#This Row],[North2]]+(1-$BR$16)*Tabelle291521497383[[#This Row],[East2]]+(1-$BS$16)*Tabelle291521497383[[#This Row],[South2]]+(1-$BT$16)*Tabelle291521497383[[#This Row],[West2]]</f>
        <v>7.4759999999999991</v>
      </c>
      <c r="X12" s="40">
        <f>Tabelle5121824712[[#This Row],[Height22]]*Tabelle5121824712[[#This Row],[Length33]]+Tabelle5121824712[[#This Row],[Length34]]/2</f>
        <v>3.7379999999999995</v>
      </c>
      <c r="Y12" s="42">
        <f>IF(Tabelle181420387282[[#This Row],[(f)loor/(c )eiling]]="c",Tabelle181420387282[[#This Row],[Total Area size '[m^2']]],0)</f>
        <v>12</v>
      </c>
      <c r="Z12" s="42">
        <f>IF(Tabelle181420387282[[#This Row],[(f)loor/(c )eiling]]="f",Tabelle181420387282[[#This Row],[Total Area size '[m^2']]],0)</f>
        <v>0</v>
      </c>
      <c r="AA12" s="5"/>
      <c r="AB12" s="2">
        <v>0</v>
      </c>
      <c r="AC12" s="2">
        <v>1</v>
      </c>
      <c r="AD12" s="2">
        <v>0</v>
      </c>
      <c r="AE12" s="2">
        <v>0</v>
      </c>
      <c r="AF12" s="42">
        <f t="shared" si="4"/>
        <v>2.8</v>
      </c>
      <c r="AG12" s="2">
        <f>0.9+0.75</f>
        <v>1.65</v>
      </c>
      <c r="AH12" s="44">
        <v>0</v>
      </c>
      <c r="AI12" s="6">
        <v>1</v>
      </c>
      <c r="AJ12" s="2">
        <v>0</v>
      </c>
      <c r="AK12" s="2">
        <v>0</v>
      </c>
      <c r="AL12" s="2">
        <v>0</v>
      </c>
      <c r="AM12" s="42">
        <f t="shared" si="6"/>
        <v>2.8</v>
      </c>
      <c r="AN12" s="2">
        <f>0.08+2.51+0.08</f>
        <v>2.67</v>
      </c>
      <c r="AO12" s="44">
        <v>0</v>
      </c>
      <c r="AP12" s="6"/>
      <c r="AQ12" s="2"/>
      <c r="AR12" s="2"/>
      <c r="AS12" s="2"/>
      <c r="AT12" s="42">
        <f t="shared" si="8"/>
        <v>2.8</v>
      </c>
      <c r="AU12" s="2"/>
      <c r="AV12" s="44"/>
      <c r="AW12" s="6"/>
      <c r="AX12" s="2"/>
      <c r="AY12" s="2"/>
      <c r="AZ12" s="2"/>
      <c r="BA12" s="42">
        <f t="shared" si="10"/>
        <v>2.8</v>
      </c>
      <c r="BB12" s="2"/>
      <c r="BC12" s="44">
        <v>0</v>
      </c>
      <c r="BD12" s="6"/>
      <c r="BE12" s="2"/>
      <c r="BF12" s="2"/>
      <c r="BG12" s="2"/>
      <c r="BH12" s="42">
        <f t="shared" si="11"/>
        <v>2.8</v>
      </c>
      <c r="BI12" s="2"/>
      <c r="BJ12" s="44">
        <v>0</v>
      </c>
      <c r="BK12" s="1"/>
      <c r="BL12" s="1"/>
      <c r="BM12" s="2">
        <f>Tabelle31016225107484[[#This Row],[North]]*$AH12+AK12*$AO12+AR12*$AV12+AY12*$BC12+BF12*$BJ12</f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6">
        <f>Tabelle31016225107484[[#This Row],[North]]*$AF12*$AG12+AK12*$AM12*$AN12+AR12*$AT12*$AU12+AY12*$BA12*$BB12+BF12*$BH12*$BI12-BM12</f>
        <v>0</v>
      </c>
      <c r="BR12" s="2">
        <f t="shared" si="15"/>
        <v>4.6199999999999992</v>
      </c>
      <c r="BS12" s="2">
        <f t="shared" si="16"/>
        <v>7.4759999999999991</v>
      </c>
      <c r="BT12" s="7">
        <f t="shared" si="17"/>
        <v>0</v>
      </c>
      <c r="BU12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2" s="2"/>
      <c r="BW12" s="2">
        <f>IF(Tabelle18142038[[#This Row],[(g)round/(r )oof]]="G",Tabelle18142038[[#This Row],[Total Area size '[m^2']]],IF(Tabelle18142038[[#This Row],[(g)round/(r )oof]]="B",Tabelle18142038[[#This Row],[Total Area size '[m^2']]],0))</f>
        <v>12</v>
      </c>
    </row>
    <row r="13" spans="1:76" x14ac:dyDescent="0.25">
      <c r="A13" s="40">
        <v>9</v>
      </c>
      <c r="B13" s="2" t="s">
        <v>100</v>
      </c>
      <c r="C13" s="2" t="s">
        <v>10</v>
      </c>
      <c r="D13" s="2" t="s">
        <v>112</v>
      </c>
      <c r="E13" s="37" t="s">
        <v>106</v>
      </c>
      <c r="F13" s="2"/>
      <c r="G13" s="2" t="s">
        <v>105</v>
      </c>
      <c r="H13" s="40">
        <v>4.5</v>
      </c>
      <c r="I13" s="2"/>
      <c r="J13" s="2"/>
      <c r="K13" s="2"/>
      <c r="L13" s="2"/>
      <c r="M13" s="2"/>
      <c r="N13" s="5"/>
      <c r="O13" s="42">
        <f t="shared" si="0"/>
        <v>2.8</v>
      </c>
      <c r="P13" s="3">
        <f>2.04+2.04+2.22</f>
        <v>6.3000000000000007</v>
      </c>
      <c r="Q13" s="40">
        <f>Tabelle51218247127686[[#This Row],[Height]]*Tabelle51218247127686[[#This Row],[Length]]</f>
        <v>17.64</v>
      </c>
      <c r="R13" s="42">
        <f t="shared" si="1"/>
        <v>2.8</v>
      </c>
      <c r="S13" s="33">
        <v>0</v>
      </c>
      <c r="T13" s="40">
        <f>Tabelle51218247127686[[#This Row],[Height2]]*Tabelle51218247127686[[#This Row],[Length3]]</f>
        <v>0</v>
      </c>
      <c r="U13" s="42">
        <f t="shared" si="3"/>
        <v>2.8</v>
      </c>
      <c r="V13" s="3">
        <v>0</v>
      </c>
      <c r="W13" s="3">
        <f>(1-$BQ$16)*Tabelle291521497383[[#This Row],[North2]]+(1-$BR$16)*Tabelle291521497383[[#This Row],[East2]]+(1-$BS$16)*Tabelle291521497383[[#This Row],[South2]]+(1-$BT$16)*Tabelle291521497383[[#This Row],[West2]]</f>
        <v>6.5940000000000012</v>
      </c>
      <c r="X13" s="40">
        <f>Tabelle5121824712[[#This Row],[Height22]]*Tabelle5121824712[[#This Row],[Length33]]+Tabelle5121824712[[#This Row],[Length34]]/2</f>
        <v>3.2970000000000006</v>
      </c>
      <c r="Y13" s="42">
        <f>IF(Tabelle181420387282[[#This Row],[(f)loor/(c )eiling]]="c",Tabelle181420387282[[#This Row],[Total Area size '[m^2']]],0)</f>
        <v>4.5</v>
      </c>
      <c r="Z13" s="42">
        <f>IF(Tabelle181420387282[[#This Row],[(f)loor/(c )eiling]]="f",Tabelle181420387282[[#This Row],[Total Area size '[m^2']]],0)</f>
        <v>0</v>
      </c>
      <c r="AA13" s="5"/>
      <c r="AB13" s="2">
        <v>1</v>
      </c>
      <c r="AC13" s="2">
        <v>0</v>
      </c>
      <c r="AD13" s="2">
        <v>0</v>
      </c>
      <c r="AE13" s="2">
        <v>0</v>
      </c>
      <c r="AF13" s="42">
        <f t="shared" si="4"/>
        <v>2.8</v>
      </c>
      <c r="AG13" s="2">
        <f>0.055+2.22+0.08</f>
        <v>2.3550000000000004</v>
      </c>
      <c r="AH13" s="44">
        <v>0</v>
      </c>
      <c r="AI13" s="6"/>
      <c r="AJ13" s="2"/>
      <c r="AK13" s="2"/>
      <c r="AL13" s="2"/>
      <c r="AM13" s="42"/>
      <c r="AN13" s="2"/>
      <c r="AO13" s="44"/>
      <c r="AP13" s="6"/>
      <c r="AQ13" s="2"/>
      <c r="AR13" s="2"/>
      <c r="AS13" s="2"/>
      <c r="AT13" s="42">
        <f t="shared" si="8"/>
        <v>2.8</v>
      </c>
      <c r="AU13" s="2"/>
      <c r="AV13" s="44"/>
      <c r="AW13" s="6"/>
      <c r="AX13" s="2"/>
      <c r="AY13" s="2"/>
      <c r="AZ13" s="2"/>
      <c r="BA13" s="42">
        <f t="shared" si="10"/>
        <v>2.8</v>
      </c>
      <c r="BB13" s="2"/>
      <c r="BC13" s="44">
        <v>0</v>
      </c>
      <c r="BD13" s="6"/>
      <c r="BE13" s="2"/>
      <c r="BF13" s="2"/>
      <c r="BG13" s="2"/>
      <c r="BH13" s="42">
        <f t="shared" si="11"/>
        <v>2.8</v>
      </c>
      <c r="BI13" s="2"/>
      <c r="BJ13" s="44">
        <v>0</v>
      </c>
      <c r="BK13" s="1"/>
      <c r="BL13" s="1"/>
      <c r="BM13" s="2">
        <f>Tabelle31016225107484[[#This Row],[North]]*$AH13+AK13*$AO13+AR13*$AV13+AY13*$BC13+BF13*$BJ13</f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6">
        <f>Tabelle31016225107484[[#This Row],[North]]*$AF13*$AG13+AK13*$AM13*$AN13+AR13*$AT13*$AU13+AY13*$BA13*$BB13+BF13*$BH13*$BI13-BM13</f>
        <v>0</v>
      </c>
      <c r="BR13" s="2">
        <f t="shared" si="15"/>
        <v>0</v>
      </c>
      <c r="BS13" s="2">
        <f t="shared" si="16"/>
        <v>6.5940000000000012</v>
      </c>
      <c r="BT13" s="7">
        <f t="shared" si="17"/>
        <v>0</v>
      </c>
      <c r="BU13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3" s="2"/>
      <c r="BW13" s="2">
        <f>IF(Tabelle18142038[[#This Row],[(g)round/(r )oof]]="G",Tabelle18142038[[#This Row],[Total Area size '[m^2']]],IF(Tabelle18142038[[#This Row],[(g)round/(r )oof]]="B",Tabelle18142038[[#This Row],[Total Area size '[m^2']]],0))</f>
        <v>4.5</v>
      </c>
    </row>
    <row r="14" spans="1:76" x14ac:dyDescent="0.25">
      <c r="A14" s="40">
        <v>10</v>
      </c>
      <c r="B14" s="2" t="s">
        <v>109</v>
      </c>
      <c r="C14" s="2" t="s">
        <v>10</v>
      </c>
      <c r="D14" s="2" t="s">
        <v>113</v>
      </c>
      <c r="E14" s="37" t="s">
        <v>107</v>
      </c>
      <c r="F14" s="2"/>
      <c r="G14" s="2" t="s">
        <v>105</v>
      </c>
      <c r="H14" s="40">
        <v>7.7</v>
      </c>
      <c r="I14" s="2"/>
      <c r="J14" s="2"/>
      <c r="K14" s="2"/>
      <c r="L14" s="2"/>
      <c r="M14" s="2"/>
      <c r="N14" s="5"/>
      <c r="O14" s="42">
        <f t="shared" si="0"/>
        <v>2.8</v>
      </c>
      <c r="P14" s="3">
        <f>0</f>
        <v>0</v>
      </c>
      <c r="Q14" s="40">
        <f>Tabelle51218247127686[[#This Row],[Height]]*Tabelle51218247127686[[#This Row],[Length]]</f>
        <v>0</v>
      </c>
      <c r="R14" s="42">
        <f t="shared" si="1"/>
        <v>2.8</v>
      </c>
      <c r="S14" s="3">
        <v>0</v>
      </c>
      <c r="T14" s="40">
        <f>Tabelle51218247127686[[#This Row],[Height2]]*Tabelle51218247127686[[#This Row],[Length3]]</f>
        <v>0</v>
      </c>
      <c r="U14" s="42">
        <f t="shared" si="3"/>
        <v>2.8</v>
      </c>
      <c r="V14" s="3">
        <v>0</v>
      </c>
      <c r="W14" s="3">
        <f>(1-$BQ$16)*Tabelle291521497383[[#This Row],[North2]]+(1-$BR$16)*Tabelle291521497383[[#This Row],[East2]]+(1-$BS$16)*Tabelle291521497383[[#This Row],[South2]]+(1-$BT$16)*Tabelle291521497383[[#This Row],[West2]]</f>
        <v>0</v>
      </c>
      <c r="X14" s="40">
        <f>Tabelle5121824712[[#This Row],[Height22]]*Tabelle5121824712[[#This Row],[Length33]]+Tabelle5121824712[[#This Row],[Length34]]/2</f>
        <v>3.7379999999999995</v>
      </c>
      <c r="Y14" s="42">
        <f>IF(Tabelle181420387282[[#This Row],[(f)loor/(c )eiling]]="c",Tabelle181420387282[[#This Row],[Total Area size '[m^2']]],0)</f>
        <v>0</v>
      </c>
      <c r="Z14" s="42">
        <f>IF(Tabelle181420387282[[#This Row],[(f)loor/(c )eiling]]="f",Tabelle181420387282[[#This Row],[Total Area size '[m^2']]],0)</f>
        <v>7.7</v>
      </c>
      <c r="AA14" s="5"/>
      <c r="AB14" s="2">
        <v>1</v>
      </c>
      <c r="AC14" s="2">
        <v>0</v>
      </c>
      <c r="AD14" s="2">
        <v>0</v>
      </c>
      <c r="AE14" s="2">
        <v>0</v>
      </c>
      <c r="AF14" s="42">
        <f t="shared" si="4"/>
        <v>2.8</v>
      </c>
      <c r="AG14" s="2">
        <f>0.08+2.51+0.08</f>
        <v>2.67</v>
      </c>
      <c r="AH14" s="44">
        <v>0</v>
      </c>
      <c r="AI14" s="6"/>
      <c r="AJ14" s="2"/>
      <c r="AK14" s="2"/>
      <c r="AL14" s="2"/>
      <c r="AM14" s="42"/>
      <c r="AN14" s="2"/>
      <c r="AO14" s="44"/>
      <c r="AP14" s="6"/>
      <c r="AQ14" s="2"/>
      <c r="AR14" s="2"/>
      <c r="AS14" s="2"/>
      <c r="AT14" s="42">
        <f t="shared" si="8"/>
        <v>2.8</v>
      </c>
      <c r="AU14" s="2"/>
      <c r="AV14" s="44">
        <v>0</v>
      </c>
      <c r="AW14" s="6"/>
      <c r="AX14" s="2"/>
      <c r="AY14" s="2"/>
      <c r="AZ14" s="2"/>
      <c r="BA14" s="42">
        <f t="shared" si="10"/>
        <v>2.8</v>
      </c>
      <c r="BB14" s="2"/>
      <c r="BC14" s="44">
        <v>0</v>
      </c>
      <c r="BD14" s="6"/>
      <c r="BE14" s="2"/>
      <c r="BF14" s="2"/>
      <c r="BG14" s="2"/>
      <c r="BH14" s="42">
        <f t="shared" si="11"/>
        <v>2.8</v>
      </c>
      <c r="BI14" s="2"/>
      <c r="BJ14" s="44">
        <v>0</v>
      </c>
      <c r="BK14" s="1"/>
      <c r="BL14" s="1"/>
      <c r="BM14" s="2"/>
      <c r="BN14" s="2"/>
      <c r="BO14" s="2"/>
      <c r="BP14" s="2"/>
      <c r="BQ14" s="6"/>
      <c r="BR14" s="2"/>
      <c r="BS14" s="2"/>
      <c r="BT14" s="7"/>
      <c r="BU14" s="2">
        <f>IF(Tabelle18142038[[#This Row],[(g)round/(r )oof]]="R",Tabelle18142038[[#This Row],[Total Area size '[m^2']]],IF(Tabelle18142038[[#This Row],[(g)round/(r )oof]]="B",Tabelle18142038[[#This Row],[Total Area size '[m^2']]],0))</f>
        <v>7.7</v>
      </c>
      <c r="BV14" s="2"/>
      <c r="BW14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5" spans="1:76" x14ac:dyDescent="0.25">
      <c r="A15" s="40">
        <v>11</v>
      </c>
      <c r="B15" s="2"/>
      <c r="C15" s="2"/>
      <c r="D15" s="2"/>
      <c r="E15" s="37"/>
      <c r="F15" s="2"/>
      <c r="G15" s="2"/>
      <c r="H15" s="40"/>
      <c r="I15" s="2"/>
      <c r="J15" s="2"/>
      <c r="K15" s="2"/>
      <c r="L15" s="2"/>
      <c r="M15" s="2"/>
      <c r="N15" s="5"/>
      <c r="O15" s="42"/>
      <c r="P15" s="3"/>
      <c r="Q15" s="40"/>
      <c r="R15" s="42"/>
      <c r="S15" s="3"/>
      <c r="T15" s="40"/>
      <c r="U15" s="42"/>
      <c r="V15" s="3"/>
      <c r="W15" s="3"/>
      <c r="X15" s="40">
        <f>Tabelle5121824712[[#This Row],[Height22]]*Tabelle5121824712[[#This Row],[Length33]]+Tabelle5121824712[[#This Row],[Length34]]/2</f>
        <v>0</v>
      </c>
      <c r="Y15" s="42"/>
      <c r="Z15" s="42"/>
      <c r="AA15" s="5"/>
      <c r="AB15" s="2"/>
      <c r="AC15" s="2"/>
      <c r="AD15" s="2"/>
      <c r="AE15" s="2"/>
      <c r="AF15" s="42"/>
      <c r="AG15" s="2"/>
      <c r="AH15" s="44"/>
      <c r="AI15" s="6"/>
      <c r="AJ15" s="2"/>
      <c r="AK15" s="2"/>
      <c r="AL15" s="2"/>
      <c r="AM15" s="42"/>
      <c r="AN15" s="2"/>
      <c r="AO15" s="44"/>
      <c r="AP15" s="6"/>
      <c r="AQ15" s="2"/>
      <c r="AR15" s="2"/>
      <c r="AS15" s="2"/>
      <c r="AT15" s="42"/>
      <c r="AU15" s="2"/>
      <c r="AV15" s="44"/>
      <c r="AW15" s="6"/>
      <c r="AX15" s="2"/>
      <c r="AY15" s="2"/>
      <c r="AZ15" s="2"/>
      <c r="BA15" s="42"/>
      <c r="BB15" s="2"/>
      <c r="BC15" s="44"/>
      <c r="BD15" s="6"/>
      <c r="BE15" s="2"/>
      <c r="BF15" s="2"/>
      <c r="BG15" s="2"/>
      <c r="BH15" s="42"/>
      <c r="BI15" s="2"/>
      <c r="BJ15" s="44"/>
      <c r="BK15" s="1"/>
      <c r="BL15" s="1"/>
      <c r="BM15" s="2"/>
      <c r="BN15" s="2"/>
      <c r="BO15" s="2"/>
      <c r="BP15" s="2"/>
      <c r="BQ15" s="6"/>
      <c r="BR15" s="2"/>
      <c r="BS15" s="2"/>
      <c r="BT15" s="7"/>
      <c r="BU15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5" s="2"/>
      <c r="BW15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6" spans="1:76" x14ac:dyDescent="0.25">
      <c r="A16" s="40">
        <v>12</v>
      </c>
      <c r="B16" s="2"/>
      <c r="C16" s="2"/>
      <c r="D16" s="2"/>
      <c r="E16" s="2"/>
      <c r="F16" s="2"/>
      <c r="G16" s="2"/>
      <c r="H16" s="40">
        <f t="shared" ref="H16:H18" si="18">SUM(I16,J16,K16,L16,M16)</f>
        <v>0</v>
      </c>
      <c r="I16" s="2"/>
      <c r="J16" s="2"/>
      <c r="K16" s="2"/>
      <c r="L16" s="2"/>
      <c r="M16" s="2"/>
      <c r="N16" s="5"/>
      <c r="O16" s="42"/>
      <c r="P16" s="3"/>
      <c r="Q16" s="40"/>
      <c r="R16" s="42"/>
      <c r="S16" s="3"/>
      <c r="T16" s="40"/>
      <c r="U16" s="42"/>
      <c r="V16" s="3"/>
      <c r="W16" s="3"/>
      <c r="X16" s="40">
        <f>Tabelle5121824712[[#This Row],[Height22]]*Tabelle5121824712[[#This Row],[Length33]]+Tabelle5121824712[[#This Row],[Length34]]/2</f>
        <v>0</v>
      </c>
      <c r="Y16" s="42"/>
      <c r="Z16" s="40"/>
      <c r="AA16" s="5"/>
      <c r="AB16" s="2"/>
      <c r="AC16" s="2"/>
      <c r="AD16" s="2"/>
      <c r="AE16" s="2"/>
      <c r="AF16" s="42"/>
      <c r="AG16" s="3"/>
      <c r="AH16" s="44"/>
      <c r="AI16" s="6"/>
      <c r="AJ16" s="2"/>
      <c r="AK16" s="2"/>
      <c r="AL16" s="2"/>
      <c r="AM16" s="42"/>
      <c r="AN16" s="2"/>
      <c r="AO16" s="44"/>
      <c r="AP16" s="6"/>
      <c r="AQ16" s="2"/>
      <c r="AR16" s="2"/>
      <c r="AS16" s="2"/>
      <c r="AT16" s="42"/>
      <c r="AU16" s="2"/>
      <c r="AV16" s="44"/>
      <c r="AW16" s="6"/>
      <c r="AX16" s="2"/>
      <c r="AY16" s="2"/>
      <c r="AZ16" s="2"/>
      <c r="BA16" s="42"/>
      <c r="BB16" s="2"/>
      <c r="BC16" s="44"/>
      <c r="BD16" s="6"/>
      <c r="BE16" s="2"/>
      <c r="BF16" s="2"/>
      <c r="BG16" s="2"/>
      <c r="BH16" s="42"/>
      <c r="BI16" s="2"/>
      <c r="BJ16" s="44"/>
      <c r="BK16" s="1"/>
      <c r="BL16" s="1" t="s">
        <v>128</v>
      </c>
      <c r="BM16" s="2"/>
      <c r="BN16" s="2"/>
      <c r="BO16" s="2"/>
      <c r="BP16" s="2"/>
      <c r="BQ16" s="2">
        <v>1</v>
      </c>
      <c r="BR16" s="2">
        <v>1</v>
      </c>
      <c r="BS16" s="2">
        <v>0</v>
      </c>
      <c r="BT16" s="2">
        <v>1</v>
      </c>
      <c r="BU16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6" s="2"/>
      <c r="BW16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7" spans="1:83" x14ac:dyDescent="0.25">
      <c r="A17" s="40">
        <v>13</v>
      </c>
      <c r="B17" s="2"/>
      <c r="C17" s="2"/>
      <c r="D17" s="2"/>
      <c r="E17" s="2"/>
      <c r="F17" s="2"/>
      <c r="G17" s="2"/>
      <c r="H17" s="40">
        <f t="shared" si="18"/>
        <v>0</v>
      </c>
      <c r="I17" s="2"/>
      <c r="J17" s="2"/>
      <c r="K17" s="2"/>
      <c r="L17" s="2"/>
      <c r="M17" s="2"/>
      <c r="N17" s="5"/>
      <c r="O17" s="42"/>
      <c r="P17" s="3"/>
      <c r="Q17" s="40"/>
      <c r="R17" s="42"/>
      <c r="S17" s="3"/>
      <c r="T17" s="40"/>
      <c r="U17" s="42"/>
      <c r="V17" s="3"/>
      <c r="W17" s="3"/>
      <c r="X17" s="40">
        <f>Tabelle5121824712[[#This Row],[Height22]]*Tabelle5121824712[[#This Row],[Length33]]+Tabelle5121824712[[#This Row],[Length34]]/2</f>
        <v>0</v>
      </c>
      <c r="Y17" s="42"/>
      <c r="Z17" s="40"/>
      <c r="AA17" s="5"/>
      <c r="AB17" s="2"/>
      <c r="AC17" s="2"/>
      <c r="AD17" s="2"/>
      <c r="AE17" s="2"/>
      <c r="AF17" s="42"/>
      <c r="AG17" s="2"/>
      <c r="AH17" s="44"/>
      <c r="AI17" s="6"/>
      <c r="AJ17" s="2"/>
      <c r="AK17" s="2"/>
      <c r="AL17" s="2"/>
      <c r="AM17" s="42"/>
      <c r="AN17" s="2"/>
      <c r="AO17" s="44"/>
      <c r="AP17" s="6"/>
      <c r="AQ17" s="2"/>
      <c r="AR17" s="2"/>
      <c r="AS17" s="2"/>
      <c r="AT17" s="42"/>
      <c r="AU17" s="2"/>
      <c r="AV17" s="44"/>
      <c r="AW17" s="6"/>
      <c r="AX17" s="2"/>
      <c r="AY17" s="2"/>
      <c r="AZ17" s="2"/>
      <c r="BA17" s="42"/>
      <c r="BB17" s="2"/>
      <c r="BC17" s="44"/>
      <c r="BD17" s="6"/>
      <c r="BE17" s="2"/>
      <c r="BF17" s="2"/>
      <c r="BG17" s="2"/>
      <c r="BH17" s="42"/>
      <c r="BI17" s="2"/>
      <c r="BJ17" s="44"/>
      <c r="BK17" s="1"/>
      <c r="BL17" s="1"/>
      <c r="BM17" s="2"/>
      <c r="BN17" s="2"/>
      <c r="BO17" s="2"/>
      <c r="BP17" s="2"/>
      <c r="BQ17" s="6"/>
      <c r="BR17" s="2"/>
      <c r="BS17" s="2"/>
      <c r="BT17" s="7"/>
      <c r="BU17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7" s="2"/>
      <c r="BW17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8" spans="1:83" x14ac:dyDescent="0.25">
      <c r="A18" s="40">
        <v>14</v>
      </c>
      <c r="B18" s="2"/>
      <c r="C18" s="2"/>
      <c r="D18" s="2"/>
      <c r="E18" s="2"/>
      <c r="F18" s="2"/>
      <c r="G18" s="2"/>
      <c r="H18" s="40">
        <f t="shared" si="18"/>
        <v>0</v>
      </c>
      <c r="I18" s="2"/>
      <c r="J18" s="2"/>
      <c r="K18" s="2"/>
      <c r="L18" s="2"/>
      <c r="M18" s="2"/>
      <c r="N18" s="5"/>
      <c r="O18" s="42"/>
      <c r="P18" s="3"/>
      <c r="Q18" s="40"/>
      <c r="R18" s="42"/>
      <c r="S18" s="3"/>
      <c r="T18" s="40"/>
      <c r="U18" s="42"/>
      <c r="V18" s="3"/>
      <c r="W18" s="3"/>
      <c r="X18" s="40">
        <f>Tabelle5121824712[[#This Row],[Height22]]*Tabelle5121824712[[#This Row],[Length33]]+Tabelle5121824712[[#This Row],[Length34]]/2</f>
        <v>0</v>
      </c>
      <c r="Y18" s="42"/>
      <c r="Z18" s="40"/>
      <c r="AA18" s="5"/>
      <c r="AB18" s="2"/>
      <c r="AC18" s="2"/>
      <c r="AD18" s="2"/>
      <c r="AE18" s="2"/>
      <c r="AF18" s="42"/>
      <c r="AG18" s="2"/>
      <c r="AH18" s="44"/>
      <c r="AI18" s="6"/>
      <c r="AJ18" s="2"/>
      <c r="AK18" s="2"/>
      <c r="AL18" s="2"/>
      <c r="AM18" s="42"/>
      <c r="AN18" s="2"/>
      <c r="AO18" s="44"/>
      <c r="AP18" s="6"/>
      <c r="AQ18" s="2"/>
      <c r="AR18" s="2"/>
      <c r="AS18" s="2"/>
      <c r="AT18" s="42"/>
      <c r="AU18" s="2"/>
      <c r="AV18" s="44"/>
      <c r="AW18" s="6"/>
      <c r="AX18" s="2"/>
      <c r="AY18" s="2"/>
      <c r="AZ18" s="2"/>
      <c r="BA18" s="42"/>
      <c r="BB18" s="2"/>
      <c r="BC18" s="44"/>
      <c r="BD18" s="6"/>
      <c r="BE18" s="2"/>
      <c r="BF18" s="2"/>
      <c r="BG18" s="2"/>
      <c r="BH18" s="42"/>
      <c r="BI18" s="2"/>
      <c r="BJ18" s="44"/>
      <c r="BK18" s="1"/>
      <c r="BL18" s="1"/>
      <c r="BM18" s="2"/>
      <c r="BN18" s="2"/>
      <c r="BO18" s="2"/>
      <c r="BP18" s="2"/>
      <c r="BQ18" s="6"/>
      <c r="BR18" s="2"/>
      <c r="BS18" s="2"/>
      <c r="BT18" s="7"/>
      <c r="BU18" s="2">
        <f>IF(Tabelle18142038[[#This Row],[(g)round/(r )oof]]="R",Tabelle18142038[[#This Row],[Total Area size '[m^2']]],IF(Tabelle18142038[[#This Row],[(g)round/(r )oof]]="B",Tabelle18142038[[#This Row],[Total Area size '[m^2']]],0))</f>
        <v>0</v>
      </c>
      <c r="BV18" s="2"/>
      <c r="BW18" s="2">
        <f>IF(Tabelle18142038[[#This Row],[(g)round/(r )oof]]="G",Tabelle18142038[[#This Row],[Total Area size '[m^2']]],IF(Tabelle18142038[[#This Row],[(g)round/(r )oof]]="B",Tabelle18142038[[#This Row],[Total Area size '[m^2']]],0))</f>
        <v>0</v>
      </c>
    </row>
    <row r="19" spans="1:83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1"/>
      <c r="BL19" s="1"/>
      <c r="BM19" s="81"/>
      <c r="BN19" s="3"/>
      <c r="BO19" s="81"/>
      <c r="BP19" s="3"/>
      <c r="BQ19" s="82"/>
      <c r="BR19" s="3"/>
      <c r="BS19" s="81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3" ht="19.5" thickBo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3"/>
      <c r="BY20" s="3"/>
      <c r="BZ20" s="3"/>
      <c r="CA20" s="3"/>
      <c r="CB20" s="3"/>
      <c r="CC20" s="3"/>
      <c r="CD20" s="3"/>
      <c r="CE20" s="3"/>
    </row>
    <row r="21" spans="1:83" ht="19.5" thickBot="1" x14ac:dyDescent="0.35">
      <c r="A21" s="15" t="s">
        <v>51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4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3"/>
      <c r="BY21" s="3"/>
      <c r="BZ21" s="3"/>
      <c r="CA21" s="3"/>
      <c r="CB21" s="3"/>
      <c r="CC21" s="3"/>
      <c r="CD21" s="3"/>
      <c r="CE21" s="3"/>
    </row>
    <row r="22" spans="1:83" ht="15.75" thickBot="1" x14ac:dyDescent="0.3">
      <c r="A22" s="29"/>
      <c r="B22" s="3" t="s">
        <v>84</v>
      </c>
      <c r="C22" s="2" t="s">
        <v>56</v>
      </c>
      <c r="D22" s="2" t="s">
        <v>52</v>
      </c>
      <c r="E22" s="2" t="s">
        <v>53</v>
      </c>
      <c r="F22" s="2" t="s">
        <v>54</v>
      </c>
      <c r="G22" s="2" t="s">
        <v>55</v>
      </c>
      <c r="H22" s="2" t="s">
        <v>1</v>
      </c>
      <c r="I22" s="2" t="s">
        <v>57</v>
      </c>
      <c r="J22" s="30"/>
      <c r="K22" s="30"/>
      <c r="L22" s="30"/>
      <c r="M22" s="32"/>
      <c r="N22" s="3"/>
      <c r="O22" s="33"/>
      <c r="P22" s="3"/>
      <c r="Q22" s="3"/>
      <c r="R22" s="3"/>
      <c r="S22" s="3"/>
      <c r="T22" s="3"/>
      <c r="U22" s="3"/>
      <c r="V22" s="3"/>
      <c r="W22" s="3"/>
      <c r="X22" s="3"/>
      <c r="Y22" s="3"/>
      <c r="Z22" s="2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2"/>
      <c r="BK22" s="12"/>
      <c r="BL22" s="3" t="s">
        <v>101</v>
      </c>
      <c r="BM22" s="61">
        <f>SUMIF($C$5:$C$18,$BL22,BM$5:BM$19)</f>
        <v>6.6</v>
      </c>
      <c r="BN22" s="61">
        <f t="shared" ref="BN22:BP25" si="19">SUMIF($C$5:$C$18,$BL22,BN$5:BN$18)</f>
        <v>2.2200000000000002</v>
      </c>
      <c r="BO22" s="61">
        <f t="shared" si="19"/>
        <v>0</v>
      </c>
      <c r="BP22" s="61">
        <f t="shared" si="19"/>
        <v>8.7100000000000009</v>
      </c>
      <c r="BQ22" s="61">
        <f t="shared" ref="BQ22:BT25" si="20">SUMIF($C$5:$C$18,$BL22,BQ$5:BQ$18)*BQ$16</f>
        <v>25.040000000000003</v>
      </c>
      <c r="BR22" s="61">
        <f t="shared" si="20"/>
        <v>10.211999999999998</v>
      </c>
      <c r="BS22" s="61">
        <f t="shared" si="20"/>
        <v>0</v>
      </c>
      <c r="BT22" s="61">
        <f t="shared" si="20"/>
        <v>14.501999999999995</v>
      </c>
      <c r="BU22" s="61">
        <f>SUMIF($C$5:$C$18,$BL22,BU$5:BU$18)</f>
        <v>0</v>
      </c>
      <c r="BV22" s="61">
        <f>BU22*$BU$30</f>
        <v>0</v>
      </c>
      <c r="BW22" s="61">
        <f>SUMIF($C$5:$C$18,$BL22,BW$5:BW$18)</f>
        <v>58.3</v>
      </c>
      <c r="BX22" s="3"/>
      <c r="BY22" s="3"/>
      <c r="BZ22" s="3"/>
      <c r="CA22" s="3"/>
      <c r="CB22" s="3"/>
      <c r="CC22" s="3"/>
      <c r="CD22" s="3"/>
      <c r="CE22" s="3"/>
    </row>
    <row r="23" spans="1:83" ht="15.75" thickBot="1" x14ac:dyDescent="0.3">
      <c r="A23" s="31"/>
      <c r="B23" s="3">
        <v>1</v>
      </c>
      <c r="C23" s="12" t="s">
        <v>101</v>
      </c>
      <c r="D23" s="12"/>
      <c r="E23" s="12"/>
      <c r="F23" s="12"/>
      <c r="G23" s="12"/>
      <c r="H23" s="43">
        <f>SUMIF($C$5:$C$18,C23,$H$5:$H$18)</f>
        <v>58.3</v>
      </c>
      <c r="I23" s="12">
        <f>H23/$H$28</f>
        <v>0.43572496263079219</v>
      </c>
      <c r="J23" s="1"/>
      <c r="K23" s="86" t="s">
        <v>86</v>
      </c>
      <c r="L23" s="86"/>
      <c r="M23" s="87"/>
      <c r="N23" s="3"/>
      <c r="O23" s="33"/>
      <c r="P23" s="3"/>
      <c r="Q23" s="55">
        <f>SUMIF($C$5:$C$18,C23,$Q$5:$Q$18)/2</f>
        <v>3.9199999999999995</v>
      </c>
      <c r="R23" s="3"/>
      <c r="S23" s="3"/>
      <c r="T23" s="55">
        <f>SUMIF($C$5:$C$18,$C23,$T$5:$T$18)</f>
        <v>26.655999999999999</v>
      </c>
      <c r="U23" s="3"/>
      <c r="V23" s="3"/>
      <c r="W23" s="3"/>
      <c r="X23" s="55">
        <f>SUMIF($C$5:$C$18,$C23,$X$5:$X$18)</f>
        <v>11.213999999999999</v>
      </c>
      <c r="Y23" s="55">
        <f>SUMIF($C$5:$C$18,$C23,$Y$5:$Y$18)/$G$2</f>
        <v>29.15</v>
      </c>
      <c r="Z23" s="55">
        <f>SUMIF($C$5:$C$18,$C23,$Z$5:$Z$18)/$G$2</f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"/>
      <c r="BK23" s="2"/>
      <c r="BL23" s="3" t="s">
        <v>10</v>
      </c>
      <c r="BM23" s="61">
        <f>SUMIF($C$5:$C$18,$BL23,BM$5:BM$18)</f>
        <v>0</v>
      </c>
      <c r="BN23" s="61">
        <f t="shared" si="19"/>
        <v>0.64</v>
      </c>
      <c r="BO23" s="61">
        <f t="shared" si="19"/>
        <v>0</v>
      </c>
      <c r="BP23" s="61">
        <f t="shared" si="19"/>
        <v>0</v>
      </c>
      <c r="BQ23" s="61">
        <f t="shared" si="20"/>
        <v>0</v>
      </c>
      <c r="BR23" s="61">
        <f t="shared" si="20"/>
        <v>10.14</v>
      </c>
      <c r="BS23" s="61">
        <f t="shared" si="20"/>
        <v>0</v>
      </c>
      <c r="BT23" s="61">
        <f t="shared" si="20"/>
        <v>0</v>
      </c>
      <c r="BU23" s="61">
        <f t="shared" ref="BU23:BU25" si="21">SUMIF($C$5:$C$18,$BL23,BU$5:BU$18)</f>
        <v>7.7</v>
      </c>
      <c r="BV23" s="61">
        <f t="shared" ref="BV23:BV25" si="22">BU23*$BU$30</f>
        <v>15.238461538461538</v>
      </c>
      <c r="BW23" s="61">
        <f t="shared" ref="BW23:BW25" si="23">SUMIF($C$5:$C$18,$BL23,BW$5:BW$18)</f>
        <v>18.3</v>
      </c>
      <c r="BX23" s="3"/>
      <c r="BY23" s="3"/>
      <c r="BZ23" s="3"/>
      <c r="CA23" s="3"/>
      <c r="CB23" s="3"/>
      <c r="CC23" s="3"/>
      <c r="CD23" s="3"/>
      <c r="CE23" s="3"/>
    </row>
    <row r="24" spans="1:83" ht="15.75" thickBot="1" x14ac:dyDescent="0.3">
      <c r="A24" s="31"/>
      <c r="B24" s="3">
        <v>2</v>
      </c>
      <c r="C24" s="2" t="s">
        <v>10</v>
      </c>
      <c r="D24" s="2"/>
      <c r="E24" s="2"/>
      <c r="F24" s="2"/>
      <c r="G24" s="2"/>
      <c r="H24" s="40">
        <f>SUMIF($C$5:$C$18,C24,$H$5:$H$18)</f>
        <v>26</v>
      </c>
      <c r="I24" s="2">
        <f>H24/$H$28</f>
        <v>0.19431988041853512</v>
      </c>
      <c r="J24" s="1"/>
      <c r="K24" s="86"/>
      <c r="L24" s="86"/>
      <c r="M24" s="87"/>
      <c r="N24" s="3"/>
      <c r="O24" s="33"/>
      <c r="P24" s="3"/>
      <c r="Q24" s="56">
        <f>SUMIF($C$5:$C$18,C24,$Q$5:$Q$18)/2</f>
        <v>20.103999999999999</v>
      </c>
      <c r="R24" s="3"/>
      <c r="S24" s="3"/>
      <c r="T24" s="56">
        <f>SUMIF($C$5:$C$18,$C24,$T$5:$T$18)</f>
        <v>0</v>
      </c>
      <c r="U24" s="3"/>
      <c r="V24" s="3"/>
      <c r="W24" s="3"/>
      <c r="X24" s="56">
        <f>SUMIF($C$5:$C$18,$C24,$X$5:$X$18)</f>
        <v>12.544</v>
      </c>
      <c r="Y24" s="55">
        <f t="shared" ref="Y24:Y26" si="24">SUMIF($C$5:$C$18,$C24,$Y$5:$Y$18)/$G$2</f>
        <v>9.15</v>
      </c>
      <c r="Z24" s="55">
        <f t="shared" ref="Z24:Z26" si="25">SUMIF($C$5:$C$18,$C24,$Z$5:$Z$18)/$G$2</f>
        <v>3.85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"/>
      <c r="BK24" s="2"/>
      <c r="BL24" s="3" t="s">
        <v>102</v>
      </c>
      <c r="BM24" s="61">
        <f>SUMIF($C$5:$C$18,$BL24,BM$5:BM$18)</f>
        <v>5.76</v>
      </c>
      <c r="BN24" s="61">
        <f t="shared" si="19"/>
        <v>0</v>
      </c>
      <c r="BO24" s="61">
        <f t="shared" si="19"/>
        <v>0</v>
      </c>
      <c r="BP24" s="61">
        <f t="shared" si="19"/>
        <v>2</v>
      </c>
      <c r="BQ24" s="61">
        <f t="shared" si="20"/>
        <v>25.88</v>
      </c>
      <c r="BR24" s="61">
        <f t="shared" si="20"/>
        <v>12.068000000000001</v>
      </c>
      <c r="BS24" s="61">
        <f t="shared" si="20"/>
        <v>0</v>
      </c>
      <c r="BT24" s="61">
        <f t="shared" si="20"/>
        <v>21.212000000000003</v>
      </c>
      <c r="BU24" s="61">
        <f t="shared" si="21"/>
        <v>42.6</v>
      </c>
      <c r="BV24" s="61">
        <f t="shared" si="22"/>
        <v>84.306293706293701</v>
      </c>
      <c r="BW24" s="61">
        <f t="shared" si="23"/>
        <v>0</v>
      </c>
      <c r="BX24" s="3"/>
      <c r="BY24" s="3"/>
      <c r="BZ24" s="3"/>
      <c r="CA24" s="3"/>
      <c r="CB24" s="3"/>
      <c r="CC24" s="3"/>
      <c r="CD24" s="3"/>
      <c r="CE24" s="3"/>
    </row>
    <row r="25" spans="1:83" ht="15.75" thickBot="1" x14ac:dyDescent="0.3">
      <c r="A25" s="31"/>
      <c r="B25" s="3">
        <v>3</v>
      </c>
      <c r="C25" s="2" t="s">
        <v>102</v>
      </c>
      <c r="D25" s="2"/>
      <c r="E25" s="2"/>
      <c r="F25" s="2"/>
      <c r="G25" s="2"/>
      <c r="H25" s="40">
        <f>SUMIF($C$5:$C$18,C25,$H$5:$H$18)</f>
        <v>42.6</v>
      </c>
      <c r="I25" s="2">
        <f>H25/$H$28</f>
        <v>0.31838565022421522</v>
      </c>
      <c r="J25" s="1"/>
      <c r="K25" s="86"/>
      <c r="L25" s="86"/>
      <c r="M25" s="87"/>
      <c r="N25" s="3"/>
      <c r="O25" s="33"/>
      <c r="P25" s="3"/>
      <c r="Q25" s="56">
        <f>SUMIF($C$5:$C$18,C25,$Q$5:$Q$18)/2</f>
        <v>24.807999999999996</v>
      </c>
      <c r="R25" s="3"/>
      <c r="S25" s="3"/>
      <c r="T25" s="56">
        <f>SUMIF($C$5:$C$18,$C25,$T$5:$T$18)</f>
        <v>18.059999999999999</v>
      </c>
      <c r="U25" s="3"/>
      <c r="V25" s="3"/>
      <c r="W25" s="3"/>
      <c r="X25" s="56">
        <f>SUMIF($C$5:$C$18,$C25,$X$5:$X$18)</f>
        <v>7.0140000000000002</v>
      </c>
      <c r="Y25" s="55">
        <f t="shared" si="24"/>
        <v>0</v>
      </c>
      <c r="Z25" s="55">
        <f t="shared" si="25"/>
        <v>21.3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"/>
      <c r="BK25" s="2"/>
      <c r="BL25" s="3" t="s">
        <v>103</v>
      </c>
      <c r="BM25" s="61">
        <f>SUMIF($C$5:$C$18,$BL25,BM$5:BM$18)</f>
        <v>0</v>
      </c>
      <c r="BN25" s="61">
        <f t="shared" si="19"/>
        <v>1</v>
      </c>
      <c r="BO25" s="61">
        <f t="shared" si="19"/>
        <v>0</v>
      </c>
      <c r="BP25" s="61">
        <f t="shared" si="19"/>
        <v>0</v>
      </c>
      <c r="BQ25" s="61">
        <f t="shared" si="20"/>
        <v>0</v>
      </c>
      <c r="BR25" s="61">
        <f t="shared" si="20"/>
        <v>10.144</v>
      </c>
      <c r="BS25" s="61">
        <f t="shared" si="20"/>
        <v>0</v>
      </c>
      <c r="BT25" s="61">
        <f t="shared" si="20"/>
        <v>0</v>
      </c>
      <c r="BU25" s="61">
        <f t="shared" si="21"/>
        <v>6.9</v>
      </c>
      <c r="BV25" s="61">
        <f t="shared" si="22"/>
        <v>13.655244755244755</v>
      </c>
      <c r="BW25" s="61">
        <f t="shared" si="23"/>
        <v>0</v>
      </c>
      <c r="BX25" s="3"/>
      <c r="BY25" s="3"/>
      <c r="BZ25" s="3"/>
      <c r="CA25" s="3"/>
      <c r="CB25" s="3"/>
      <c r="CC25" s="3"/>
      <c r="CD25" s="3"/>
      <c r="CE25" s="3"/>
    </row>
    <row r="26" spans="1:83" ht="15.75" thickBot="1" x14ac:dyDescent="0.3">
      <c r="A26" s="31"/>
      <c r="B26" s="3">
        <v>4</v>
      </c>
      <c r="C26" s="2" t="s">
        <v>103</v>
      </c>
      <c r="D26" s="2"/>
      <c r="E26" s="2"/>
      <c r="F26" s="2"/>
      <c r="G26" s="2"/>
      <c r="H26" s="40">
        <f>SUMIF($C$5:$C$18,C26,$H$5:$H$18)</f>
        <v>6.9</v>
      </c>
      <c r="I26" s="2">
        <f>H26/$H$28</f>
        <v>5.1569506726457395E-2</v>
      </c>
      <c r="J26" s="1"/>
      <c r="K26" s="86"/>
      <c r="L26" s="86"/>
      <c r="M26" s="87"/>
      <c r="N26" s="3"/>
      <c r="O26" s="33"/>
      <c r="P26" s="3"/>
      <c r="Q26" s="56">
        <f>SUMIF($C$5:$C$18,C26,$Q$5:$Q$18)/2</f>
        <v>3.3319999999999999</v>
      </c>
      <c r="R26" s="3"/>
      <c r="S26" s="3"/>
      <c r="T26" s="56">
        <f>SUMIF($C$5:$C$18,$C26,$T$5:$T$18)</f>
        <v>10.5</v>
      </c>
      <c r="U26" s="3"/>
      <c r="V26" s="3"/>
      <c r="W26" s="3"/>
      <c r="X26" s="56">
        <f>SUMIF($C$5:$C$18,$C26,$X$5:$X$18)</f>
        <v>5.0679999999999996</v>
      </c>
      <c r="Y26" s="55">
        <f t="shared" si="24"/>
        <v>0</v>
      </c>
      <c r="Z26" s="55">
        <f t="shared" si="25"/>
        <v>3.45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"/>
      <c r="BK26" s="2"/>
      <c r="BL26" s="3"/>
      <c r="BM26" s="62"/>
      <c r="BN26" s="63"/>
      <c r="BO26" s="63"/>
      <c r="BP26" s="63"/>
      <c r="BQ26" s="63"/>
      <c r="BR26" s="63"/>
      <c r="BS26" s="63"/>
      <c r="BT26" s="63"/>
      <c r="BU26" s="63"/>
      <c r="BV26" s="63"/>
      <c r="BW26" s="64"/>
      <c r="BX26" s="3"/>
      <c r="BY26" s="3"/>
      <c r="BZ26" s="3"/>
      <c r="CA26" s="3"/>
      <c r="CB26" s="3"/>
      <c r="CC26" s="3"/>
      <c r="CD26" s="3"/>
      <c r="CE26" s="3"/>
    </row>
    <row r="27" spans="1:83" ht="15.75" thickBot="1" x14ac:dyDescent="0.3">
      <c r="A27" s="31"/>
      <c r="B27" s="3"/>
      <c r="C27" s="2"/>
      <c r="D27" s="2"/>
      <c r="E27" s="2"/>
      <c r="F27" s="2"/>
      <c r="G27" s="2"/>
      <c r="H27" s="2"/>
      <c r="I27" s="2"/>
      <c r="J27" s="1"/>
      <c r="K27" s="4" t="s">
        <v>7</v>
      </c>
      <c r="L27" s="58"/>
      <c r="M27" s="26" t="s">
        <v>85</v>
      </c>
      <c r="N27" s="3"/>
      <c r="O27" s="33"/>
      <c r="P27" s="3"/>
      <c r="Q27" s="57"/>
      <c r="R27" s="3"/>
      <c r="S27" s="3"/>
      <c r="T27" s="57"/>
      <c r="U27" s="3"/>
      <c r="V27" s="3"/>
      <c r="W27" s="3"/>
      <c r="X27" s="57"/>
      <c r="Y27" s="71"/>
      <c r="Z27" s="2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"/>
      <c r="BK27" s="2"/>
      <c r="BL27" s="3" t="s">
        <v>12</v>
      </c>
      <c r="BM27" s="65">
        <f t="shared" ref="BM27:BW27" si="26">SUM(BM22:BM26)</f>
        <v>12.36</v>
      </c>
      <c r="BN27" s="66">
        <f t="shared" si="26"/>
        <v>3.8600000000000003</v>
      </c>
      <c r="BO27" s="66">
        <f t="shared" si="26"/>
        <v>0</v>
      </c>
      <c r="BP27" s="66">
        <f t="shared" si="26"/>
        <v>10.71</v>
      </c>
      <c r="BQ27" s="66">
        <f t="shared" si="26"/>
        <v>50.92</v>
      </c>
      <c r="BR27" s="66">
        <f t="shared" si="26"/>
        <v>42.564</v>
      </c>
      <c r="BS27" s="66">
        <f t="shared" si="26"/>
        <v>0</v>
      </c>
      <c r="BT27" s="66">
        <f t="shared" si="26"/>
        <v>35.713999999999999</v>
      </c>
      <c r="BU27" s="66">
        <f t="shared" si="26"/>
        <v>57.2</v>
      </c>
      <c r="BV27" s="66">
        <f t="shared" si="26"/>
        <v>113.19999999999999</v>
      </c>
      <c r="BW27" s="66">
        <f t="shared" si="26"/>
        <v>76.599999999999994</v>
      </c>
      <c r="BX27" s="3"/>
      <c r="BY27" s="3"/>
      <c r="BZ27" s="3"/>
      <c r="CA27" s="3"/>
      <c r="CB27" s="3"/>
      <c r="CC27" s="3"/>
      <c r="CD27" s="3"/>
      <c r="CE27" s="3"/>
    </row>
    <row r="28" spans="1:83" ht="15.75" thickBot="1" x14ac:dyDescent="0.3">
      <c r="A28" s="31"/>
      <c r="B28" s="3"/>
      <c r="C28" s="2" t="s">
        <v>12</v>
      </c>
      <c r="D28" s="2"/>
      <c r="E28" s="2"/>
      <c r="F28" s="2"/>
      <c r="G28" s="2"/>
      <c r="H28" s="40">
        <f>SUM(H23:H26)</f>
        <v>133.80000000000001</v>
      </c>
      <c r="I28" s="2"/>
      <c r="J28" s="1"/>
      <c r="K28" s="4" t="s">
        <v>7</v>
      </c>
      <c r="L28" s="58"/>
      <c r="M28" s="26"/>
      <c r="N28" s="3"/>
      <c r="O28" s="33"/>
      <c r="P28" s="3"/>
      <c r="Q28" s="56">
        <f>SUM(Q23:Q26)</f>
        <v>52.163999999999994</v>
      </c>
      <c r="R28" s="3"/>
      <c r="S28" s="3"/>
      <c r="T28" s="56">
        <f>SUM(T23:T26)</f>
        <v>55.215999999999994</v>
      </c>
      <c r="U28" s="3"/>
      <c r="V28" s="3"/>
      <c r="W28" s="3"/>
      <c r="X28" s="72">
        <f>SUM(X23:X26)</f>
        <v>35.839999999999996</v>
      </c>
      <c r="Y28" s="73">
        <f>SUM(Y23:Y26)</f>
        <v>38.299999999999997</v>
      </c>
      <c r="Z28" s="73">
        <f>SUM(Z23:Z26)</f>
        <v>28.6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1:83" ht="15.75" thickBot="1" x14ac:dyDescent="0.3">
      <c r="I29" s="2"/>
      <c r="J29" s="1"/>
      <c r="K29" s="4"/>
      <c r="L29" s="4"/>
      <c r="M29" s="26"/>
      <c r="O29" s="6"/>
      <c r="P29" s="2"/>
      <c r="Q29" s="3"/>
      <c r="R29" s="3"/>
      <c r="S29" s="3"/>
      <c r="T29" s="3"/>
      <c r="U29" s="3"/>
      <c r="V29" s="3"/>
      <c r="W29" s="3"/>
      <c r="X29" s="3"/>
      <c r="Y29" s="2"/>
      <c r="Z29" s="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>
        <v>113.2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spans="1:83" ht="15.75" thickBot="1" x14ac:dyDescent="0.3">
      <c r="I30" s="1" t="s">
        <v>15</v>
      </c>
      <c r="J30" s="1"/>
      <c r="K30" s="4" t="s">
        <v>7</v>
      </c>
      <c r="L30" s="58"/>
      <c r="M30" s="26" t="s">
        <v>85</v>
      </c>
      <c r="O30" s="6"/>
      <c r="P30" s="2"/>
      <c r="Q30" s="2"/>
      <c r="R30" s="2"/>
      <c r="S30" s="2"/>
      <c r="T30" s="2"/>
      <c r="U30" s="46"/>
      <c r="V30" s="50"/>
      <c r="W30" s="50"/>
      <c r="X30" s="47" t="s">
        <v>82</v>
      </c>
      <c r="Y30" s="48"/>
      <c r="Z30" s="7"/>
      <c r="AB30" s="3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>
        <f>BU29/BU27</f>
        <v>1.979020979020979</v>
      </c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spans="1:83" ht="15.75" thickBot="1" x14ac:dyDescent="0.3">
      <c r="I31" s="1">
        <f>(811+558+558+811)</f>
        <v>2738</v>
      </c>
      <c r="J31" s="1"/>
      <c r="K31" s="4" t="s">
        <v>7</v>
      </c>
      <c r="L31" s="58"/>
      <c r="M31" s="26"/>
      <c r="O31" s="6"/>
      <c r="P31" s="2"/>
      <c r="Q31" s="2"/>
      <c r="R31" s="2"/>
      <c r="S31" s="2"/>
      <c r="T31" s="2"/>
      <c r="U31" s="2" t="s">
        <v>101</v>
      </c>
      <c r="V31" s="2"/>
      <c r="W31" s="2"/>
      <c r="X31" s="68">
        <f>X23+T23+Q23</f>
        <v>41.79</v>
      </c>
      <c r="Y31" s="49"/>
      <c r="Z31" s="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spans="1:83" x14ac:dyDescent="0.25">
      <c r="I32" s="1">
        <f>(527+363+340+527)</f>
        <v>1757</v>
      </c>
      <c r="J32" s="1"/>
      <c r="K32" s="4"/>
      <c r="L32" s="4"/>
      <c r="M32" s="26"/>
      <c r="O32" s="6"/>
      <c r="P32" s="2"/>
      <c r="Q32" s="2"/>
      <c r="R32" s="2"/>
      <c r="S32" s="2"/>
      <c r="T32" s="2"/>
      <c r="U32" s="2" t="s">
        <v>10</v>
      </c>
      <c r="V32" s="2"/>
      <c r="W32" s="2"/>
      <c r="X32" s="69">
        <f t="shared" ref="X32:X34" si="27">X24+T24+Q24</f>
        <v>32.647999999999996</v>
      </c>
      <c r="Y32" s="49"/>
      <c r="Z32" s="7"/>
      <c r="AB32" s="37"/>
      <c r="AC32" s="3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9:68" x14ac:dyDescent="0.25">
      <c r="I33" s="1">
        <f>527+403+380+527</f>
        <v>1837</v>
      </c>
      <c r="J33" s="1"/>
      <c r="K33" s="4"/>
      <c r="L33" s="4"/>
      <c r="M33" s="26"/>
      <c r="O33" s="6"/>
      <c r="P33" s="2"/>
      <c r="Q33" s="2"/>
      <c r="R33" s="2"/>
      <c r="S33" s="2"/>
      <c r="T33" s="2"/>
      <c r="U33" s="2" t="s">
        <v>102</v>
      </c>
      <c r="V33" s="2"/>
      <c r="W33" s="2"/>
      <c r="X33" s="69">
        <f t="shared" si="27"/>
        <v>49.881999999999991</v>
      </c>
      <c r="Y33" s="49"/>
      <c r="Z33" s="7"/>
      <c r="AB33" s="37"/>
      <c r="AC33" s="3"/>
      <c r="AD33" s="3"/>
    </row>
    <row r="34" spans="9:68" x14ac:dyDescent="0.25">
      <c r="I34" s="1">
        <f>527+403+380+527</f>
        <v>1837</v>
      </c>
      <c r="J34" s="1"/>
      <c r="K34" s="4"/>
      <c r="L34" s="4"/>
      <c r="M34" s="26"/>
      <c r="O34" s="6"/>
      <c r="P34" s="2"/>
      <c r="Q34" s="2"/>
      <c r="R34" s="2"/>
      <c r="S34" s="2"/>
      <c r="T34" s="2"/>
      <c r="U34" s="2" t="s">
        <v>103</v>
      </c>
      <c r="V34" s="2"/>
      <c r="W34" s="2"/>
      <c r="X34" s="69">
        <f t="shared" si="27"/>
        <v>18.899999999999999</v>
      </c>
      <c r="Y34" s="49"/>
      <c r="Z34" s="7"/>
      <c r="AB34" s="37"/>
      <c r="AC34" s="3"/>
      <c r="AD34" s="3"/>
      <c r="BP34">
        <f>(805*2+(886+336)*2)/100*2.8*2</f>
        <v>227.02399999999997</v>
      </c>
    </row>
    <row r="35" spans="9:68" ht="15.75" thickBot="1" x14ac:dyDescent="0.3">
      <c r="I35" s="1">
        <f>SUM(I31:I34)</f>
        <v>8169</v>
      </c>
      <c r="J35" s="1"/>
      <c r="K35" s="4"/>
      <c r="L35" s="4"/>
      <c r="M35" s="26"/>
      <c r="O35" s="6"/>
      <c r="P35" s="2"/>
      <c r="Q35" s="2"/>
      <c r="R35" s="2"/>
      <c r="S35" s="2"/>
      <c r="T35" s="2"/>
      <c r="U35" s="51"/>
      <c r="V35" s="2"/>
      <c r="W35" s="2"/>
      <c r="X35" s="70"/>
      <c r="Y35" s="49"/>
      <c r="Z35" s="7"/>
      <c r="AB35" s="37"/>
      <c r="AC35" s="3"/>
      <c r="AD35" s="3"/>
      <c r="BP35" s="77">
        <f>1-SUM(BM27:BT27)/BP34</f>
        <v>0.31228416378885049</v>
      </c>
    </row>
    <row r="36" spans="9:68" ht="15.75" thickBot="1" x14ac:dyDescent="0.3">
      <c r="I36" s="27"/>
      <c r="J36" s="27"/>
      <c r="K36" s="27"/>
      <c r="L36" s="27"/>
      <c r="M36" s="28"/>
      <c r="O36" s="8"/>
      <c r="P36" s="9"/>
      <c r="Q36" s="9"/>
      <c r="R36" s="9"/>
      <c r="S36" s="9"/>
      <c r="T36" s="9"/>
      <c r="U36" s="52"/>
      <c r="V36" s="53"/>
      <c r="W36" s="53"/>
      <c r="X36" s="9"/>
      <c r="Y36" s="54"/>
      <c r="Z36" s="10"/>
      <c r="AB36" s="37"/>
      <c r="AC36" s="3"/>
      <c r="AD36" s="3"/>
    </row>
    <row r="37" spans="9:68" x14ac:dyDescent="0.25">
      <c r="I37" s="2"/>
      <c r="J37" s="2"/>
      <c r="K37" s="2"/>
      <c r="L37" s="2"/>
      <c r="M37" s="2"/>
      <c r="AB37" s="3"/>
      <c r="AC37" s="3"/>
      <c r="AD37" s="3"/>
    </row>
    <row r="46" spans="9:68" x14ac:dyDescent="0.25">
      <c r="V46" t="s">
        <v>130</v>
      </c>
    </row>
  </sheetData>
  <mergeCells count="6">
    <mergeCell ref="BE3:BH3"/>
    <mergeCell ref="K23:M26"/>
    <mergeCell ref="AB3:AF3"/>
    <mergeCell ref="AJ3:AM3"/>
    <mergeCell ref="AQ3:AT3"/>
    <mergeCell ref="AX3:BA3"/>
  </mergeCells>
  <conditionalFormatting sqref="I23:I26">
    <cfRule type="cellIs" dxfId="34" priority="2" operator="lessThan">
      <formula>0.03</formula>
    </cfRule>
  </conditionalFormatting>
  <conditionalFormatting sqref="I23:I28">
    <cfRule type="cellIs" dxfId="33" priority="1" operator="greaterThanOrEqual">
      <formula>0.03</formula>
    </cfRule>
  </conditionalFormatting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D1 North</vt:lpstr>
      <vt:lpstr>D2 North</vt:lpstr>
      <vt:lpstr>S1 North L</vt:lpstr>
      <vt:lpstr>S1 North R</vt:lpstr>
      <vt:lpstr>S2 North L</vt:lpstr>
      <vt:lpstr>S2 North R</vt:lpstr>
      <vt:lpstr>S1 West</vt:lpstr>
      <vt:lpstr>S1 East</vt:lpstr>
      <vt:lpstr>S2 West</vt:lpstr>
      <vt:lpstr>S2 East</vt:lpstr>
      <vt:lpstr>T1 North</vt:lpstr>
      <vt:lpstr>T2 North</vt:lpstr>
      <vt:lpstr>T1 West</vt:lpstr>
      <vt:lpstr>T2 West</vt:lpstr>
      <vt:lpstr>T1 East</vt:lpstr>
      <vt:lpstr>T2 East</vt:lpstr>
      <vt:lpstr>A1O1 North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Askari, Neda</dc:creator>
  <cp:lastModifiedBy>Schwarz, Marius</cp:lastModifiedBy>
  <dcterms:created xsi:type="dcterms:W3CDTF">2012-10-17T13:29:23Z</dcterms:created>
  <dcterms:modified xsi:type="dcterms:W3CDTF">2015-01-29T12:53:47Z</dcterms:modified>
</cp:coreProperties>
</file>