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Z:\Earnings Results\2022\3Q22\FINAL\"/>
    </mc:Choice>
  </mc:AlternateContent>
  <xr:revisionPtr revIDLastSave="0" documentId="13_ncr:1_{54646E97-0CB9-4926-BFA4-7FBE1B4ED60A}" xr6:coauthVersionLast="47" xr6:coauthVersionMax="47" xr10:uidLastSave="{00000000-0000-0000-0000-000000000000}"/>
  <bookViews>
    <workbookView xWindow="-110" yWindow="-110" windowWidth="19420" windowHeight="10560" tabRatio="773" xr2:uid="{7F61F97D-F849-4632-B5EF-346B7A49B2BF}"/>
  </bookViews>
  <sheets>
    <sheet name="PAGS | 3Q22 Results" sheetId="19" r:id="rId1"/>
    <sheet name="PAGS | Operating Figures" sheetId="8" r:id="rId2"/>
    <sheet name="PAGS | IS GAAP" sheetId="2" r:id="rId3"/>
    <sheet name="PAGS | IS NON-GAAP" sheetId="17" r:id="rId4"/>
    <sheet name="PAGS | Take Rate" sheetId="16" r:id="rId5"/>
    <sheet name="PAGS | Capex" sheetId="29" r:id="rId6"/>
    <sheet name="PAGS | Cash Flow" sheetId="12" r:id="rId7"/>
    <sheet name="PAGS | Total Costs and Expenses" sheetId="10" r:id="rId8"/>
    <sheet name="PAGS | Adjusted EBITDA" sheetId="18" r:id="rId9"/>
    <sheet name="PAGS | Balance Sheet" sheetId="3" r:id="rId10"/>
    <sheet name="PAGS | IS PagBank" sheetId="2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47" i="12" l="1"/>
  <c r="AN47" i="12"/>
  <c r="AM47" i="12"/>
  <c r="AL47" i="12"/>
  <c r="AK47" i="12"/>
  <c r="AJ47" i="12"/>
  <c r="AI47" i="12"/>
  <c r="AO23" i="16"/>
  <c r="AN22" i="18"/>
  <c r="AM22" i="18"/>
  <c r="AL22" i="18"/>
  <c r="AK22" i="18"/>
  <c r="AJ22" i="18"/>
  <c r="AI22" i="18"/>
  <c r="AO21" i="18"/>
  <c r="AN21" i="18"/>
  <c r="AM21" i="18"/>
  <c r="AL21" i="18"/>
  <c r="AK21" i="18"/>
  <c r="AJ21" i="18"/>
  <c r="AI21" i="18"/>
  <c r="AO20" i="18"/>
  <c r="AN20" i="18"/>
  <c r="AM20" i="18"/>
  <c r="AL20" i="18"/>
  <c r="AK20" i="18"/>
  <c r="AJ20" i="18"/>
  <c r="AI20" i="18"/>
  <c r="AN9" i="18"/>
  <c r="AO18" i="18" l="1"/>
  <c r="AN18" i="18"/>
  <c r="AM18" i="18"/>
  <c r="AL18" i="18"/>
  <c r="AK18" i="18"/>
  <c r="AJ18" i="18"/>
  <c r="AI18" i="18"/>
  <c r="AO17" i="18"/>
  <c r="AN17" i="18"/>
  <c r="AM17" i="18"/>
  <c r="AL17" i="18"/>
  <c r="AK17" i="18"/>
  <c r="AJ17" i="18"/>
  <c r="AI17" i="18"/>
  <c r="AO16" i="18"/>
  <c r="AN16" i="18"/>
  <c r="AM16" i="18"/>
  <c r="AL16" i="18"/>
  <c r="AK16" i="18"/>
  <c r="AJ16" i="18"/>
  <c r="AI16" i="18"/>
  <c r="AO15" i="18"/>
  <c r="AN15" i="18"/>
  <c r="AM15" i="18"/>
  <c r="AL15" i="18"/>
  <c r="AK15" i="18"/>
  <c r="AJ15" i="18"/>
  <c r="AI15" i="18"/>
  <c r="AM14" i="18" l="1"/>
  <c r="AM13" i="18"/>
  <c r="AN14" i="18"/>
  <c r="AN13" i="18"/>
  <c r="AO14" i="18"/>
  <c r="AL14" i="18"/>
  <c r="AK14" i="18"/>
  <c r="AJ14" i="18"/>
  <c r="AI14" i="18"/>
  <c r="AO9" i="18"/>
  <c r="AM9" i="18"/>
  <c r="AL9" i="18"/>
  <c r="AK9" i="18"/>
  <c r="AJ9" i="18"/>
  <c r="AI9" i="18"/>
  <c r="AN8" i="18"/>
  <c r="AO8" i="18"/>
  <c r="AI13" i="18"/>
  <c r="AJ13" i="18"/>
  <c r="AK13" i="18"/>
  <c r="AL13" i="18"/>
  <c r="AO13" i="18"/>
  <c r="AO22" i="18"/>
  <c r="AJ26" i="17" l="1"/>
  <c r="AK26" i="17"/>
  <c r="AM26" i="17"/>
  <c r="AL26" i="17"/>
  <c r="AO26" i="17"/>
  <c r="AI26" i="17"/>
  <c r="AN26" i="17"/>
  <c r="AD12" i="8" l="1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AG12" i="8" l="1"/>
  <c r="AA6" i="18" l="1"/>
  <c r="AB6" i="18"/>
  <c r="AC6" i="18"/>
  <c r="AD6" i="18"/>
  <c r="AA7" i="18"/>
  <c r="AB7" i="18"/>
  <c r="AC7" i="18"/>
  <c r="AD7" i="18"/>
  <c r="AA11" i="18"/>
  <c r="AB11" i="18"/>
  <c r="AC11" i="18"/>
  <c r="AD11" i="18"/>
  <c r="AA12" i="18"/>
  <c r="AB12" i="18"/>
  <c r="AC12" i="18"/>
  <c r="AD12" i="18"/>
  <c r="AD19" i="18" l="1"/>
  <c r="AD23" i="18" s="1"/>
  <c r="AC19" i="18"/>
  <c r="AC23" i="18" s="1"/>
  <c r="AB19" i="18"/>
  <c r="AB23" i="18" s="1"/>
  <c r="AA19" i="18"/>
  <c r="AA23" i="18" s="1"/>
  <c r="AO12" i="18"/>
  <c r="AO11" i="18"/>
  <c r="AG6" i="16" l="1"/>
  <c r="AF6" i="16"/>
  <c r="AE12" i="8" l="1"/>
  <c r="AF12" i="8"/>
  <c r="AG20" i="16"/>
  <c r="AG23" i="8"/>
  <c r="AF23" i="8"/>
  <c r="AF6" i="8"/>
  <c r="AG6" i="8"/>
  <c r="AC7" i="3" l="1"/>
  <c r="AC16" i="3"/>
  <c r="AC26" i="3"/>
  <c r="AC39" i="3"/>
  <c r="AC45" i="3"/>
  <c r="AB7" i="3"/>
  <c r="AB16" i="3"/>
  <c r="AB26" i="3"/>
  <c r="AB39" i="3"/>
  <c r="AB45" i="3"/>
  <c r="AA7" i="3"/>
  <c r="AA16" i="3"/>
  <c r="AA26" i="3"/>
  <c r="AA39" i="3"/>
  <c r="AA45" i="3"/>
  <c r="AB6" i="3" l="1"/>
  <c r="AA25" i="3"/>
  <c r="AA6" i="3"/>
  <c r="AC6" i="3"/>
  <c r="AC25" i="3"/>
  <c r="AB25" i="3"/>
  <c r="AC60" i="3"/>
  <c r="AC59" i="3"/>
  <c r="AC58" i="3" l="1"/>
  <c r="AB60" i="3" l="1"/>
  <c r="AA60" i="3"/>
  <c r="Z60" i="3"/>
  <c r="Y60" i="3"/>
  <c r="X60" i="3"/>
  <c r="W60" i="3"/>
  <c r="V60" i="3"/>
  <c r="AM60" i="3" s="1"/>
  <c r="U60" i="3"/>
  <c r="T60" i="3"/>
  <c r="S60" i="3"/>
  <c r="R60" i="3"/>
  <c r="Q60" i="3"/>
  <c r="P60" i="3"/>
  <c r="O60" i="3"/>
  <c r="N60" i="3"/>
  <c r="AK60" i="3" s="1"/>
  <c r="M60" i="3"/>
  <c r="L60" i="3"/>
  <c r="K60" i="3"/>
  <c r="J60" i="3"/>
  <c r="I60" i="3"/>
  <c r="H60" i="3"/>
  <c r="G60" i="3"/>
  <c r="F60" i="3"/>
  <c r="AI60" i="3" s="1"/>
  <c r="E60" i="3"/>
  <c r="D60" i="3"/>
  <c r="C60" i="3"/>
  <c r="AB59" i="3"/>
  <c r="AA59" i="3"/>
  <c r="Z59" i="3"/>
  <c r="AN59" i="3" s="1"/>
  <c r="Y59" i="3"/>
  <c r="X59" i="3"/>
  <c r="W59" i="3"/>
  <c r="W58" i="3" s="1"/>
  <c r="V59" i="3"/>
  <c r="U59" i="3"/>
  <c r="T59" i="3"/>
  <c r="S59" i="3"/>
  <c r="R59" i="3"/>
  <c r="AL59" i="3" s="1"/>
  <c r="Q59" i="3"/>
  <c r="P59" i="3"/>
  <c r="O59" i="3"/>
  <c r="O58" i="3" s="1"/>
  <c r="N59" i="3"/>
  <c r="M59" i="3"/>
  <c r="L59" i="3"/>
  <c r="L58" i="3" s="1"/>
  <c r="K59" i="3"/>
  <c r="J59" i="3"/>
  <c r="AJ59" i="3" s="1"/>
  <c r="I59" i="3"/>
  <c r="H59" i="3"/>
  <c r="G59" i="3"/>
  <c r="G58" i="3" s="1"/>
  <c r="F59" i="3"/>
  <c r="E59" i="3"/>
  <c r="D59" i="3"/>
  <c r="D58" i="3" s="1"/>
  <c r="C59" i="3"/>
  <c r="AM18" i="8"/>
  <c r="AL18" i="8"/>
  <c r="AK18" i="8"/>
  <c r="AJ18" i="8"/>
  <c r="AI18" i="8"/>
  <c r="AO20" i="8"/>
  <c r="AB58" i="3" l="1"/>
  <c r="H58" i="3"/>
  <c r="P58" i="3"/>
  <c r="X58" i="3"/>
  <c r="J58" i="3"/>
  <c r="AJ58" i="3" s="1"/>
  <c r="R58" i="3"/>
  <c r="AL58" i="3" s="1"/>
  <c r="Z58" i="3"/>
  <c r="AN58" i="3" s="1"/>
  <c r="C58" i="3"/>
  <c r="K58" i="3"/>
  <c r="S58" i="3"/>
  <c r="F58" i="3"/>
  <c r="AI58" i="3" s="1"/>
  <c r="N58" i="3"/>
  <c r="AK58" i="3" s="1"/>
  <c r="V58" i="3"/>
  <c r="AM58" i="3" s="1"/>
  <c r="AA58" i="3"/>
  <c r="AK59" i="3"/>
  <c r="T58" i="3"/>
  <c r="I58" i="3"/>
  <c r="Q58" i="3"/>
  <c r="Y58" i="3"/>
  <c r="AO59" i="3"/>
  <c r="AO60" i="3"/>
  <c r="E58" i="3"/>
  <c r="M58" i="3"/>
  <c r="U58" i="3"/>
  <c r="AI59" i="3"/>
  <c r="AJ60" i="3"/>
  <c r="AL60" i="3"/>
  <c r="AM59" i="3"/>
  <c r="AN60" i="3"/>
  <c r="K18" i="8"/>
  <c r="J18" i="8"/>
  <c r="R18" i="8"/>
  <c r="D18" i="8"/>
  <c r="L18" i="8"/>
  <c r="E18" i="8"/>
  <c r="M18" i="8"/>
  <c r="F18" i="8"/>
  <c r="N18" i="8"/>
  <c r="AN20" i="8"/>
  <c r="G18" i="8"/>
  <c r="O18" i="8"/>
  <c r="H18" i="8"/>
  <c r="P18" i="8"/>
  <c r="I18" i="8"/>
  <c r="Q18" i="8"/>
  <c r="C18" i="8"/>
  <c r="AO58" i="3" l="1"/>
  <c r="Z23" i="10" l="1"/>
  <c r="Z24" i="10"/>
  <c r="Z30" i="10"/>
  <c r="Z31" i="10" l="1"/>
  <c r="AE23" i="8" l="1"/>
  <c r="AO15" i="10" l="1"/>
  <c r="Z11" i="10"/>
  <c r="Z18" i="10" s="1"/>
  <c r="Y11" i="10"/>
  <c r="Y18" i="10" s="1"/>
  <c r="X11" i="10"/>
  <c r="X18" i="10" s="1"/>
  <c r="W11" i="10"/>
  <c r="W18" i="10" s="1"/>
  <c r="V11" i="10"/>
  <c r="V18" i="10" s="1"/>
  <c r="U11" i="10"/>
  <c r="U18" i="10" s="1"/>
  <c r="T11" i="10"/>
  <c r="T18" i="10" s="1"/>
  <c r="S11" i="10"/>
  <c r="S18" i="10" s="1"/>
  <c r="R11" i="10"/>
  <c r="R18" i="10" s="1"/>
  <c r="Q11" i="10"/>
  <c r="Q18" i="10" s="1"/>
  <c r="P11" i="10"/>
  <c r="P18" i="10" s="1"/>
  <c r="O11" i="10"/>
  <c r="O18" i="10" s="1"/>
  <c r="N11" i="10"/>
  <c r="N18" i="10" s="1"/>
  <c r="M11" i="10"/>
  <c r="M18" i="10" s="1"/>
  <c r="L11" i="10"/>
  <c r="L18" i="10" s="1"/>
  <c r="K11" i="10"/>
  <c r="K18" i="10" s="1"/>
  <c r="J11" i="10"/>
  <c r="J18" i="10" s="1"/>
  <c r="I11" i="10"/>
  <c r="I18" i="10" s="1"/>
  <c r="H11" i="10"/>
  <c r="H18" i="10" s="1"/>
  <c r="G11" i="10"/>
  <c r="G18" i="10" s="1"/>
  <c r="F11" i="10"/>
  <c r="F18" i="10" s="1"/>
  <c r="E11" i="10"/>
  <c r="E18" i="10" s="1"/>
  <c r="D11" i="10"/>
  <c r="D18" i="10" s="1"/>
  <c r="C11" i="10"/>
  <c r="C18" i="10" s="1"/>
  <c r="AO19" i="8"/>
  <c r="AO18" i="8" s="1"/>
  <c r="AN19" i="8"/>
  <c r="AN18" i="8" s="1"/>
  <c r="P6" i="28" l="1"/>
  <c r="O6" i="28"/>
  <c r="AN21" i="16" l="1"/>
  <c r="AM21" i="16" l="1"/>
  <c r="AL21" i="16"/>
  <c r="AK21" i="16"/>
  <c r="AJ21" i="16"/>
  <c r="AI21" i="16"/>
  <c r="AM24" i="16"/>
  <c r="AL24" i="16"/>
  <c r="AK24" i="16"/>
  <c r="AJ24" i="16"/>
  <c r="AI24" i="16"/>
  <c r="AO24" i="16"/>
  <c r="AN24" i="16"/>
  <c r="AN23" i="16" l="1"/>
  <c r="AM23" i="16"/>
  <c r="AL23" i="16"/>
  <c r="AK23" i="16"/>
  <c r="AJ23" i="16"/>
  <c r="AI23" i="16"/>
  <c r="AO22" i="16"/>
  <c r="AN22" i="16"/>
  <c r="AM22" i="16"/>
  <c r="AL22" i="16"/>
  <c r="AK22" i="16"/>
  <c r="AJ22" i="16"/>
  <c r="AI22" i="16"/>
  <c r="AO21" i="16"/>
  <c r="AA7" i="12" l="1"/>
  <c r="AA19" i="12"/>
  <c r="AA44" i="12"/>
  <c r="AA57" i="12"/>
  <c r="AD7" i="12"/>
  <c r="AD19" i="12"/>
  <c r="AD44" i="12"/>
  <c r="AD57" i="12"/>
  <c r="AA38" i="12" l="1"/>
  <c r="AA58" i="12" s="1"/>
  <c r="AD38" i="12"/>
  <c r="AD58" i="12" s="1"/>
  <c r="W23" i="10" l="1"/>
  <c r="W24" i="10"/>
  <c r="W30" i="10"/>
  <c r="X23" i="10"/>
  <c r="X24" i="10"/>
  <c r="X30" i="10"/>
  <c r="Y23" i="10"/>
  <c r="Y24" i="10"/>
  <c r="Y30" i="10"/>
  <c r="W31" i="10" l="1"/>
  <c r="Y31" i="10"/>
  <c r="X31" i="10"/>
  <c r="U19" i="10"/>
  <c r="V19" i="10"/>
  <c r="W19" i="10"/>
  <c r="X19" i="10"/>
  <c r="Y19" i="10"/>
  <c r="Z19" i="10"/>
  <c r="AO11" i="8" l="1"/>
  <c r="AN11" i="8"/>
  <c r="AM11" i="8"/>
  <c r="AL11" i="8"/>
  <c r="AK11" i="8"/>
  <c r="AJ11" i="8"/>
  <c r="AI11" i="8"/>
  <c r="AK10" i="29"/>
  <c r="AJ10" i="29"/>
  <c r="AI10" i="29"/>
  <c r="AK9" i="29"/>
  <c r="AJ9" i="29"/>
  <c r="AI9" i="29"/>
  <c r="AA10" i="29"/>
  <c r="AB10" i="29" s="1"/>
  <c r="AC10" i="29" s="1"/>
  <c r="AD10" i="29" s="1"/>
  <c r="AA9" i="29"/>
  <c r="AB9" i="29" s="1"/>
  <c r="W10" i="29"/>
  <c r="X10" i="29" s="1"/>
  <c r="W9" i="29"/>
  <c r="X9" i="29" s="1"/>
  <c r="S10" i="29"/>
  <c r="T10" i="29" s="1"/>
  <c r="S9" i="29"/>
  <c r="T9" i="29" s="1"/>
  <c r="O10" i="29"/>
  <c r="O9" i="29"/>
  <c r="P9" i="29" s="1"/>
  <c r="Q9" i="29" s="1"/>
  <c r="R9" i="29" s="1"/>
  <c r="AD11" i="29"/>
  <c r="AC11" i="29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N7" i="29"/>
  <c r="M7" i="29"/>
  <c r="L7" i="29"/>
  <c r="K7" i="29"/>
  <c r="J7" i="29"/>
  <c r="I7" i="29"/>
  <c r="H7" i="29"/>
  <c r="G7" i="29"/>
  <c r="F7" i="29"/>
  <c r="E7" i="29"/>
  <c r="D7" i="29"/>
  <c r="C7" i="29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10" i="16"/>
  <c r="C9" i="16"/>
  <c r="C8" i="16"/>
  <c r="C7" i="16"/>
  <c r="Z6" i="16"/>
  <c r="Z20" i="16" s="1"/>
  <c r="Y6" i="16"/>
  <c r="Y20" i="16" s="1"/>
  <c r="X6" i="16"/>
  <c r="X20" i="16" s="1"/>
  <c r="W6" i="16"/>
  <c r="W20" i="16" s="1"/>
  <c r="V6" i="16"/>
  <c r="V20" i="16" s="1"/>
  <c r="U6" i="16"/>
  <c r="U20" i="16" s="1"/>
  <c r="T6" i="16"/>
  <c r="T20" i="16" s="1"/>
  <c r="S6" i="16"/>
  <c r="S20" i="16" s="1"/>
  <c r="R6" i="16"/>
  <c r="R20" i="16" s="1"/>
  <c r="Q6" i="16"/>
  <c r="Q20" i="16" s="1"/>
  <c r="P6" i="16"/>
  <c r="P20" i="16" s="1"/>
  <c r="O6" i="16"/>
  <c r="O20" i="16" s="1"/>
  <c r="N6" i="16"/>
  <c r="N20" i="16" s="1"/>
  <c r="M6" i="16"/>
  <c r="M20" i="16" s="1"/>
  <c r="L6" i="16"/>
  <c r="L20" i="16" s="1"/>
  <c r="K6" i="16"/>
  <c r="K20" i="16" s="1"/>
  <c r="J6" i="16"/>
  <c r="J20" i="16" s="1"/>
  <c r="I6" i="16"/>
  <c r="I20" i="16" s="1"/>
  <c r="H6" i="16"/>
  <c r="H20" i="16" s="1"/>
  <c r="G6" i="16"/>
  <c r="G20" i="16" s="1"/>
  <c r="F6" i="16"/>
  <c r="F20" i="16" s="1"/>
  <c r="E6" i="16"/>
  <c r="E20" i="16" s="1"/>
  <c r="D6" i="16"/>
  <c r="D20" i="16" s="1"/>
  <c r="C6" i="16"/>
  <c r="C20" i="16" s="1"/>
  <c r="AM23" i="8"/>
  <c r="AL23" i="8"/>
  <c r="AK23" i="8"/>
  <c r="AJ23" i="8"/>
  <c r="AI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N8" i="10"/>
  <c r="AN6" i="10"/>
  <c r="C42" i="17"/>
  <c r="AK20" i="2"/>
  <c r="AJ20" i="2"/>
  <c r="O7" i="29" l="1"/>
  <c r="AK6" i="16"/>
  <c r="M17" i="16"/>
  <c r="U17" i="16"/>
  <c r="N17" i="16"/>
  <c r="G17" i="16"/>
  <c r="W17" i="16"/>
  <c r="T17" i="16"/>
  <c r="Q17" i="16"/>
  <c r="O17" i="16"/>
  <c r="J17" i="16"/>
  <c r="R17" i="16"/>
  <c r="Y17" i="16"/>
  <c r="F17" i="16"/>
  <c r="AK7" i="29"/>
  <c r="P10" i="29"/>
  <c r="Q10" i="29" s="1"/>
  <c r="R10" i="29" s="1"/>
  <c r="S7" i="29"/>
  <c r="AI11" i="29"/>
  <c r="AM11" i="29"/>
  <c r="Z17" i="16"/>
  <c r="AK11" i="29"/>
  <c r="AJ11" i="29"/>
  <c r="AN11" i="29"/>
  <c r="AO11" i="29"/>
  <c r="AJ10" i="16"/>
  <c r="AL10" i="16"/>
  <c r="AN10" i="16"/>
  <c r="AI10" i="16"/>
  <c r="AL11" i="29"/>
  <c r="C16" i="16"/>
  <c r="AK10" i="16"/>
  <c r="S17" i="16"/>
  <c r="T7" i="29"/>
  <c r="AL9" i="29"/>
  <c r="AJ7" i="29"/>
  <c r="U9" i="29"/>
  <c r="V9" i="29" s="1"/>
  <c r="AM9" i="29" s="1"/>
  <c r="AB7" i="29"/>
  <c r="AO10" i="29"/>
  <c r="AI7" i="29"/>
  <c r="AC9" i="29"/>
  <c r="AD9" i="29" s="1"/>
  <c r="AA7" i="29"/>
  <c r="Y10" i="29"/>
  <c r="Y9" i="29"/>
  <c r="X7" i="29"/>
  <c r="W7" i="29"/>
  <c r="U10" i="29"/>
  <c r="E17" i="16"/>
  <c r="AO10" i="16"/>
  <c r="V17" i="16"/>
  <c r="AM10" i="16"/>
  <c r="K17" i="16"/>
  <c r="D17" i="16"/>
  <c r="L17" i="16"/>
  <c r="H17" i="16"/>
  <c r="P17" i="16"/>
  <c r="X17" i="16"/>
  <c r="I17" i="16"/>
  <c r="C17" i="16"/>
  <c r="P9" i="28"/>
  <c r="O9" i="28"/>
  <c r="P8" i="28"/>
  <c r="O8" i="28"/>
  <c r="P7" i="28"/>
  <c r="O7" i="28"/>
  <c r="AK20" i="16" l="1"/>
  <c r="AK28" i="16"/>
  <c r="AK30" i="16"/>
  <c r="AK29" i="16"/>
  <c r="AD7" i="29"/>
  <c r="Z10" i="29"/>
  <c r="AN10" i="29" s="1"/>
  <c r="Y7" i="29"/>
  <c r="U7" i="29"/>
  <c r="V10" i="29"/>
  <c r="AM10" i="29" s="1"/>
  <c r="AM7" i="29" s="1"/>
  <c r="AC7" i="29"/>
  <c r="AO9" i="29"/>
  <c r="AO7" i="29" s="1"/>
  <c r="AL10" i="29"/>
  <c r="AL7" i="29" s="1"/>
  <c r="Z9" i="29"/>
  <c r="R7" i="29"/>
  <c r="P7" i="29"/>
  <c r="AK25" i="16" l="1"/>
  <c r="AK26" i="16"/>
  <c r="Z7" i="29"/>
  <c r="V7" i="29"/>
  <c r="AN9" i="29"/>
  <c r="AN7" i="29" s="1"/>
  <c r="Q7" i="29"/>
  <c r="F12" i="18" l="1"/>
  <c r="E12" i="18"/>
  <c r="D12" i="18"/>
  <c r="C12" i="18"/>
  <c r="AL14" i="8"/>
  <c r="AK14" i="8"/>
  <c r="AJ14" i="8"/>
  <c r="AI14" i="8"/>
  <c r="AL13" i="8"/>
  <c r="AK13" i="8"/>
  <c r="AJ13" i="8"/>
  <c r="AI13" i="8"/>
  <c r="AI15" i="8"/>
  <c r="AI56" i="12"/>
  <c r="AI55" i="12"/>
  <c r="AI54" i="12"/>
  <c r="AI53" i="12"/>
  <c r="AI52" i="12"/>
  <c r="AI51" i="12"/>
  <c r="AI50" i="12"/>
  <c r="AI49" i="12"/>
  <c r="AI48" i="12"/>
  <c r="AI46" i="12"/>
  <c r="AI45" i="12"/>
  <c r="AI43" i="12"/>
  <c r="AI42" i="12"/>
  <c r="AI41" i="12"/>
  <c r="AI40" i="12"/>
  <c r="AI39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8" i="12"/>
  <c r="AI17" i="12"/>
  <c r="AI16" i="12"/>
  <c r="AI15" i="12"/>
  <c r="AI14" i="12"/>
  <c r="AI13" i="12"/>
  <c r="AI12" i="12"/>
  <c r="AI11" i="12"/>
  <c r="AI10" i="12"/>
  <c r="AI9" i="12"/>
  <c r="AI8" i="12"/>
  <c r="AI6" i="12"/>
  <c r="AJ24" i="10"/>
  <c r="AI24" i="10"/>
  <c r="AJ23" i="10"/>
  <c r="AI23" i="10"/>
  <c r="AJ8" i="10"/>
  <c r="AI8" i="10"/>
  <c r="AJ7" i="10"/>
  <c r="AI7" i="10"/>
  <c r="AJ41" i="17"/>
  <c r="AI41" i="17"/>
  <c r="AJ40" i="17"/>
  <c r="AI40" i="17"/>
  <c r="AJ39" i="17"/>
  <c r="AI39" i="17"/>
  <c r="AJ38" i="17"/>
  <c r="AI38" i="17"/>
  <c r="AJ37" i="17"/>
  <c r="AI37" i="17"/>
  <c r="AI33" i="17"/>
  <c r="AI32" i="17"/>
  <c r="AI31" i="17"/>
  <c r="AI30" i="17"/>
  <c r="AI9" i="2"/>
  <c r="AI8" i="2"/>
  <c r="AI7" i="2"/>
  <c r="AI6" i="2"/>
  <c r="F42" i="17"/>
  <c r="E42" i="17"/>
  <c r="D42" i="17"/>
  <c r="F34" i="17"/>
  <c r="E34" i="17"/>
  <c r="D34" i="17"/>
  <c r="C34" i="17"/>
  <c r="F11" i="17"/>
  <c r="E11" i="17"/>
  <c r="D11" i="17"/>
  <c r="C11" i="17"/>
  <c r="G12" i="18"/>
  <c r="AI12" i="18" l="1"/>
  <c r="AI7" i="17"/>
  <c r="AI9" i="17"/>
  <c r="C25" i="2"/>
  <c r="C7" i="18" s="1"/>
  <c r="C18" i="2"/>
  <c r="E48" i="17"/>
  <c r="AI15" i="17"/>
  <c r="F24" i="17"/>
  <c r="C48" i="17"/>
  <c r="C24" i="17"/>
  <c r="C18" i="17"/>
  <c r="AI16" i="17"/>
  <c r="AI46" i="17"/>
  <c r="E10" i="17"/>
  <c r="AI17" i="17"/>
  <c r="AI47" i="17"/>
  <c r="AI6" i="17"/>
  <c r="AI14" i="17"/>
  <c r="AI23" i="17"/>
  <c r="AI13" i="2"/>
  <c r="AI14" i="2"/>
  <c r="AI16" i="2"/>
  <c r="AI24" i="2"/>
  <c r="F48" i="17"/>
  <c r="D18" i="17"/>
  <c r="D24" i="17"/>
  <c r="AI13" i="17"/>
  <c r="E24" i="17"/>
  <c r="AI8" i="17"/>
  <c r="AI22" i="17"/>
  <c r="AI17" i="2"/>
  <c r="AI7" i="8"/>
  <c r="AI15" i="2"/>
  <c r="F15" i="16"/>
  <c r="AI57" i="12"/>
  <c r="AI44" i="12"/>
  <c r="AI19" i="12"/>
  <c r="AI7" i="12"/>
  <c r="AI8" i="16"/>
  <c r="AI34" i="17"/>
  <c r="AJ42" i="17"/>
  <c r="F14" i="16"/>
  <c r="E45" i="17"/>
  <c r="AI42" i="17"/>
  <c r="F10" i="17"/>
  <c r="F18" i="17"/>
  <c r="D48" i="17"/>
  <c r="AI23" i="2"/>
  <c r="E18" i="17"/>
  <c r="C10" i="17"/>
  <c r="C6" i="29" s="1"/>
  <c r="D10" i="17"/>
  <c r="D6" i="29" s="1"/>
  <c r="F45" i="17"/>
  <c r="C45" i="17"/>
  <c r="D45" i="17"/>
  <c r="D18" i="2"/>
  <c r="D25" i="2"/>
  <c r="D7" i="18" s="1"/>
  <c r="E18" i="2"/>
  <c r="E25" i="2"/>
  <c r="E7" i="18" s="1"/>
  <c r="F18" i="2"/>
  <c r="F25" i="2"/>
  <c r="F7" i="18" s="1"/>
  <c r="E12" i="17" l="1"/>
  <c r="E6" i="29"/>
  <c r="F12" i="17"/>
  <c r="F6" i="29"/>
  <c r="D8" i="29"/>
  <c r="D12" i="29"/>
  <c r="C8" i="29"/>
  <c r="C12" i="29"/>
  <c r="AI6" i="8"/>
  <c r="AI18" i="2"/>
  <c r="E49" i="17"/>
  <c r="E21" i="17"/>
  <c r="E25" i="17" s="1"/>
  <c r="E27" i="17" s="1"/>
  <c r="AI25" i="2"/>
  <c r="C49" i="17"/>
  <c r="E14" i="16"/>
  <c r="C15" i="16"/>
  <c r="AI24" i="17"/>
  <c r="C14" i="16"/>
  <c r="AI48" i="17"/>
  <c r="AI18" i="17"/>
  <c r="AI7" i="16"/>
  <c r="D15" i="16"/>
  <c r="D14" i="16"/>
  <c r="AI6" i="16"/>
  <c r="E15" i="16"/>
  <c r="D21" i="17"/>
  <c r="D25" i="17" s="1"/>
  <c r="D27" i="17" s="1"/>
  <c r="F49" i="17"/>
  <c r="AI7" i="18"/>
  <c r="AI38" i="12"/>
  <c r="AI58" i="12" s="1"/>
  <c r="AI45" i="17"/>
  <c r="D49" i="17"/>
  <c r="F11" i="16"/>
  <c r="D12" i="17"/>
  <c r="C12" i="17"/>
  <c r="AI10" i="17"/>
  <c r="C21" i="17"/>
  <c r="C25" i="17" s="1"/>
  <c r="C27" i="17" s="1"/>
  <c r="F21" i="17"/>
  <c r="F25" i="17" s="1"/>
  <c r="F27" i="17" s="1"/>
  <c r="AI6" i="29" l="1"/>
  <c r="AI8" i="29" s="1"/>
  <c r="AI28" i="16"/>
  <c r="AI30" i="16"/>
  <c r="AI29" i="16"/>
  <c r="AI17" i="16"/>
  <c r="AI20" i="16"/>
  <c r="F8" i="29"/>
  <c r="F12" i="29"/>
  <c r="E12" i="29"/>
  <c r="E8" i="29"/>
  <c r="C12" i="16"/>
  <c r="C13" i="16"/>
  <c r="AI21" i="17"/>
  <c r="AI25" i="17" s="1"/>
  <c r="AI27" i="17" s="1"/>
  <c r="E11" i="16"/>
  <c r="C11" i="16"/>
  <c r="AI49" i="17"/>
  <c r="AI15" i="16"/>
  <c r="D11" i="16"/>
  <c r="AI14" i="16"/>
  <c r="AI12" i="29" l="1"/>
  <c r="AI25" i="16"/>
  <c r="AI26" i="16"/>
  <c r="AI11" i="16"/>
  <c r="F22" i="2"/>
  <c r="F26" i="2" s="1"/>
  <c r="F6" i="18" s="1"/>
  <c r="E22" i="2"/>
  <c r="E26" i="2" s="1"/>
  <c r="E6" i="18" s="1"/>
  <c r="D22" i="2"/>
  <c r="D26" i="2" s="1"/>
  <c r="D6" i="18" s="1"/>
  <c r="C22" i="2" l="1"/>
  <c r="C26" i="2" s="1"/>
  <c r="C6" i="18" s="1"/>
  <c r="AI10" i="2"/>
  <c r="AI22" i="2" s="1"/>
  <c r="AI26" i="2" s="1"/>
  <c r="AI6" i="18" l="1"/>
  <c r="AL38" i="3" l="1"/>
  <c r="AK38" i="3"/>
  <c r="AJ38" i="3"/>
  <c r="AI38" i="3"/>
  <c r="AL37" i="3"/>
  <c r="AK37" i="3"/>
  <c r="AJ37" i="3"/>
  <c r="AI37" i="3"/>
  <c r="AL36" i="3"/>
  <c r="AK36" i="3"/>
  <c r="AJ36" i="3"/>
  <c r="AI36" i="3"/>
  <c r="AL35" i="3"/>
  <c r="AK35" i="3"/>
  <c r="AJ35" i="3"/>
  <c r="AI35" i="3"/>
  <c r="AL34" i="3"/>
  <c r="AK34" i="3"/>
  <c r="AJ34" i="3"/>
  <c r="AI34" i="3"/>
  <c r="AL33" i="3"/>
  <c r="AK33" i="3"/>
  <c r="AJ33" i="3"/>
  <c r="AI33" i="3"/>
  <c r="AL32" i="3"/>
  <c r="AK32" i="3"/>
  <c r="AJ32" i="3"/>
  <c r="AI32" i="3"/>
  <c r="AL30" i="3"/>
  <c r="AK30" i="3"/>
  <c r="AJ30" i="3"/>
  <c r="AI30" i="3"/>
  <c r="AL31" i="3"/>
  <c r="AK31" i="3"/>
  <c r="AJ31" i="3"/>
  <c r="AI31" i="3"/>
  <c r="AL29" i="3"/>
  <c r="AK29" i="3"/>
  <c r="AJ29" i="3"/>
  <c r="AI29" i="3"/>
  <c r="AL28" i="3"/>
  <c r="AK28" i="3"/>
  <c r="AJ28" i="3"/>
  <c r="AI28" i="3"/>
  <c r="AL27" i="3"/>
  <c r="AK27" i="3"/>
  <c r="AJ27" i="3"/>
  <c r="AI27" i="3"/>
  <c r="AL24" i="3"/>
  <c r="AK24" i="3"/>
  <c r="AJ24" i="3"/>
  <c r="AI24" i="3"/>
  <c r="AL23" i="3"/>
  <c r="AK23" i="3"/>
  <c r="AJ23" i="3"/>
  <c r="AI23" i="3"/>
  <c r="AL22" i="3"/>
  <c r="AK22" i="3"/>
  <c r="AJ22" i="3"/>
  <c r="AI22" i="3"/>
  <c r="AL21" i="3"/>
  <c r="AK21" i="3"/>
  <c r="AJ21" i="3"/>
  <c r="AI21" i="3"/>
  <c r="AL20" i="3"/>
  <c r="AK20" i="3"/>
  <c r="AJ20" i="3"/>
  <c r="AI20" i="3"/>
  <c r="AL19" i="3"/>
  <c r="AK19" i="3"/>
  <c r="AJ19" i="3"/>
  <c r="AI19" i="3"/>
  <c r="AL18" i="3"/>
  <c r="AK18" i="3"/>
  <c r="AJ18" i="3"/>
  <c r="AI18" i="3"/>
  <c r="AL17" i="3"/>
  <c r="AK17" i="3"/>
  <c r="AJ17" i="3"/>
  <c r="AI17" i="3"/>
  <c r="AL15" i="3"/>
  <c r="AK15" i="3"/>
  <c r="AJ15" i="3"/>
  <c r="AI15" i="3"/>
  <c r="AL14" i="3"/>
  <c r="AK14" i="3"/>
  <c r="AJ14" i="3"/>
  <c r="AI14" i="3"/>
  <c r="AL13" i="3"/>
  <c r="AK13" i="3"/>
  <c r="AJ13" i="3"/>
  <c r="AI13" i="3"/>
  <c r="AL12" i="3"/>
  <c r="AK12" i="3"/>
  <c r="AJ12" i="3"/>
  <c r="AI12" i="3"/>
  <c r="AL11" i="3"/>
  <c r="AK11" i="3"/>
  <c r="AJ11" i="3"/>
  <c r="AI11" i="3"/>
  <c r="AL10" i="3"/>
  <c r="AK10" i="3"/>
  <c r="AJ10" i="3"/>
  <c r="AI10" i="3"/>
  <c r="AL9" i="3"/>
  <c r="AK9" i="3"/>
  <c r="AJ9" i="3"/>
  <c r="AI9" i="3"/>
  <c r="AL8" i="3"/>
  <c r="AK8" i="3"/>
  <c r="AJ8" i="3"/>
  <c r="AI8" i="3"/>
  <c r="AK7" i="3" l="1"/>
  <c r="AK16" i="3"/>
  <c r="AK26" i="3"/>
  <c r="AI7" i="3"/>
  <c r="AI16" i="3"/>
  <c r="AI26" i="3"/>
  <c r="AJ7" i="3"/>
  <c r="AL7" i="3"/>
  <c r="AJ16" i="3"/>
  <c r="AL16" i="3"/>
  <c r="AJ26" i="3"/>
  <c r="AL26" i="3"/>
  <c r="L7" i="3"/>
  <c r="I26" i="3"/>
  <c r="K16" i="3"/>
  <c r="D7" i="3"/>
  <c r="Q26" i="3"/>
  <c r="C26" i="3"/>
  <c r="K7" i="3"/>
  <c r="J7" i="3"/>
  <c r="R7" i="3"/>
  <c r="I7" i="3"/>
  <c r="Q7" i="3"/>
  <c r="H7" i="3"/>
  <c r="P7" i="3"/>
  <c r="G7" i="3"/>
  <c r="O7" i="3"/>
  <c r="E7" i="3"/>
  <c r="M7" i="3"/>
  <c r="Q16" i="3"/>
  <c r="D26" i="3"/>
  <c r="R26" i="3"/>
  <c r="C16" i="3"/>
  <c r="J16" i="3"/>
  <c r="P16" i="3"/>
  <c r="N16" i="3"/>
  <c r="L16" i="3"/>
  <c r="G26" i="3"/>
  <c r="N26" i="3"/>
  <c r="M26" i="3"/>
  <c r="L26" i="3"/>
  <c r="J26" i="3"/>
  <c r="C7" i="3"/>
  <c r="R16" i="3"/>
  <c r="I16" i="3"/>
  <c r="H16" i="3"/>
  <c r="G16" i="3"/>
  <c r="O16" i="3"/>
  <c r="F16" i="3"/>
  <c r="D16" i="3"/>
  <c r="H26" i="3"/>
  <c r="P26" i="3"/>
  <c r="O26" i="3"/>
  <c r="F26" i="3"/>
  <c r="E26" i="3"/>
  <c r="F7" i="3"/>
  <c r="N7" i="3"/>
  <c r="E16" i="3"/>
  <c r="M16" i="3"/>
  <c r="K26" i="3"/>
  <c r="AJ59" i="12"/>
  <c r="AL56" i="12"/>
  <c r="AK56" i="12"/>
  <c r="AJ56" i="12"/>
  <c r="AL55" i="12"/>
  <c r="AK55" i="12"/>
  <c r="AJ55" i="12"/>
  <c r="AL54" i="12"/>
  <c r="AK54" i="12"/>
  <c r="AJ54" i="12"/>
  <c r="AL53" i="12"/>
  <c r="AK53" i="12"/>
  <c r="AJ53" i="12"/>
  <c r="AL52" i="12"/>
  <c r="AK52" i="12"/>
  <c r="AJ52" i="12"/>
  <c r="AL51" i="12"/>
  <c r="AK51" i="12"/>
  <c r="AJ51" i="12"/>
  <c r="AL50" i="12"/>
  <c r="AK50" i="12"/>
  <c r="AJ50" i="12"/>
  <c r="AL49" i="12"/>
  <c r="AK49" i="12"/>
  <c r="AJ49" i="12"/>
  <c r="AL48" i="12"/>
  <c r="AK48" i="12"/>
  <c r="AJ48" i="12"/>
  <c r="AL46" i="12"/>
  <c r="AK46" i="12"/>
  <c r="AJ46" i="12"/>
  <c r="AL45" i="12"/>
  <c r="AK45" i="12"/>
  <c r="AJ45" i="12"/>
  <c r="AL43" i="12"/>
  <c r="AK43" i="12"/>
  <c r="AJ43" i="12"/>
  <c r="AL42" i="12"/>
  <c r="AK42" i="12"/>
  <c r="AJ42" i="12"/>
  <c r="AL41" i="12"/>
  <c r="AK41" i="12"/>
  <c r="AJ41" i="12"/>
  <c r="AL40" i="12"/>
  <c r="AK40" i="12"/>
  <c r="AJ40" i="12"/>
  <c r="AL39" i="12"/>
  <c r="AK39" i="12"/>
  <c r="AJ39" i="12"/>
  <c r="AL37" i="12"/>
  <c r="AK37" i="12"/>
  <c r="AJ37" i="12"/>
  <c r="AL36" i="12"/>
  <c r="AK36" i="12"/>
  <c r="AJ36" i="12"/>
  <c r="AL35" i="12"/>
  <c r="AK35" i="12"/>
  <c r="AJ35" i="12"/>
  <c r="AL34" i="12"/>
  <c r="AK34" i="12"/>
  <c r="AJ34" i="12"/>
  <c r="AL33" i="12"/>
  <c r="AK33" i="12"/>
  <c r="AJ33" i="12"/>
  <c r="AL32" i="12"/>
  <c r="AK32" i="12"/>
  <c r="AJ32" i="12"/>
  <c r="AL31" i="12"/>
  <c r="AK31" i="12"/>
  <c r="AJ31" i="12"/>
  <c r="AL30" i="12"/>
  <c r="AK30" i="12"/>
  <c r="AJ30" i="12"/>
  <c r="AL29" i="12"/>
  <c r="AK29" i="12"/>
  <c r="AJ29" i="12"/>
  <c r="AL28" i="12"/>
  <c r="AK28" i="12"/>
  <c r="AJ28" i="12"/>
  <c r="AL27" i="12"/>
  <c r="AK27" i="12"/>
  <c r="AJ27" i="12"/>
  <c r="AL26" i="12"/>
  <c r="AK26" i="12"/>
  <c r="AJ26" i="12"/>
  <c r="AL25" i="12"/>
  <c r="AK25" i="12"/>
  <c r="AJ25" i="12"/>
  <c r="AL24" i="12"/>
  <c r="AK24" i="12"/>
  <c r="AJ24" i="12"/>
  <c r="AL23" i="12"/>
  <c r="AK23" i="12"/>
  <c r="AJ23" i="12"/>
  <c r="AL22" i="12"/>
  <c r="AK22" i="12"/>
  <c r="AJ22" i="12"/>
  <c r="AL21" i="12"/>
  <c r="AK21" i="12"/>
  <c r="AJ21" i="12"/>
  <c r="AL20" i="12"/>
  <c r="AK20" i="12"/>
  <c r="AJ20" i="12"/>
  <c r="AL18" i="12"/>
  <c r="AK18" i="12"/>
  <c r="AJ18" i="12"/>
  <c r="AL17" i="12"/>
  <c r="AK17" i="12"/>
  <c r="AJ17" i="12"/>
  <c r="AL16" i="12"/>
  <c r="AK16" i="12"/>
  <c r="AJ16" i="12"/>
  <c r="AL15" i="12"/>
  <c r="AK15" i="12"/>
  <c r="AJ15" i="12"/>
  <c r="AL14" i="12"/>
  <c r="AK14" i="12"/>
  <c r="AJ14" i="12"/>
  <c r="AL13" i="12"/>
  <c r="AK13" i="12"/>
  <c r="AJ13" i="12"/>
  <c r="AL12" i="12"/>
  <c r="AK12" i="12"/>
  <c r="AJ12" i="12"/>
  <c r="AL11" i="12"/>
  <c r="AK11" i="12"/>
  <c r="AJ11" i="12"/>
  <c r="AL10" i="12"/>
  <c r="AK10" i="12"/>
  <c r="AJ10" i="12"/>
  <c r="AL9" i="12"/>
  <c r="AK9" i="12"/>
  <c r="AJ9" i="12"/>
  <c r="AN14" i="8"/>
  <c r="AM14" i="8"/>
  <c r="AN13" i="8"/>
  <c r="AM13" i="8"/>
  <c r="F6" i="3" l="1"/>
  <c r="AN12" i="8"/>
  <c r="C6" i="3"/>
  <c r="J6" i="3"/>
  <c r="AI6" i="3"/>
  <c r="AK6" i="3"/>
  <c r="AL6" i="3"/>
  <c r="AL57" i="12"/>
  <c r="AM12" i="8"/>
  <c r="AL44" i="12"/>
  <c r="AJ57" i="12"/>
  <c r="AJ19" i="12"/>
  <c r="AL19" i="12"/>
  <c r="AJ6" i="3"/>
  <c r="AK19" i="12"/>
  <c r="AJ44" i="12"/>
  <c r="AK44" i="12"/>
  <c r="AK57" i="12"/>
  <c r="L6" i="3"/>
  <c r="D6" i="3"/>
  <c r="K6" i="3"/>
  <c r="R6" i="3"/>
  <c r="M6" i="3"/>
  <c r="H6" i="3"/>
  <c r="I6" i="3"/>
  <c r="O6" i="3"/>
  <c r="E6" i="3"/>
  <c r="Q6" i="3"/>
  <c r="G6" i="3"/>
  <c r="N6" i="3"/>
  <c r="P6" i="3"/>
  <c r="J11" i="17" l="1"/>
  <c r="I11" i="17"/>
  <c r="H11" i="17"/>
  <c r="G11" i="17"/>
  <c r="R24" i="10"/>
  <c r="Q24" i="10"/>
  <c r="P24" i="10"/>
  <c r="N24" i="10"/>
  <c r="M24" i="10"/>
  <c r="L24" i="10"/>
  <c r="AL55" i="3"/>
  <c r="AK55" i="3"/>
  <c r="AJ55" i="3"/>
  <c r="AI55" i="3"/>
  <c r="AL54" i="3"/>
  <c r="AK54" i="3"/>
  <c r="AJ54" i="3"/>
  <c r="AI54" i="3"/>
  <c r="AL53" i="3"/>
  <c r="AK53" i="3"/>
  <c r="AJ53" i="3"/>
  <c r="AI53" i="3"/>
  <c r="AL52" i="3"/>
  <c r="AK52" i="3"/>
  <c r="AJ52" i="3"/>
  <c r="AI52" i="3"/>
  <c r="AL51" i="3"/>
  <c r="AK51" i="3"/>
  <c r="AJ51" i="3"/>
  <c r="AI51" i="3"/>
  <c r="AL50" i="3"/>
  <c r="AK50" i="3"/>
  <c r="AJ50" i="3"/>
  <c r="AI50" i="3"/>
  <c r="AL49" i="3"/>
  <c r="AK49" i="3"/>
  <c r="AJ49" i="3"/>
  <c r="AI49" i="3"/>
  <c r="AL48" i="3"/>
  <c r="AK48" i="3"/>
  <c r="AJ48" i="3"/>
  <c r="AI48" i="3"/>
  <c r="AL47" i="3"/>
  <c r="AK47" i="3"/>
  <c r="AJ47" i="3"/>
  <c r="AI47" i="3"/>
  <c r="AL46" i="3"/>
  <c r="AK46" i="3"/>
  <c r="AJ46" i="3"/>
  <c r="AI46" i="3"/>
  <c r="AL44" i="3"/>
  <c r="AK44" i="3"/>
  <c r="AJ44" i="3"/>
  <c r="AI44" i="3"/>
  <c r="AL43" i="3"/>
  <c r="AK43" i="3"/>
  <c r="AJ43" i="3"/>
  <c r="AI43" i="3"/>
  <c r="AL42" i="3"/>
  <c r="AK42" i="3"/>
  <c r="AJ42" i="3"/>
  <c r="AI42" i="3"/>
  <c r="AL41" i="3"/>
  <c r="AK41" i="3"/>
  <c r="AJ41" i="3"/>
  <c r="AI41" i="3"/>
  <c r="AL40" i="3"/>
  <c r="AK40" i="3"/>
  <c r="AJ40" i="3"/>
  <c r="AI40" i="3"/>
  <c r="AI45" i="3" l="1"/>
  <c r="AJ45" i="3"/>
  <c r="AK45" i="3"/>
  <c r="AL45" i="3"/>
  <c r="AK39" i="3"/>
  <c r="AL39" i="3"/>
  <c r="AI39" i="3"/>
  <c r="AJ39" i="3"/>
  <c r="K24" i="10"/>
  <c r="AK24" i="10" s="1"/>
  <c r="AK8" i="10"/>
  <c r="O24" i="10"/>
  <c r="AL24" i="10" s="1"/>
  <c r="AL8" i="10"/>
  <c r="AI25" i="3" l="1"/>
  <c r="AK25" i="3"/>
  <c r="AJ25" i="3"/>
  <c r="AL25" i="3"/>
  <c r="AI10" i="10"/>
  <c r="AK10" i="10" l="1"/>
  <c r="AL10" i="10"/>
  <c r="AL16" i="10"/>
  <c r="AL17" i="10"/>
  <c r="AJ15" i="10"/>
  <c r="AJ22" i="10"/>
  <c r="AJ25" i="10" s="1"/>
  <c r="AL22" i="10"/>
  <c r="AJ26" i="10"/>
  <c r="AJ27" i="10"/>
  <c r="AL27" i="10"/>
  <c r="AJ28" i="10"/>
  <c r="AL28" i="10"/>
  <c r="AJ29" i="10"/>
  <c r="AL29" i="10"/>
  <c r="AJ10" i="10"/>
  <c r="AJ16" i="10"/>
  <c r="AJ17" i="10"/>
  <c r="AL15" i="10"/>
  <c r="AL26" i="10"/>
  <c r="AI16" i="10"/>
  <c r="AK16" i="10"/>
  <c r="AI17" i="10"/>
  <c r="AK17" i="10"/>
  <c r="AI15" i="10"/>
  <c r="AK15" i="10"/>
  <c r="AI22" i="10"/>
  <c r="AI25" i="10" s="1"/>
  <c r="AK22" i="10"/>
  <c r="AI26" i="10"/>
  <c r="AK26" i="10"/>
  <c r="AI27" i="10"/>
  <c r="AK27" i="10"/>
  <c r="AI28" i="10"/>
  <c r="AK28" i="10"/>
  <c r="AI29" i="10"/>
  <c r="AK29" i="10"/>
  <c r="AN15" i="8"/>
  <c r="AM15" i="8"/>
  <c r="AL15" i="8"/>
  <c r="AK15" i="8"/>
  <c r="AJ15" i="8"/>
  <c r="AL8" i="12"/>
  <c r="AL7" i="12" s="1"/>
  <c r="AK8" i="12"/>
  <c r="AK7" i="12" s="1"/>
  <c r="AJ8" i="12"/>
  <c r="AJ7" i="12" s="1"/>
  <c r="AL6" i="12"/>
  <c r="AK6" i="12"/>
  <c r="AJ6" i="12"/>
  <c r="R23" i="10"/>
  <c r="Q23" i="10"/>
  <c r="P23" i="10"/>
  <c r="N23" i="10"/>
  <c r="M23" i="10"/>
  <c r="L23" i="10"/>
  <c r="AK17" i="2"/>
  <c r="AL16" i="2"/>
  <c r="AJ16" i="2"/>
  <c r="AK15" i="2"/>
  <c r="AL14" i="2"/>
  <c r="AJ14" i="2"/>
  <c r="AK13" i="2"/>
  <c r="R12" i="18"/>
  <c r="Q12" i="18"/>
  <c r="P12" i="18"/>
  <c r="O12" i="18"/>
  <c r="AL12" i="18" s="1"/>
  <c r="N12" i="18"/>
  <c r="M12" i="18"/>
  <c r="L12" i="18"/>
  <c r="K12" i="18"/>
  <c r="J12" i="18"/>
  <c r="I12" i="18"/>
  <c r="H12" i="18"/>
  <c r="AJ12" i="18" s="1"/>
  <c r="AK12" i="18" l="1"/>
  <c r="AL38" i="12"/>
  <c r="AL58" i="12" s="1"/>
  <c r="AJ24" i="2"/>
  <c r="AK23" i="2"/>
  <c r="AL30" i="10"/>
  <c r="AJ30" i="10"/>
  <c r="AJ31" i="10" s="1"/>
  <c r="AI30" i="10"/>
  <c r="AI31" i="10" s="1"/>
  <c r="AL24" i="2"/>
  <c r="AK6" i="17"/>
  <c r="AJ7" i="17"/>
  <c r="AL7" i="17"/>
  <c r="AK8" i="17"/>
  <c r="AJ9" i="17"/>
  <c r="AL9" i="17"/>
  <c r="AK13" i="17"/>
  <c r="AJ14" i="17"/>
  <c r="AL14" i="17"/>
  <c r="AK15" i="17"/>
  <c r="AJ16" i="17"/>
  <c r="AL16" i="17"/>
  <c r="AK17" i="17"/>
  <c r="AK22" i="17"/>
  <c r="AJ13" i="2"/>
  <c r="AL13" i="2"/>
  <c r="AK14" i="2"/>
  <c r="AJ15" i="2"/>
  <c r="AL15" i="2"/>
  <c r="AK16" i="2"/>
  <c r="AJ17" i="2"/>
  <c r="AL17" i="2"/>
  <c r="AJ23" i="2"/>
  <c r="AL23" i="2"/>
  <c r="AK24" i="2"/>
  <c r="AJ6" i="17"/>
  <c r="AL6" i="17"/>
  <c r="AK7" i="17"/>
  <c r="AJ8" i="17"/>
  <c r="AL8" i="17"/>
  <c r="AK9" i="17"/>
  <c r="AJ13" i="17"/>
  <c r="AL13" i="17"/>
  <c r="AK14" i="17"/>
  <c r="AJ15" i="17"/>
  <c r="AL15" i="17"/>
  <c r="AK16" i="17"/>
  <c r="AJ17" i="17"/>
  <c r="AL17" i="17"/>
  <c r="AJ22" i="17"/>
  <c r="AL22" i="17"/>
  <c r="AK23" i="17"/>
  <c r="AJ30" i="17"/>
  <c r="AL30" i="17"/>
  <c r="AK31" i="17"/>
  <c r="AJ32" i="17"/>
  <c r="AL32" i="17"/>
  <c r="AK33" i="17"/>
  <c r="AK37" i="17"/>
  <c r="AK38" i="17"/>
  <c r="AK39" i="17"/>
  <c r="AK40" i="17"/>
  <c r="AK41" i="17"/>
  <c r="AK46" i="17"/>
  <c r="AJ47" i="17"/>
  <c r="AL47" i="17"/>
  <c r="AJ12" i="10"/>
  <c r="AL12" i="10"/>
  <c r="AJ13" i="10"/>
  <c r="AL13" i="10"/>
  <c r="AJ14" i="10"/>
  <c r="AL14" i="10"/>
  <c r="AK30" i="10"/>
  <c r="AJ23" i="17"/>
  <c r="AL23" i="17"/>
  <c r="AJ31" i="17"/>
  <c r="AL31" i="17"/>
  <c r="AK32" i="17"/>
  <c r="AJ33" i="17"/>
  <c r="AL33" i="17"/>
  <c r="AL37" i="17"/>
  <c r="AL38" i="17"/>
  <c r="AJ6" i="10"/>
  <c r="AK30" i="17"/>
  <c r="AL39" i="17"/>
  <c r="AK38" i="12"/>
  <c r="AK58" i="12" s="1"/>
  <c r="AL40" i="17"/>
  <c r="AL6" i="10"/>
  <c r="AK7" i="2"/>
  <c r="AJ8" i="2"/>
  <c r="AL8" i="2"/>
  <c r="AN8" i="8"/>
  <c r="AJ6" i="2"/>
  <c r="O23" i="10"/>
  <c r="AL23" i="10" s="1"/>
  <c r="AL7" i="10"/>
  <c r="AL6" i="2"/>
  <c r="AK7" i="8"/>
  <c r="AM7" i="8"/>
  <c r="AL41" i="17"/>
  <c r="AJ46" i="17"/>
  <c r="AL46" i="17"/>
  <c r="AK47" i="17"/>
  <c r="AI6" i="10"/>
  <c r="AK6" i="10"/>
  <c r="K23" i="10"/>
  <c r="AK7" i="10"/>
  <c r="AI12" i="10"/>
  <c r="AK12" i="10"/>
  <c r="AI13" i="10"/>
  <c r="AK13" i="10"/>
  <c r="AI14" i="10"/>
  <c r="AK14" i="10"/>
  <c r="AJ38" i="12"/>
  <c r="AJ58" i="12" s="1"/>
  <c r="AJ60" i="12" s="1"/>
  <c r="AK59" i="12" s="1"/>
  <c r="AL7" i="2"/>
  <c r="AK8" i="2"/>
  <c r="D16" i="16"/>
  <c r="AM8" i="8"/>
  <c r="AK6" i="2"/>
  <c r="E16" i="16"/>
  <c r="AJ7" i="2"/>
  <c r="F16" i="16"/>
  <c r="AJ7" i="8"/>
  <c r="AL7" i="8"/>
  <c r="AN7" i="8"/>
  <c r="AL9" i="2"/>
  <c r="AJ9" i="2"/>
  <c r="AK9" i="2"/>
  <c r="R11" i="17"/>
  <c r="R11" i="2"/>
  <c r="K11" i="17"/>
  <c r="K11" i="2"/>
  <c r="L11" i="17"/>
  <c r="L11" i="2"/>
  <c r="M11" i="17"/>
  <c r="M11" i="2"/>
  <c r="Q11" i="17"/>
  <c r="Q11" i="2"/>
  <c r="O11" i="17"/>
  <c r="O11" i="2"/>
  <c r="N11" i="2"/>
  <c r="N11" i="17"/>
  <c r="P11" i="2"/>
  <c r="P11" i="17"/>
  <c r="K30" i="10"/>
  <c r="AJ9" i="10" l="1"/>
  <c r="AJ11" i="10"/>
  <c r="AK11" i="10"/>
  <c r="AI11" i="10"/>
  <c r="AI18" i="10" s="1"/>
  <c r="AL11" i="10"/>
  <c r="AL18" i="10" s="1"/>
  <c r="AL19" i="10" s="1"/>
  <c r="AL31" i="10"/>
  <c r="K31" i="10"/>
  <c r="F12" i="16"/>
  <c r="F13" i="16"/>
  <c r="E12" i="16"/>
  <c r="E13" i="16"/>
  <c r="D12" i="16"/>
  <c r="D13" i="16"/>
  <c r="AK18" i="2"/>
  <c r="AL18" i="2"/>
  <c r="AK25" i="2"/>
  <c r="AJ25" i="2"/>
  <c r="AL6" i="8"/>
  <c r="AJ6" i="8"/>
  <c r="AK6" i="8"/>
  <c r="AL11" i="2"/>
  <c r="AL18" i="17"/>
  <c r="AK48" i="17"/>
  <c r="AJ18" i="2"/>
  <c r="AN6" i="8"/>
  <c r="AL25" i="2"/>
  <c r="AK18" i="17"/>
  <c r="AK24" i="17"/>
  <c r="AL48" i="17"/>
  <c r="AJ48" i="17"/>
  <c r="AK23" i="10"/>
  <c r="AK25" i="10" s="1"/>
  <c r="AK60" i="12"/>
  <c r="AL59" i="12" s="1"/>
  <c r="AL60" i="12" s="1"/>
  <c r="AM59" i="12" s="1"/>
  <c r="AL42" i="17"/>
  <c r="AK42" i="17"/>
  <c r="AL24" i="17"/>
  <c r="AJ18" i="17"/>
  <c r="AJ24" i="17"/>
  <c r="AK9" i="10"/>
  <c r="AM6" i="8"/>
  <c r="AI9" i="16"/>
  <c r="AI9" i="10"/>
  <c r="AL9" i="10"/>
  <c r="AL25" i="10"/>
  <c r="AL11" i="17"/>
  <c r="AK11" i="17"/>
  <c r="AK11" i="2"/>
  <c r="J45" i="3"/>
  <c r="G45" i="3"/>
  <c r="O45" i="3"/>
  <c r="E45" i="3"/>
  <c r="M45" i="3"/>
  <c r="K45" i="3"/>
  <c r="Q45" i="3"/>
  <c r="K39" i="3"/>
  <c r="M39" i="3"/>
  <c r="I45" i="3"/>
  <c r="I30" i="10"/>
  <c r="I31" i="10" s="1"/>
  <c r="F39" i="3"/>
  <c r="N39" i="3"/>
  <c r="R45" i="3"/>
  <c r="I39" i="3"/>
  <c r="Q39" i="3"/>
  <c r="G39" i="3"/>
  <c r="O39" i="3"/>
  <c r="E39" i="3"/>
  <c r="J7" i="12"/>
  <c r="J57" i="12"/>
  <c r="J19" i="12"/>
  <c r="H45" i="3"/>
  <c r="P45" i="3"/>
  <c r="F45" i="3"/>
  <c r="N45" i="3"/>
  <c r="D45" i="3"/>
  <c r="L45" i="3"/>
  <c r="J44" i="12"/>
  <c r="D39" i="3"/>
  <c r="J39" i="3"/>
  <c r="P39" i="3"/>
  <c r="L39" i="3"/>
  <c r="R39" i="3"/>
  <c r="H39" i="3"/>
  <c r="J19" i="10"/>
  <c r="R19" i="10"/>
  <c r="Q30" i="10"/>
  <c r="Q31" i="10" s="1"/>
  <c r="G30" i="10"/>
  <c r="G31" i="10" s="1"/>
  <c r="O30" i="10"/>
  <c r="O31" i="10" s="1"/>
  <c r="K19" i="10"/>
  <c r="D19" i="10"/>
  <c r="L19" i="10"/>
  <c r="R30" i="10"/>
  <c r="R31" i="10" s="1"/>
  <c r="N19" i="10"/>
  <c r="G19" i="10"/>
  <c r="F19" i="10"/>
  <c r="H19" i="10"/>
  <c r="O19" i="10"/>
  <c r="P19" i="10"/>
  <c r="I19" i="10"/>
  <c r="Q19" i="10"/>
  <c r="E19" i="10"/>
  <c r="M19" i="10"/>
  <c r="C19" i="10"/>
  <c r="J30" i="10"/>
  <c r="J31" i="10" s="1"/>
  <c r="H30" i="10"/>
  <c r="H31" i="10" s="1"/>
  <c r="P30" i="10"/>
  <c r="P31" i="10" s="1"/>
  <c r="E30" i="10"/>
  <c r="E31" i="10" s="1"/>
  <c r="M30" i="10"/>
  <c r="M31" i="10" s="1"/>
  <c r="F30" i="10"/>
  <c r="F31" i="10" s="1"/>
  <c r="N30" i="10"/>
  <c r="N31" i="10" s="1"/>
  <c r="C30" i="10"/>
  <c r="C31" i="10" s="1"/>
  <c r="D30" i="10"/>
  <c r="D31" i="10" s="1"/>
  <c r="L30" i="10"/>
  <c r="L31" i="10" s="1"/>
  <c r="AK18" i="10" l="1"/>
  <c r="AK19" i="10" s="1"/>
  <c r="AI19" i="10"/>
  <c r="AJ18" i="10"/>
  <c r="AJ19" i="10" s="1"/>
  <c r="R25" i="3"/>
  <c r="AK19" i="2"/>
  <c r="AK31" i="10"/>
  <c r="AL19" i="2"/>
  <c r="AL19" i="17"/>
  <c r="AK19" i="17"/>
  <c r="AI16" i="16"/>
  <c r="J25" i="3"/>
  <c r="Q25" i="3"/>
  <c r="P25" i="3"/>
  <c r="G25" i="3"/>
  <c r="K25" i="3"/>
  <c r="I25" i="3"/>
  <c r="H25" i="3"/>
  <c r="E25" i="3"/>
  <c r="L25" i="3"/>
  <c r="N25" i="3"/>
  <c r="M25" i="3"/>
  <c r="F25" i="3"/>
  <c r="O25" i="3"/>
  <c r="D25" i="3"/>
  <c r="J38" i="12"/>
  <c r="J58" i="12" s="1"/>
  <c r="J60" i="12" s="1"/>
  <c r="K59" i="12" s="1"/>
  <c r="AI12" i="16" l="1"/>
  <c r="AI13" i="16"/>
  <c r="M59" i="12"/>
  <c r="N59" i="12"/>
  <c r="L59" i="12"/>
  <c r="N48" i="17" l="1"/>
  <c r="L48" i="17"/>
  <c r="I48" i="17"/>
  <c r="M48" i="17"/>
  <c r="P34" i="17"/>
  <c r="O34" i="17"/>
  <c r="H34" i="17"/>
  <c r="G34" i="17"/>
  <c r="I24" i="17"/>
  <c r="H24" i="17"/>
  <c r="G24" i="17"/>
  <c r="J18" i="17"/>
  <c r="I18" i="17"/>
  <c r="H18" i="17"/>
  <c r="G18" i="17"/>
  <c r="Q18" i="17"/>
  <c r="P18" i="17"/>
  <c r="O18" i="17"/>
  <c r="M18" i="17"/>
  <c r="L18" i="17"/>
  <c r="Q10" i="17"/>
  <c r="Q6" i="29" s="1"/>
  <c r="K25" i="2"/>
  <c r="K7" i="18" s="1"/>
  <c r="J24" i="17"/>
  <c r="I10" i="17"/>
  <c r="R57" i="12"/>
  <c r="Q57" i="12"/>
  <c r="P57" i="12"/>
  <c r="O57" i="12"/>
  <c r="N57" i="12"/>
  <c r="M57" i="12"/>
  <c r="L57" i="12"/>
  <c r="K57" i="12"/>
  <c r="R44" i="12"/>
  <c r="Q44" i="12"/>
  <c r="P44" i="12"/>
  <c r="O44" i="12"/>
  <c r="N44" i="12"/>
  <c r="M44" i="12"/>
  <c r="L44" i="12"/>
  <c r="K44" i="12"/>
  <c r="R19" i="12"/>
  <c r="Q19" i="12"/>
  <c r="P19" i="12"/>
  <c r="O19" i="12"/>
  <c r="N19" i="12"/>
  <c r="M19" i="12"/>
  <c r="L19" i="12"/>
  <c r="K19" i="12"/>
  <c r="R7" i="12"/>
  <c r="Q7" i="12"/>
  <c r="P7" i="12"/>
  <c r="O7" i="12"/>
  <c r="N7" i="12"/>
  <c r="M7" i="12"/>
  <c r="L7" i="12"/>
  <c r="K7" i="12"/>
  <c r="C45" i="3"/>
  <c r="C39" i="3"/>
  <c r="R48" i="17"/>
  <c r="Q48" i="17"/>
  <c r="P48" i="17"/>
  <c r="O48" i="17"/>
  <c r="K48" i="17"/>
  <c r="J48" i="17"/>
  <c r="R42" i="17"/>
  <c r="K42" i="17"/>
  <c r="J42" i="17"/>
  <c r="I42" i="17"/>
  <c r="H42" i="17"/>
  <c r="G42" i="17"/>
  <c r="K34" i="17"/>
  <c r="I12" i="17" l="1"/>
  <c r="I6" i="29"/>
  <c r="Q12" i="29"/>
  <c r="Q8" i="29"/>
  <c r="AM6" i="16"/>
  <c r="AJ6" i="16"/>
  <c r="AL6" i="16"/>
  <c r="AN6" i="16"/>
  <c r="C25" i="3"/>
  <c r="AJ9" i="16"/>
  <c r="AL9" i="16"/>
  <c r="AK9" i="16"/>
  <c r="AJ8" i="16"/>
  <c r="AL8" i="16"/>
  <c r="AJ7" i="16"/>
  <c r="I16" i="16"/>
  <c r="J16" i="16"/>
  <c r="K24" i="17"/>
  <c r="G48" i="17"/>
  <c r="H48" i="17"/>
  <c r="L16" i="16"/>
  <c r="Q24" i="17"/>
  <c r="Q16" i="16"/>
  <c r="J10" i="17"/>
  <c r="N10" i="17"/>
  <c r="N6" i="29" s="1"/>
  <c r="R24" i="17"/>
  <c r="G10" i="17"/>
  <c r="G6" i="29" s="1"/>
  <c r="H10" i="17"/>
  <c r="P24" i="17"/>
  <c r="K18" i="17"/>
  <c r="R38" i="12"/>
  <c r="K10" i="2"/>
  <c r="O10" i="17"/>
  <c r="O6" i="29" s="1"/>
  <c r="K38" i="12"/>
  <c r="K58" i="12" s="1"/>
  <c r="K60" i="12" s="1"/>
  <c r="L38" i="12"/>
  <c r="L58" i="12" s="1"/>
  <c r="L60" i="12" s="1"/>
  <c r="P10" i="17"/>
  <c r="L24" i="17"/>
  <c r="K18" i="2"/>
  <c r="R10" i="17"/>
  <c r="R6" i="29" s="1"/>
  <c r="N24" i="17"/>
  <c r="I14" i="16"/>
  <c r="M14" i="16"/>
  <c r="L15" i="16"/>
  <c r="M15" i="16"/>
  <c r="N18" i="17"/>
  <c r="N42" i="17"/>
  <c r="K10" i="17"/>
  <c r="K6" i="29" s="1"/>
  <c r="O24" i="17"/>
  <c r="O42" i="17"/>
  <c r="O45" i="17" s="1"/>
  <c r="O49" i="17" s="1"/>
  <c r="R16" i="16"/>
  <c r="L10" i="17"/>
  <c r="P42" i="17"/>
  <c r="P45" i="17" s="1"/>
  <c r="P49" i="17" s="1"/>
  <c r="M10" i="17"/>
  <c r="I34" i="17"/>
  <c r="I45" i="17" s="1"/>
  <c r="I49" i="17" s="1"/>
  <c r="Q34" i="17"/>
  <c r="Q42" i="17"/>
  <c r="R18" i="17"/>
  <c r="J34" i="17"/>
  <c r="J45" i="17" s="1"/>
  <c r="J49" i="17" s="1"/>
  <c r="R34" i="17"/>
  <c r="R45" i="17" s="1"/>
  <c r="R49" i="17" s="1"/>
  <c r="AK8" i="16"/>
  <c r="L34" i="17"/>
  <c r="L42" i="17"/>
  <c r="N34" i="17"/>
  <c r="K16" i="16"/>
  <c r="M24" i="17"/>
  <c r="M34" i="17"/>
  <c r="M42" i="17"/>
  <c r="N38" i="12"/>
  <c r="N58" i="12" s="1"/>
  <c r="N60" i="12" s="1"/>
  <c r="O38" i="12"/>
  <c r="O58" i="12" s="1"/>
  <c r="M38" i="12"/>
  <c r="M58" i="12" s="1"/>
  <c r="M60" i="12" s="1"/>
  <c r="P38" i="12"/>
  <c r="P58" i="12" s="1"/>
  <c r="Q38" i="12"/>
  <c r="Q58" i="12" s="1"/>
  <c r="M16" i="16"/>
  <c r="L14" i="16"/>
  <c r="J15" i="16"/>
  <c r="R15" i="16"/>
  <c r="J14" i="16"/>
  <c r="N16" i="16"/>
  <c r="K14" i="16"/>
  <c r="O15" i="16"/>
  <c r="G15" i="16"/>
  <c r="I15" i="16"/>
  <c r="Q15" i="16"/>
  <c r="G16" i="16"/>
  <c r="O16" i="16"/>
  <c r="G14" i="16"/>
  <c r="N15" i="16"/>
  <c r="H16" i="16"/>
  <c r="P16" i="16"/>
  <c r="H15" i="16"/>
  <c r="P15" i="16"/>
  <c r="H14" i="16"/>
  <c r="Q21" i="17"/>
  <c r="I21" i="17"/>
  <c r="I25" i="17" s="1"/>
  <c r="I27" i="17" s="1"/>
  <c r="G45" i="17"/>
  <c r="H45" i="17"/>
  <c r="K45" i="17"/>
  <c r="K49" i="17" s="1"/>
  <c r="AM28" i="16" l="1"/>
  <c r="AM29" i="16"/>
  <c r="AM30" i="16"/>
  <c r="AN28" i="16"/>
  <c r="AN29" i="16"/>
  <c r="AN30" i="16"/>
  <c r="AL28" i="16"/>
  <c r="AL30" i="16"/>
  <c r="AL29" i="16"/>
  <c r="AJ28" i="16"/>
  <c r="AJ30" i="16"/>
  <c r="AJ29" i="16"/>
  <c r="AN17" i="16"/>
  <c r="AN20" i="16"/>
  <c r="AL17" i="16"/>
  <c r="AL20" i="16"/>
  <c r="AK17" i="16"/>
  <c r="AJ17" i="16"/>
  <c r="AJ20" i="16"/>
  <c r="AM17" i="16"/>
  <c r="AM20" i="16"/>
  <c r="O12" i="29"/>
  <c r="O8" i="29"/>
  <c r="N8" i="29"/>
  <c r="N12" i="29"/>
  <c r="R12" i="29"/>
  <c r="R8" i="29"/>
  <c r="K8" i="29"/>
  <c r="K12" i="29"/>
  <c r="L21" i="17"/>
  <c r="L25" i="17" s="1"/>
  <c r="L27" i="17" s="1"/>
  <c r="L6" i="29"/>
  <c r="P21" i="17"/>
  <c r="P25" i="17" s="1"/>
  <c r="P27" i="17" s="1"/>
  <c r="P6" i="29"/>
  <c r="H12" i="17"/>
  <c r="H6" i="29"/>
  <c r="I8" i="29"/>
  <c r="I12" i="29"/>
  <c r="J12" i="17"/>
  <c r="J6" i="29"/>
  <c r="M21" i="17"/>
  <c r="M25" i="17" s="1"/>
  <c r="M27" i="17" s="1"/>
  <c r="M6" i="29"/>
  <c r="G8" i="29"/>
  <c r="G12" i="29"/>
  <c r="H13" i="16"/>
  <c r="J13" i="16"/>
  <c r="L13" i="16"/>
  <c r="I13" i="16"/>
  <c r="M13" i="16"/>
  <c r="G13" i="16"/>
  <c r="AK16" i="16"/>
  <c r="AL16" i="16"/>
  <c r="AJ16" i="16"/>
  <c r="AJ14" i="16"/>
  <c r="AK7" i="16"/>
  <c r="AL7" i="16"/>
  <c r="AL34" i="17"/>
  <c r="AL45" i="17" s="1"/>
  <c r="AL49" i="17" s="1"/>
  <c r="AL15" i="16"/>
  <c r="AJ15" i="16"/>
  <c r="AK15" i="16"/>
  <c r="AK34" i="17"/>
  <c r="AK45" i="17" s="1"/>
  <c r="AK49" i="17" s="1"/>
  <c r="AK10" i="17"/>
  <c r="AK21" i="17" s="1"/>
  <c r="AK25" i="17" s="1"/>
  <c r="AK27" i="17" s="1"/>
  <c r="O21" i="17"/>
  <c r="O25" i="17" s="1"/>
  <c r="O27" i="17" s="1"/>
  <c r="AL10" i="17"/>
  <c r="G12" i="17"/>
  <c r="AJ10" i="17"/>
  <c r="AJ21" i="17" s="1"/>
  <c r="AJ25" i="17" s="1"/>
  <c r="AJ27" i="17" s="1"/>
  <c r="AJ34" i="17"/>
  <c r="AJ45" i="17" s="1"/>
  <c r="AJ49" i="17" s="1"/>
  <c r="R58" i="12"/>
  <c r="H21" i="17"/>
  <c r="H25" i="17" s="1"/>
  <c r="H27" i="17" s="1"/>
  <c r="K21" i="17"/>
  <c r="K25" i="17" s="1"/>
  <c r="K27" i="17" s="1"/>
  <c r="Q45" i="17"/>
  <c r="Q49" i="17" s="1"/>
  <c r="M12" i="16"/>
  <c r="M11" i="16"/>
  <c r="M45" i="17"/>
  <c r="M49" i="17" s="1"/>
  <c r="L45" i="17"/>
  <c r="L49" i="17" s="1"/>
  <c r="N14" i="16"/>
  <c r="N12" i="16" s="1"/>
  <c r="L11" i="16"/>
  <c r="H49" i="17"/>
  <c r="J21" i="17"/>
  <c r="J25" i="17" s="1"/>
  <c r="J27" i="17" s="1"/>
  <c r="R21" i="17"/>
  <c r="R25" i="17" s="1"/>
  <c r="R27" i="17" s="1"/>
  <c r="N21" i="17"/>
  <c r="N25" i="17" s="1"/>
  <c r="N27" i="17" s="1"/>
  <c r="I11" i="16"/>
  <c r="N45" i="17"/>
  <c r="N49" i="17" s="1"/>
  <c r="K22" i="2"/>
  <c r="K26" i="2" s="1"/>
  <c r="K6" i="18" s="1"/>
  <c r="G49" i="17"/>
  <c r="G21" i="17"/>
  <c r="G25" i="17" s="1"/>
  <c r="G27" i="17" s="1"/>
  <c r="P14" i="16"/>
  <c r="P12" i="16" s="1"/>
  <c r="R14" i="16"/>
  <c r="R11" i="16" s="1"/>
  <c r="O14" i="16"/>
  <c r="O11" i="16" s="1"/>
  <c r="J11" i="16"/>
  <c r="Q25" i="17"/>
  <c r="Q27" i="17" s="1"/>
  <c r="L12" i="16"/>
  <c r="H11" i="16"/>
  <c r="Q14" i="16"/>
  <c r="Q11" i="16" s="1"/>
  <c r="J12" i="16"/>
  <c r="K15" i="16"/>
  <c r="K12" i="16" s="1"/>
  <c r="P59" i="12"/>
  <c r="P60" i="12" s="1"/>
  <c r="O59" i="12"/>
  <c r="O60" i="12" s="1"/>
  <c r="Q59" i="12"/>
  <c r="Q60" i="12" s="1"/>
  <c r="R59" i="12"/>
  <c r="G12" i="16"/>
  <c r="I12" i="16"/>
  <c r="G11" i="16"/>
  <c r="H12" i="16"/>
  <c r="AK6" i="29" l="1"/>
  <c r="AK12" i="29" s="1"/>
  <c r="AL25" i="16"/>
  <c r="AL26" i="16"/>
  <c r="AN25" i="16"/>
  <c r="AN26" i="16"/>
  <c r="AJ26" i="16"/>
  <c r="AJ25" i="16"/>
  <c r="AM25" i="16"/>
  <c r="AM26" i="16"/>
  <c r="H8" i="29"/>
  <c r="H12" i="29"/>
  <c r="AJ6" i="29"/>
  <c r="P12" i="29"/>
  <c r="P8" i="29"/>
  <c r="J8" i="29"/>
  <c r="J12" i="29"/>
  <c r="L12" i="29"/>
  <c r="L8" i="29"/>
  <c r="M12" i="29"/>
  <c r="M8" i="29"/>
  <c r="AL6" i="29"/>
  <c r="R13" i="16"/>
  <c r="O13" i="16"/>
  <c r="K13" i="16"/>
  <c r="AJ13" i="16"/>
  <c r="Q13" i="16"/>
  <c r="N13" i="16"/>
  <c r="P13" i="16"/>
  <c r="AK12" i="17"/>
  <c r="AL14" i="16"/>
  <c r="AL13" i="16" s="1"/>
  <c r="AK14" i="16"/>
  <c r="AK13" i="16" s="1"/>
  <c r="AJ11" i="16"/>
  <c r="AJ12" i="16"/>
  <c r="AL12" i="17"/>
  <c r="AL21" i="17"/>
  <c r="AL25" i="17" s="1"/>
  <c r="AL27" i="17" s="1"/>
  <c r="R60" i="12"/>
  <c r="U59" i="12" s="1"/>
  <c r="N11" i="16"/>
  <c r="P11" i="16"/>
  <c r="R12" i="16"/>
  <c r="O12" i="16"/>
  <c r="K11" i="16"/>
  <c r="Q12" i="16"/>
  <c r="AK8" i="29" l="1"/>
  <c r="AN31" i="16"/>
  <c r="AN27" i="16" s="1"/>
  <c r="AL12" i="29"/>
  <c r="AL8" i="29"/>
  <c r="AJ8" i="29"/>
  <c r="AJ12" i="29"/>
  <c r="AK11" i="16"/>
  <c r="AK12" i="16"/>
  <c r="AL11" i="16"/>
  <c r="AL12" i="16"/>
  <c r="S59" i="12"/>
  <c r="V59" i="12"/>
  <c r="T59" i="12"/>
  <c r="M25" i="2"/>
  <c r="M7" i="18" s="1"/>
  <c r="N25" i="2" l="1"/>
  <c r="N7" i="18" s="1"/>
  <c r="H25" i="2"/>
  <c r="H7" i="18" s="1"/>
  <c r="H18" i="2"/>
  <c r="J10" i="2"/>
  <c r="I10" i="2"/>
  <c r="H10" i="2"/>
  <c r="P25" i="2"/>
  <c r="P7" i="18" s="1"/>
  <c r="G10" i="2"/>
  <c r="O25" i="2"/>
  <c r="O7" i="18" s="1"/>
  <c r="G25" i="2"/>
  <c r="G7" i="18" s="1"/>
  <c r="L25" i="2"/>
  <c r="L7" i="18" s="1"/>
  <c r="I25" i="2"/>
  <c r="I7" i="18" s="1"/>
  <c r="Q25" i="2"/>
  <c r="Q7" i="18" s="1"/>
  <c r="P18" i="2"/>
  <c r="G18" i="2"/>
  <c r="O18" i="2"/>
  <c r="J18" i="2"/>
  <c r="R18" i="2"/>
  <c r="Q18" i="2"/>
  <c r="J25" i="2"/>
  <c r="J7" i="18" s="1"/>
  <c r="R25" i="2"/>
  <c r="R7" i="18" s="1"/>
  <c r="I18" i="2"/>
  <c r="L18" i="2"/>
  <c r="M18" i="2"/>
  <c r="N18" i="2"/>
  <c r="AK7" i="18" l="1"/>
  <c r="AJ10" i="2"/>
  <c r="AJ7" i="18"/>
  <c r="AL7" i="18"/>
  <c r="H22" i="2"/>
  <c r="H26" i="2" s="1"/>
  <c r="H6" i="18" s="1"/>
  <c r="G22" i="2"/>
  <c r="G26" i="2" s="1"/>
  <c r="G6" i="18" s="1"/>
  <c r="J22" i="2"/>
  <c r="J26" i="2" s="1"/>
  <c r="J6" i="18" s="1"/>
  <c r="I22" i="2"/>
  <c r="I26" i="2" s="1"/>
  <c r="I6" i="18" s="1"/>
  <c r="AJ22" i="2" l="1"/>
  <c r="AJ26" i="2" s="1"/>
  <c r="AJ6" i="18"/>
  <c r="R10" i="2"/>
  <c r="P10" i="2"/>
  <c r="Q10" i="2" l="1"/>
  <c r="Q22" i="2" s="1"/>
  <c r="Q26" i="2" s="1"/>
  <c r="Q6" i="18" s="1"/>
  <c r="N10" i="2"/>
  <c r="N22" i="2" s="1"/>
  <c r="N26" i="2" s="1"/>
  <c r="N6" i="18" s="1"/>
  <c r="O10" i="2"/>
  <c r="M10" i="2"/>
  <c r="M22" i="2" s="1"/>
  <c r="M26" i="2" s="1"/>
  <c r="M6" i="18" s="1"/>
  <c r="L10" i="2"/>
  <c r="P22" i="2"/>
  <c r="P26" i="2" s="1"/>
  <c r="P6" i="18" s="1"/>
  <c r="R22" i="2"/>
  <c r="R26" i="2" s="1"/>
  <c r="R6" i="18" s="1"/>
  <c r="L22" i="2" l="1"/>
  <c r="L26" i="2" s="1"/>
  <c r="L6" i="18" s="1"/>
  <c r="AK10" i="2"/>
  <c r="O22" i="2"/>
  <c r="O26" i="2" s="1"/>
  <c r="O6" i="18" s="1"/>
  <c r="AL10" i="2"/>
  <c r="M19" i="2"/>
  <c r="M12" i="2"/>
  <c r="N19" i="17"/>
  <c r="N12" i="17"/>
  <c r="N19" i="2"/>
  <c r="N12" i="2"/>
  <c r="O19" i="17"/>
  <c r="O12" i="17"/>
  <c r="O19" i="2"/>
  <c r="O12" i="2"/>
  <c r="P19" i="17"/>
  <c r="P12" i="17"/>
  <c r="M19" i="17"/>
  <c r="M12" i="17"/>
  <c r="Q19" i="17"/>
  <c r="Q12" i="17"/>
  <c r="P19" i="2"/>
  <c r="P12" i="2"/>
  <c r="Q19" i="2"/>
  <c r="Q12" i="2"/>
  <c r="R19" i="17"/>
  <c r="R12" i="17"/>
  <c r="R19" i="2"/>
  <c r="R12" i="2"/>
  <c r="K19" i="17"/>
  <c r="K12" i="17"/>
  <c r="L19" i="2"/>
  <c r="L12" i="2"/>
  <c r="K19" i="2"/>
  <c r="K12" i="2"/>
  <c r="L19" i="17"/>
  <c r="L12" i="17"/>
  <c r="AL6" i="18" l="1"/>
  <c r="AK6" i="18"/>
  <c r="AL22" i="2"/>
  <c r="AL26" i="2" s="1"/>
  <c r="AL12" i="2"/>
  <c r="AK22" i="2"/>
  <c r="AK26" i="2" s="1"/>
  <c r="AK12" i="2"/>
  <c r="AO24" i="8" l="1"/>
  <c r="AN24" i="8"/>
  <c r="AN25" i="8" l="1"/>
  <c r="AN26" i="8"/>
  <c r="AN23" i="8" l="1"/>
  <c r="AO26" i="8"/>
  <c r="AO25" i="8"/>
  <c r="AO23" i="8" l="1"/>
  <c r="AM15" i="17"/>
  <c r="T18" i="17"/>
  <c r="X24" i="17"/>
  <c r="AO55" i="3"/>
  <c r="AN55" i="3"/>
  <c r="AM55" i="3"/>
  <c r="AO54" i="3"/>
  <c r="AN54" i="3"/>
  <c r="AM54" i="3"/>
  <c r="AM53" i="3"/>
  <c r="AM52" i="3"/>
  <c r="AM51" i="3"/>
  <c r="AM50" i="3"/>
  <c r="AM49" i="3"/>
  <c r="AM48" i="3"/>
  <c r="AM47" i="3"/>
  <c r="AM44" i="3"/>
  <c r="AM43" i="3"/>
  <c r="AM42" i="3"/>
  <c r="AM41" i="3"/>
  <c r="AM38" i="3"/>
  <c r="AM37" i="3"/>
  <c r="AM36" i="3"/>
  <c r="AM35" i="3"/>
  <c r="AM34" i="3"/>
  <c r="AM33" i="3"/>
  <c r="AM32" i="3"/>
  <c r="AM30" i="3"/>
  <c r="AM31" i="3"/>
  <c r="AM29" i="3"/>
  <c r="AM28" i="3"/>
  <c r="AM24" i="3"/>
  <c r="AM23" i="3"/>
  <c r="AM22" i="3"/>
  <c r="AM21" i="3"/>
  <c r="AM20" i="3"/>
  <c r="AM19" i="3"/>
  <c r="AM18" i="3"/>
  <c r="AM15" i="3"/>
  <c r="AM14" i="3"/>
  <c r="AM13" i="3"/>
  <c r="AM12" i="3"/>
  <c r="AM11" i="3"/>
  <c r="AM10" i="3"/>
  <c r="AM9" i="3"/>
  <c r="X12" i="18"/>
  <c r="V12" i="18"/>
  <c r="U12" i="18"/>
  <c r="T12" i="18"/>
  <c r="V24" i="10"/>
  <c r="U24" i="10"/>
  <c r="T24" i="10"/>
  <c r="AO56" i="12"/>
  <c r="AN56" i="12"/>
  <c r="AM56" i="12"/>
  <c r="AO55" i="12"/>
  <c r="AN55" i="12"/>
  <c r="AM55" i="12"/>
  <c r="AO54" i="12"/>
  <c r="AN54" i="12"/>
  <c r="AM54" i="12"/>
  <c r="AO53" i="12"/>
  <c r="AN53" i="12"/>
  <c r="AM53" i="12"/>
  <c r="AO52" i="12"/>
  <c r="AN52" i="12"/>
  <c r="AM52" i="12"/>
  <c r="AO51" i="12"/>
  <c r="AN51" i="12"/>
  <c r="AM51" i="12"/>
  <c r="AO50" i="12"/>
  <c r="AN50" i="12"/>
  <c r="AM50" i="12"/>
  <c r="AO49" i="12"/>
  <c r="AN49" i="12"/>
  <c r="AM49" i="12"/>
  <c r="AO48" i="12"/>
  <c r="AN48" i="12"/>
  <c r="AM48" i="12"/>
  <c r="AO46" i="12"/>
  <c r="AN46" i="12"/>
  <c r="AM46" i="12"/>
  <c r="Y57" i="12"/>
  <c r="X57" i="12"/>
  <c r="AO43" i="12"/>
  <c r="AN43" i="12"/>
  <c r="AM43" i="12"/>
  <c r="AO42" i="12"/>
  <c r="AN42" i="12"/>
  <c r="AM42" i="12"/>
  <c r="AO41" i="12"/>
  <c r="AN41" i="12"/>
  <c r="AM41" i="12"/>
  <c r="AO40" i="12"/>
  <c r="AN40" i="12"/>
  <c r="AM40" i="12"/>
  <c r="AB44" i="12"/>
  <c r="U44" i="12"/>
  <c r="T44" i="12"/>
  <c r="AO37" i="12"/>
  <c r="AN37" i="12"/>
  <c r="AM37" i="12"/>
  <c r="AO36" i="12"/>
  <c r="AN36" i="12"/>
  <c r="AM36" i="12"/>
  <c r="AO35" i="12"/>
  <c r="AN35" i="12"/>
  <c r="AM35" i="12"/>
  <c r="AO34" i="12"/>
  <c r="AN34" i="12"/>
  <c r="AM34" i="12"/>
  <c r="AO33" i="12"/>
  <c r="AN33" i="12"/>
  <c r="AM33" i="12"/>
  <c r="AO32" i="12"/>
  <c r="AN32" i="12"/>
  <c r="AM32" i="12"/>
  <c r="AO31" i="12"/>
  <c r="AN31" i="12"/>
  <c r="AM31" i="12"/>
  <c r="AO30" i="12"/>
  <c r="AN30" i="12"/>
  <c r="AM30" i="12"/>
  <c r="AO29" i="12"/>
  <c r="AN29" i="12"/>
  <c r="AM29" i="12"/>
  <c r="AO28" i="12"/>
  <c r="AN28" i="12"/>
  <c r="AM28" i="12"/>
  <c r="AO27" i="12"/>
  <c r="AN27" i="12"/>
  <c r="AM27" i="12"/>
  <c r="AO26" i="12"/>
  <c r="AN26" i="12"/>
  <c r="AM26" i="12"/>
  <c r="AO25" i="12"/>
  <c r="AN25" i="12"/>
  <c r="AM25" i="12"/>
  <c r="AO24" i="12"/>
  <c r="AN24" i="12"/>
  <c r="AM24" i="12"/>
  <c r="AO23" i="12"/>
  <c r="AN23" i="12"/>
  <c r="AM23" i="12"/>
  <c r="AO22" i="12"/>
  <c r="AN22" i="12"/>
  <c r="AM22" i="12"/>
  <c r="AO21" i="12"/>
  <c r="AN21" i="12"/>
  <c r="AM21" i="12"/>
  <c r="AC19" i="12"/>
  <c r="AB19" i="12"/>
  <c r="U19" i="12"/>
  <c r="T19" i="12"/>
  <c r="AO18" i="12"/>
  <c r="AN18" i="12"/>
  <c r="AM18" i="12"/>
  <c r="AO17" i="12"/>
  <c r="AN17" i="12"/>
  <c r="AM17" i="12"/>
  <c r="AO16" i="12"/>
  <c r="AN16" i="12"/>
  <c r="AM16" i="12"/>
  <c r="AO15" i="12"/>
  <c r="AN15" i="12"/>
  <c r="AM15" i="12"/>
  <c r="AO14" i="12"/>
  <c r="AN14" i="12"/>
  <c r="AM14" i="12"/>
  <c r="AO13" i="12"/>
  <c r="AN13" i="12"/>
  <c r="AM13" i="12"/>
  <c r="AO11" i="12"/>
  <c r="AN11" i="12"/>
  <c r="AM11" i="12"/>
  <c r="AO10" i="12"/>
  <c r="AN10" i="12"/>
  <c r="AM10" i="12"/>
  <c r="AO9" i="12"/>
  <c r="AN9" i="12"/>
  <c r="AM9" i="12"/>
  <c r="AM6" i="12"/>
  <c r="S39" i="3" l="1"/>
  <c r="T25" i="2"/>
  <c r="T7" i="18" s="1"/>
  <c r="X7" i="3"/>
  <c r="W19" i="12"/>
  <c r="W44" i="12"/>
  <c r="S57" i="12"/>
  <c r="S45" i="3"/>
  <c r="X7" i="12"/>
  <c r="T24" i="17"/>
  <c r="T7" i="12"/>
  <c r="T38" i="12" s="1"/>
  <c r="AB7" i="12"/>
  <c r="AB38" i="12" s="1"/>
  <c r="S19" i="12"/>
  <c r="S44" i="12"/>
  <c r="W57" i="12"/>
  <c r="X10" i="2"/>
  <c r="X18" i="2"/>
  <c r="W45" i="3"/>
  <c r="AM17" i="17"/>
  <c r="U7" i="12"/>
  <c r="U38" i="12" s="1"/>
  <c r="AC7" i="12"/>
  <c r="AC38" i="12" s="1"/>
  <c r="AM7" i="2"/>
  <c r="AM14" i="2"/>
  <c r="W7" i="3"/>
  <c r="W16" i="3"/>
  <c r="W26" i="3"/>
  <c r="X45" i="3"/>
  <c r="X16" i="3"/>
  <c r="X26" i="3"/>
  <c r="T39" i="3"/>
  <c r="Y45" i="3"/>
  <c r="U18" i="17"/>
  <c r="W7" i="12"/>
  <c r="AM17" i="2"/>
  <c r="U25" i="2"/>
  <c r="U7" i="18" s="1"/>
  <c r="Y7" i="3"/>
  <c r="Y16" i="3"/>
  <c r="Y26" i="3"/>
  <c r="U39" i="3"/>
  <c r="T10" i="2"/>
  <c r="T18" i="2"/>
  <c r="V25" i="2"/>
  <c r="V7" i="18" s="1"/>
  <c r="Y7" i="12"/>
  <c r="X19" i="12"/>
  <c r="X44" i="12"/>
  <c r="T57" i="12"/>
  <c r="AB57" i="12"/>
  <c r="U10" i="2"/>
  <c r="U18" i="2"/>
  <c r="AM16" i="2"/>
  <c r="S7" i="3"/>
  <c r="S16" i="3"/>
  <c r="S26" i="3"/>
  <c r="W39" i="3"/>
  <c r="T45" i="3"/>
  <c r="X18" i="17"/>
  <c r="Y19" i="12"/>
  <c r="U57" i="12"/>
  <c r="AC57" i="12"/>
  <c r="V10" i="2"/>
  <c r="V18" i="2"/>
  <c r="X25" i="2"/>
  <c r="X7" i="18" s="1"/>
  <c r="T7" i="3"/>
  <c r="T16" i="3"/>
  <c r="T26" i="3"/>
  <c r="X39" i="3"/>
  <c r="U45" i="3"/>
  <c r="U24" i="17"/>
  <c r="AC44" i="12"/>
  <c r="S7" i="12"/>
  <c r="AM8" i="2"/>
  <c r="AM15" i="2"/>
  <c r="AM24" i="2"/>
  <c r="U7" i="3"/>
  <c r="U16" i="3"/>
  <c r="U26" i="3"/>
  <c r="Y39" i="3"/>
  <c r="Y44" i="12"/>
  <c r="U23" i="10"/>
  <c r="U11" i="2"/>
  <c r="U11" i="17"/>
  <c r="AM6" i="2"/>
  <c r="S10" i="2"/>
  <c r="W12" i="18"/>
  <c r="S18" i="2"/>
  <c r="AM13" i="2"/>
  <c r="W25" i="2"/>
  <c r="W7" i="18" s="1"/>
  <c r="AN6" i="12"/>
  <c r="AM8" i="12"/>
  <c r="AO8" i="12"/>
  <c r="AM12" i="12"/>
  <c r="AO12" i="12"/>
  <c r="AN20" i="12"/>
  <c r="AN19" i="12" s="1"/>
  <c r="Z19" i="12"/>
  <c r="AN39" i="12"/>
  <c r="AN44" i="12" s="1"/>
  <c r="Z44" i="12"/>
  <c r="AM45" i="12"/>
  <c r="AM57" i="12" s="1"/>
  <c r="V57" i="12"/>
  <c r="AO45" i="12"/>
  <c r="AO57" i="12" s="1"/>
  <c r="V23" i="10"/>
  <c r="V11" i="2"/>
  <c r="V11" i="17"/>
  <c r="W11" i="17"/>
  <c r="W11" i="2"/>
  <c r="S24" i="10"/>
  <c r="AM24" i="10" s="1"/>
  <c r="AM8" i="10"/>
  <c r="AM28" i="10"/>
  <c r="Y12" i="18"/>
  <c r="AN23" i="2"/>
  <c r="AN30" i="3"/>
  <c r="AO32" i="3"/>
  <c r="AN33" i="3"/>
  <c r="AO34" i="3"/>
  <c r="AN35" i="3"/>
  <c r="AO36" i="3"/>
  <c r="AN37" i="3"/>
  <c r="AO38" i="3"/>
  <c r="AO41" i="3"/>
  <c r="AN42" i="3"/>
  <c r="AO43" i="3"/>
  <c r="AN44" i="3"/>
  <c r="AM46" i="3"/>
  <c r="AM45" i="3" s="1"/>
  <c r="V45" i="3"/>
  <c r="AN47" i="3"/>
  <c r="AO48" i="3"/>
  <c r="AN49" i="3"/>
  <c r="AO50" i="3"/>
  <c r="AN51" i="3"/>
  <c r="AO52" i="3"/>
  <c r="AN53" i="3"/>
  <c r="AN22" i="17"/>
  <c r="X11" i="2"/>
  <c r="X11" i="17"/>
  <c r="Z12" i="18"/>
  <c r="AN10" i="3"/>
  <c r="AO11" i="3"/>
  <c r="AN12" i="3"/>
  <c r="AO13" i="3"/>
  <c r="AN14" i="3"/>
  <c r="AO15" i="3"/>
  <c r="AO18" i="3"/>
  <c r="AN19" i="3"/>
  <c r="AO20" i="3"/>
  <c r="AN21" i="3"/>
  <c r="AO22" i="3"/>
  <c r="AN23" i="3"/>
  <c r="AO24" i="3"/>
  <c r="AO28" i="3"/>
  <c r="AN29" i="3"/>
  <c r="S24" i="17"/>
  <c r="AM22" i="17"/>
  <c r="S18" i="17"/>
  <c r="AM13" i="17"/>
  <c r="W10" i="2"/>
  <c r="S12" i="18"/>
  <c r="AM12" i="18" s="1"/>
  <c r="AM9" i="2"/>
  <c r="W18" i="2"/>
  <c r="AM23" i="2"/>
  <c r="S25" i="2"/>
  <c r="S7" i="18" s="1"/>
  <c r="AB24" i="17"/>
  <c r="AO6" i="12"/>
  <c r="AN8" i="12"/>
  <c r="AN12" i="12"/>
  <c r="AM20" i="12"/>
  <c r="AM19" i="12" s="1"/>
  <c r="V19" i="12"/>
  <c r="AO20" i="12"/>
  <c r="AO19" i="12" s="1"/>
  <c r="AM39" i="12"/>
  <c r="AM44" i="12" s="1"/>
  <c r="V44" i="12"/>
  <c r="AO39" i="12"/>
  <c r="AO44" i="12" s="1"/>
  <c r="AN45" i="12"/>
  <c r="AN57" i="12" s="1"/>
  <c r="Z57" i="12"/>
  <c r="AM7" i="10"/>
  <c r="S23" i="10"/>
  <c r="S11" i="2"/>
  <c r="S11" i="17"/>
  <c r="AN28" i="10"/>
  <c r="AM29" i="10"/>
  <c r="AN32" i="3"/>
  <c r="AO33" i="3"/>
  <c r="AN34" i="3"/>
  <c r="AO35" i="3"/>
  <c r="AN36" i="3"/>
  <c r="AO37" i="3"/>
  <c r="AN38" i="3"/>
  <c r="V39" i="3"/>
  <c r="AM40" i="3"/>
  <c r="AM39" i="3" s="1"/>
  <c r="AN41" i="3"/>
  <c r="AO42" i="3"/>
  <c r="AN43" i="3"/>
  <c r="AO44" i="3"/>
  <c r="AO47" i="3"/>
  <c r="AN48" i="3"/>
  <c r="AO49" i="3"/>
  <c r="AN50" i="3"/>
  <c r="AO51" i="3"/>
  <c r="AN52" i="3"/>
  <c r="AO53" i="3"/>
  <c r="V24" i="17"/>
  <c r="V18" i="17"/>
  <c r="T23" i="10"/>
  <c r="T11" i="17"/>
  <c r="T19" i="17" s="1"/>
  <c r="T11" i="2"/>
  <c r="AM8" i="3"/>
  <c r="AM7" i="3" s="1"/>
  <c r="V7" i="3"/>
  <c r="AN9" i="3"/>
  <c r="AO10" i="3"/>
  <c r="AN11" i="3"/>
  <c r="AO12" i="3"/>
  <c r="AN13" i="3"/>
  <c r="AO14" i="3"/>
  <c r="AN15" i="3"/>
  <c r="AM17" i="3"/>
  <c r="AM16" i="3" s="1"/>
  <c r="V16" i="3"/>
  <c r="AN18" i="3"/>
  <c r="AO19" i="3"/>
  <c r="AN20" i="3"/>
  <c r="AO21" i="3"/>
  <c r="AN22" i="3"/>
  <c r="AO23" i="3"/>
  <c r="AN24" i="3"/>
  <c r="AM27" i="3"/>
  <c r="AM26" i="3" s="1"/>
  <c r="V26" i="3"/>
  <c r="AN28" i="3"/>
  <c r="AO29" i="3"/>
  <c r="AN31" i="3"/>
  <c r="AM7" i="17"/>
  <c r="AO9" i="17"/>
  <c r="W24" i="17"/>
  <c r="AM23" i="17"/>
  <c r="W18" i="17"/>
  <c r="AN13" i="17"/>
  <c r="AM14" i="17"/>
  <c r="AN15" i="17"/>
  <c r="AM16" i="17"/>
  <c r="AN17" i="17"/>
  <c r="AM14" i="10"/>
  <c r="AN12" i="18" l="1"/>
  <c r="X38" i="12"/>
  <c r="X58" i="12" s="1"/>
  <c r="AB58" i="12"/>
  <c r="U19" i="2"/>
  <c r="X19" i="17"/>
  <c r="U19" i="17"/>
  <c r="X22" i="2"/>
  <c r="W38" i="12"/>
  <c r="W58" i="12" s="1"/>
  <c r="V19" i="17"/>
  <c r="W19" i="17"/>
  <c r="X6" i="3"/>
  <c r="T19" i="2"/>
  <c r="X19" i="2"/>
  <c r="U22" i="2"/>
  <c r="U26" i="2" s="1"/>
  <c r="U6" i="18" s="1"/>
  <c r="U19" i="18" s="1"/>
  <c r="T22" i="2"/>
  <c r="T26" i="2" s="1"/>
  <c r="T6" i="18" s="1"/>
  <c r="Y38" i="12"/>
  <c r="Y58" i="12" s="1"/>
  <c r="AN24" i="10"/>
  <c r="V22" i="2"/>
  <c r="V26" i="2" s="1"/>
  <c r="V6" i="18" s="1"/>
  <c r="AM7" i="18"/>
  <c r="U6" i="3"/>
  <c r="S6" i="3"/>
  <c r="U58" i="12"/>
  <c r="U60" i="12" s="1"/>
  <c r="V19" i="2"/>
  <c r="T25" i="3"/>
  <c r="AM25" i="3"/>
  <c r="AM25" i="2"/>
  <c r="W19" i="2"/>
  <c r="AC24" i="17"/>
  <c r="Y6" i="3"/>
  <c r="V12" i="2"/>
  <c r="AN7" i="2"/>
  <c r="T6" i="3"/>
  <c r="X12" i="2"/>
  <c r="S38" i="12"/>
  <c r="S58" i="12" s="1"/>
  <c r="S60" i="12" s="1"/>
  <c r="AN16" i="2"/>
  <c r="U12" i="2"/>
  <c r="AO7" i="12"/>
  <c r="AO38" i="12" s="1"/>
  <c r="AO58" i="12" s="1"/>
  <c r="S25" i="3"/>
  <c r="AO14" i="17"/>
  <c r="AN17" i="2"/>
  <c r="AN14" i="17"/>
  <c r="AO24" i="2"/>
  <c r="AC58" i="12"/>
  <c r="X25" i="3"/>
  <c r="AN15" i="2"/>
  <c r="AM11" i="2"/>
  <c r="AN23" i="17"/>
  <c r="AN24" i="17" s="1"/>
  <c r="AN14" i="2"/>
  <c r="W25" i="3"/>
  <c r="V7" i="12"/>
  <c r="V38" i="12" s="1"/>
  <c r="V58" i="12" s="1"/>
  <c r="V60" i="12" s="1"/>
  <c r="AM18" i="2"/>
  <c r="U25" i="3"/>
  <c r="W6" i="3"/>
  <c r="AM24" i="17"/>
  <c r="Z10" i="2"/>
  <c r="AN24" i="2"/>
  <c r="AN25" i="2" s="1"/>
  <c r="AN8" i="2"/>
  <c r="AN16" i="17"/>
  <c r="Y25" i="3"/>
  <c r="T58" i="12"/>
  <c r="T60" i="12" s="1"/>
  <c r="AN29" i="10"/>
  <c r="AM23" i="10"/>
  <c r="AM15" i="10"/>
  <c r="AN7" i="10"/>
  <c r="AN15" i="10"/>
  <c r="T12" i="2"/>
  <c r="AN8" i="17"/>
  <c r="AC10" i="17"/>
  <c r="AC6" i="29" s="1"/>
  <c r="AO15" i="17"/>
  <c r="AO22" i="17"/>
  <c r="AA24" i="17"/>
  <c r="AN7" i="17"/>
  <c r="AO9" i="3"/>
  <c r="Z10" i="17"/>
  <c r="Z6" i="29" s="1"/>
  <c r="Y18" i="17"/>
  <c r="AN9" i="2"/>
  <c r="AO15" i="2"/>
  <c r="AD18" i="17"/>
  <c r="U10" i="17"/>
  <c r="U6" i="29" s="1"/>
  <c r="AB10" i="17"/>
  <c r="AB6" i="29" s="1"/>
  <c r="AO23" i="2"/>
  <c r="AO14" i="2"/>
  <c r="AN27" i="3"/>
  <c r="AN26" i="3" s="1"/>
  <c r="Z26" i="3"/>
  <c r="AN17" i="3"/>
  <c r="AN16" i="3" s="1"/>
  <c r="Z16" i="3"/>
  <c r="AN8" i="3"/>
  <c r="AN7" i="3" s="1"/>
  <c r="Z7" i="3"/>
  <c r="AO28" i="10"/>
  <c r="AO8" i="2"/>
  <c r="AO17" i="3"/>
  <c r="AO16" i="3" s="1"/>
  <c r="AO46" i="3"/>
  <c r="AO45" i="3" s="1"/>
  <c r="AO24" i="10"/>
  <c r="AO8" i="10"/>
  <c r="Y10" i="17"/>
  <c r="Y6" i="29" s="1"/>
  <c r="AM13" i="10"/>
  <c r="AM12" i="10"/>
  <c r="AO16" i="17"/>
  <c r="AN6" i="17"/>
  <c r="W10" i="17"/>
  <c r="W6" i="29" s="1"/>
  <c r="AO8" i="3"/>
  <c r="Z18" i="2"/>
  <c r="V15" i="16"/>
  <c r="AD10" i="17"/>
  <c r="AD6" i="29" s="1"/>
  <c r="AO30" i="3"/>
  <c r="T15" i="16"/>
  <c r="AO7" i="2"/>
  <c r="AO13" i="17"/>
  <c r="AA18" i="17"/>
  <c r="AO6" i="17"/>
  <c r="AA10" i="17"/>
  <c r="AA6" i="29" s="1"/>
  <c r="Z24" i="17"/>
  <c r="V25" i="3"/>
  <c r="AM7" i="12"/>
  <c r="AM38" i="12" s="1"/>
  <c r="AM58" i="12" s="1"/>
  <c r="AM60" i="12" s="1"/>
  <c r="AN59" i="12" s="1"/>
  <c r="AN14" i="10"/>
  <c r="AN9" i="17"/>
  <c r="Y24" i="17"/>
  <c r="X15" i="16"/>
  <c r="AO13" i="2"/>
  <c r="AO40" i="3"/>
  <c r="AO39" i="3" s="1"/>
  <c r="AN27" i="10"/>
  <c r="V30" i="10"/>
  <c r="V31" i="10" s="1"/>
  <c r="AM26" i="10"/>
  <c r="AM9" i="17"/>
  <c r="V6" i="3"/>
  <c r="Y18" i="2"/>
  <c r="Y10" i="2"/>
  <c r="AO29" i="10"/>
  <c r="AO7" i="10"/>
  <c r="T10" i="17"/>
  <c r="T6" i="29" s="1"/>
  <c r="AN13" i="2"/>
  <c r="AN6" i="2"/>
  <c r="AO17" i="17"/>
  <c r="AM18" i="17"/>
  <c r="AM8" i="17"/>
  <c r="AN40" i="3"/>
  <c r="AN39" i="3" s="1"/>
  <c r="Z39" i="3"/>
  <c r="Y25" i="2"/>
  <c r="Y7" i="18" s="1"/>
  <c r="Y15" i="16"/>
  <c r="AO6" i="2"/>
  <c r="AO23" i="17"/>
  <c r="AO7" i="17"/>
  <c r="AM27" i="10"/>
  <c r="U30" i="10"/>
  <c r="U31" i="10" s="1"/>
  <c r="AM6" i="3"/>
  <c r="V10" i="17"/>
  <c r="V6" i="29" s="1"/>
  <c r="Z11" i="2"/>
  <c r="Z11" i="17"/>
  <c r="AN7" i="12"/>
  <c r="AN38" i="12" s="1"/>
  <c r="AN58" i="12" s="1"/>
  <c r="AB18" i="17"/>
  <c r="AO9" i="2"/>
  <c r="W22" i="2"/>
  <c r="W12" i="2"/>
  <c r="S19" i="17"/>
  <c r="Z25" i="2"/>
  <c r="Z7" i="18" s="1"/>
  <c r="Z15" i="16"/>
  <c r="AO17" i="2"/>
  <c r="T30" i="10"/>
  <c r="T31" i="10" s="1"/>
  <c r="AM22" i="10"/>
  <c r="S30" i="10"/>
  <c r="S31" i="10" s="1"/>
  <c r="AO27" i="3"/>
  <c r="AD24" i="17"/>
  <c r="AN46" i="3"/>
  <c r="AN45" i="3" s="1"/>
  <c r="Z45" i="3"/>
  <c r="AM11" i="17"/>
  <c r="AC18" i="17"/>
  <c r="U15" i="16"/>
  <c r="Z7" i="12"/>
  <c r="Z38" i="12" s="1"/>
  <c r="Z58" i="12" s="1"/>
  <c r="AO16" i="2"/>
  <c r="Y11" i="2"/>
  <c r="Y11" i="17"/>
  <c r="AO8" i="17"/>
  <c r="AM6" i="17"/>
  <c r="S10" i="17"/>
  <c r="S6" i="29" s="1"/>
  <c r="Z18" i="17"/>
  <c r="X10" i="17"/>
  <c r="X6" i="29" s="1"/>
  <c r="S19" i="2"/>
  <c r="S12" i="2"/>
  <c r="S22" i="2"/>
  <c r="S26" i="2" s="1"/>
  <c r="S6" i="18" s="1"/>
  <c r="AM10" i="2"/>
  <c r="U11" i="18"/>
  <c r="T11" i="18"/>
  <c r="X11" i="18"/>
  <c r="V11" i="18"/>
  <c r="T19" i="18" l="1"/>
  <c r="X26" i="2"/>
  <c r="X6" i="18" s="1"/>
  <c r="X19" i="18" s="1"/>
  <c r="X23" i="18" s="1"/>
  <c r="W26" i="2"/>
  <c r="W6" i="18" s="1"/>
  <c r="V19" i="18"/>
  <c r="Y12" i="29"/>
  <c r="Y8" i="29"/>
  <c r="AC12" i="29"/>
  <c r="AC8" i="29"/>
  <c r="Z12" i="29"/>
  <c r="Z8" i="29"/>
  <c r="AB12" i="29"/>
  <c r="AB8" i="29"/>
  <c r="AM6" i="29"/>
  <c r="S8" i="29"/>
  <c r="S12" i="29"/>
  <c r="AN6" i="29"/>
  <c r="W12" i="29"/>
  <c r="W8" i="29"/>
  <c r="U12" i="29"/>
  <c r="U8" i="29"/>
  <c r="T12" i="29"/>
  <c r="T8" i="29"/>
  <c r="AA12" i="29"/>
  <c r="AA8" i="29"/>
  <c r="V12" i="29"/>
  <c r="V8" i="29"/>
  <c r="X12" i="29"/>
  <c r="X8" i="29"/>
  <c r="AO6" i="29"/>
  <c r="AD12" i="29"/>
  <c r="AD8" i="29"/>
  <c r="AO7" i="18"/>
  <c r="AM19" i="2"/>
  <c r="AN10" i="2"/>
  <c r="AN18" i="2"/>
  <c r="Z12" i="2"/>
  <c r="AO18" i="17"/>
  <c r="AO25" i="2"/>
  <c r="AN23" i="10"/>
  <c r="AM19" i="17"/>
  <c r="AN18" i="17"/>
  <c r="AO7" i="3"/>
  <c r="AO6" i="3" s="1"/>
  <c r="AN7" i="18"/>
  <c r="AO24" i="17"/>
  <c r="AN12" i="10"/>
  <c r="AN60" i="12"/>
  <c r="AO59" i="12" s="1"/>
  <c r="AO60" i="12" s="1"/>
  <c r="Z25" i="3"/>
  <c r="Z19" i="17"/>
  <c r="Y19" i="17"/>
  <c r="AN11" i="2"/>
  <c r="Z6" i="3"/>
  <c r="AN26" i="10"/>
  <c r="AN13" i="10"/>
  <c r="AN22" i="10"/>
  <c r="W11" i="18"/>
  <c r="AM6" i="18"/>
  <c r="AM6" i="10"/>
  <c r="Z19" i="2"/>
  <c r="AB21" i="17"/>
  <c r="AB25" i="17" s="1"/>
  <c r="AB27" i="17" s="1"/>
  <c r="Y59" i="12"/>
  <c r="Y60" i="12" s="1"/>
  <c r="W59" i="12"/>
  <c r="W60" i="12" s="1"/>
  <c r="Z59" i="12"/>
  <c r="Z60" i="12" s="1"/>
  <c r="X59" i="12"/>
  <c r="X60" i="12" s="1"/>
  <c r="AM30" i="10"/>
  <c r="AM31" i="10" s="1"/>
  <c r="AM25" i="10"/>
  <c r="T14" i="16"/>
  <c r="T11" i="16" s="1"/>
  <c r="Y19" i="2"/>
  <c r="AO10" i="17"/>
  <c r="AA21" i="17"/>
  <c r="AA25" i="17" s="1"/>
  <c r="AA27" i="17" s="1"/>
  <c r="AN25" i="3"/>
  <c r="U14" i="16"/>
  <c r="U11" i="16" s="1"/>
  <c r="Z11" i="18"/>
  <c r="S14" i="16"/>
  <c r="AM7" i="16"/>
  <c r="AM8" i="16"/>
  <c r="S15" i="16"/>
  <c r="T12" i="17"/>
  <c r="T21" i="17"/>
  <c r="T25" i="17" s="1"/>
  <c r="T27" i="17" s="1"/>
  <c r="U21" i="17"/>
  <c r="U25" i="17" s="1"/>
  <c r="U27" i="17" s="1"/>
  <c r="U12" i="17"/>
  <c r="Y12" i="2"/>
  <c r="Y22" i="2"/>
  <c r="X14" i="16"/>
  <c r="X11" i="16" s="1"/>
  <c r="S21" i="17"/>
  <c r="S25" i="17" s="1"/>
  <c r="S27" i="17" s="1"/>
  <c r="AM10" i="17"/>
  <c r="S12" i="17"/>
  <c r="V14" i="16"/>
  <c r="V11" i="16" s="1"/>
  <c r="AO10" i="2"/>
  <c r="AO23" i="10"/>
  <c r="AO7" i="16"/>
  <c r="AC21" i="17"/>
  <c r="AC25" i="17" s="1"/>
  <c r="AC27" i="17" s="1"/>
  <c r="S11" i="18"/>
  <c r="AM11" i="18" s="1"/>
  <c r="AM20" i="2"/>
  <c r="X12" i="17"/>
  <c r="X21" i="17"/>
  <c r="X25" i="17" s="1"/>
  <c r="X27" i="17" s="1"/>
  <c r="AN11" i="17"/>
  <c r="V21" i="17"/>
  <c r="V25" i="17" s="1"/>
  <c r="V27" i="17" s="1"/>
  <c r="V12" i="17"/>
  <c r="AN7" i="16"/>
  <c r="W14" i="16"/>
  <c r="AN9" i="10"/>
  <c r="Y14" i="16"/>
  <c r="Y11" i="16" s="1"/>
  <c r="Z14" i="16"/>
  <c r="Z11" i="16" s="1"/>
  <c r="AO11" i="2"/>
  <c r="AD21" i="17"/>
  <c r="AD25" i="17" s="1"/>
  <c r="AD27" i="17" s="1"/>
  <c r="AN10" i="17"/>
  <c r="W12" i="17"/>
  <c r="W21" i="17"/>
  <c r="W25" i="17" s="1"/>
  <c r="W27" i="17" s="1"/>
  <c r="Y12" i="17"/>
  <c r="Y21" i="17"/>
  <c r="Y25" i="17" s="1"/>
  <c r="Y27" i="17" s="1"/>
  <c r="AN6" i="3"/>
  <c r="Z21" i="17"/>
  <c r="Z25" i="17" s="1"/>
  <c r="Z27" i="17" s="1"/>
  <c r="Z12" i="17"/>
  <c r="AM12" i="2"/>
  <c r="AM22" i="2"/>
  <c r="AM26" i="2" s="1"/>
  <c r="AO8" i="16"/>
  <c r="Y11" i="18"/>
  <c r="AM17" i="10"/>
  <c r="AO18" i="2"/>
  <c r="Z22" i="2"/>
  <c r="AN17" i="10"/>
  <c r="AN8" i="16"/>
  <c r="W15" i="16"/>
  <c r="W19" i="18" l="1"/>
  <c r="S19" i="18"/>
  <c r="Y26" i="2"/>
  <c r="Y6" i="18" s="1"/>
  <c r="Y19" i="18" s="1"/>
  <c r="Y23" i="18" s="1"/>
  <c r="Z26" i="2"/>
  <c r="Z6" i="18" s="1"/>
  <c r="Z19" i="18" s="1"/>
  <c r="Z23" i="18" s="1"/>
  <c r="W23" i="18"/>
  <c r="AN11" i="18"/>
  <c r="AM9" i="10"/>
  <c r="AA59" i="12"/>
  <c r="AA60" i="12" s="1"/>
  <c r="AD59" i="12"/>
  <c r="AD60" i="12" s="1"/>
  <c r="AE59" i="12" s="1"/>
  <c r="AF59" i="12" s="1"/>
  <c r="AG59" i="12" s="1"/>
  <c r="AN12" i="29"/>
  <c r="AN8" i="29"/>
  <c r="AM12" i="29"/>
  <c r="AM8" i="29"/>
  <c r="AO12" i="29"/>
  <c r="AO8" i="29"/>
  <c r="AN19" i="17"/>
  <c r="AN22" i="2"/>
  <c r="AN26" i="2" s="1"/>
  <c r="AN19" i="2"/>
  <c r="AN12" i="2"/>
  <c r="AN30" i="10"/>
  <c r="AN31" i="10" s="1"/>
  <c r="AN25" i="10"/>
  <c r="W16" i="16"/>
  <c r="AN9" i="16"/>
  <c r="V16" i="16"/>
  <c r="AO6" i="18"/>
  <c r="AO19" i="18" s="1"/>
  <c r="AO23" i="18" s="1"/>
  <c r="U16" i="16"/>
  <c r="T16" i="16"/>
  <c r="AM14" i="16"/>
  <c r="AN21" i="17"/>
  <c r="AN25" i="17" s="1"/>
  <c r="AN27" i="17" s="1"/>
  <c r="AN12" i="17"/>
  <c r="AO22" i="2"/>
  <c r="AO26" i="2" s="1"/>
  <c r="AO12" i="2"/>
  <c r="Z16" i="16"/>
  <c r="AM15" i="16"/>
  <c r="W11" i="16"/>
  <c r="S11" i="16"/>
  <c r="AM9" i="16"/>
  <c r="S16" i="16"/>
  <c r="AN20" i="2"/>
  <c r="AN14" i="16"/>
  <c r="AM12" i="17"/>
  <c r="AM21" i="17"/>
  <c r="AM25" i="17" s="1"/>
  <c r="AM27" i="17" s="1"/>
  <c r="AO21" i="17"/>
  <c r="AO25" i="17" s="1"/>
  <c r="AO27" i="17" s="1"/>
  <c r="AC59" i="12"/>
  <c r="AC60" i="12" s="1"/>
  <c r="AB59" i="12"/>
  <c r="AB60" i="12" s="1"/>
  <c r="AN15" i="16"/>
  <c r="AO19" i="2"/>
  <c r="Y16" i="16"/>
  <c r="X16" i="16"/>
  <c r="AN6" i="18" l="1"/>
  <c r="AN19" i="18"/>
  <c r="AN23" i="18" s="1"/>
  <c r="X20" i="17"/>
  <c r="Y12" i="16"/>
  <c r="Y13" i="16"/>
  <c r="U12" i="16"/>
  <c r="U13" i="16"/>
  <c r="V12" i="16"/>
  <c r="V13" i="16"/>
  <c r="Z12" i="16"/>
  <c r="Z13" i="16"/>
  <c r="T12" i="16"/>
  <c r="T13" i="16"/>
  <c r="S12" i="16"/>
  <c r="S13" i="16"/>
  <c r="X12" i="16"/>
  <c r="X13" i="16"/>
  <c r="W12" i="16"/>
  <c r="W13" i="16"/>
  <c r="AN11" i="16"/>
  <c r="AM16" i="16"/>
  <c r="Z20" i="17"/>
  <c r="AM11" i="16"/>
  <c r="AN16" i="16"/>
  <c r="W20" i="17"/>
  <c r="AN12" i="16" l="1"/>
  <c r="AN13" i="16"/>
  <c r="AM12" i="16"/>
  <c r="AM13" i="16"/>
  <c r="AN21" i="2"/>
  <c r="AA20" i="17"/>
  <c r="AO14" i="10"/>
  <c r="Y20" i="17"/>
  <c r="AN20" i="17" s="1"/>
  <c r="AC34" i="17" l="1"/>
  <c r="AO17" i="10" l="1"/>
  <c r="AO20" i="2" l="1"/>
  <c r="AM16" i="10" l="1"/>
  <c r="AO26" i="10"/>
  <c r="T19" i="10"/>
  <c r="AO27" i="10"/>
  <c r="AM11" i="10" l="1"/>
  <c r="AN16" i="10"/>
  <c r="AO16" i="10"/>
  <c r="AN10" i="10"/>
  <c r="AO6" i="10"/>
  <c r="AO22" i="10"/>
  <c r="AO10" i="10"/>
  <c r="AM10" i="10"/>
  <c r="S19" i="10"/>
  <c r="AM18" i="10" l="1"/>
  <c r="AM19" i="10" s="1"/>
  <c r="AN11" i="10"/>
  <c r="AN18" i="10" s="1"/>
  <c r="AN19" i="10" s="1"/>
  <c r="AO9" i="16"/>
  <c r="AO9" i="10"/>
  <c r="AO30" i="10"/>
  <c r="AO31" i="10" s="1"/>
  <c r="AO25" i="10"/>
  <c r="AC36" i="17" l="1"/>
  <c r="AD48" i="17" l="1"/>
  <c r="R11" i="18"/>
  <c r="R19" i="18" s="1"/>
  <c r="Q11" i="18"/>
  <c r="Q19" i="18" s="1"/>
  <c r="P11" i="18"/>
  <c r="P19" i="18" s="1"/>
  <c r="N11" i="18"/>
  <c r="N19" i="18" s="1"/>
  <c r="M11" i="18"/>
  <c r="M19" i="18" s="1"/>
  <c r="L11" i="18"/>
  <c r="L19" i="18" s="1"/>
  <c r="J11" i="18"/>
  <c r="J19" i="18" s="1"/>
  <c r="I11" i="18"/>
  <c r="I19" i="18" s="1"/>
  <c r="H11" i="18"/>
  <c r="H19" i="18" s="1"/>
  <c r="F11" i="18"/>
  <c r="F19" i="18" s="1"/>
  <c r="E11" i="18"/>
  <c r="E19" i="18" s="1"/>
  <c r="D11" i="18"/>
  <c r="D19" i="18" s="1"/>
  <c r="C11" i="18" l="1"/>
  <c r="C19" i="18" s="1"/>
  <c r="AI20" i="2"/>
  <c r="K11" i="18"/>
  <c r="K19" i="18" s="1"/>
  <c r="G11" i="18"/>
  <c r="G19" i="18" s="1"/>
  <c r="O11" i="18"/>
  <c r="O19" i="18" s="1"/>
  <c r="AL20" i="2"/>
  <c r="AO37" i="17"/>
  <c r="AO13" i="10"/>
  <c r="AB42" i="17"/>
  <c r="AB43" i="17" s="1"/>
  <c r="AC48" i="17"/>
  <c r="Z48" i="17"/>
  <c r="AM41" i="17"/>
  <c r="T42" i="17"/>
  <c r="T43" i="17" s="1"/>
  <c r="V48" i="17"/>
  <c r="AM40" i="17"/>
  <c r="AO40" i="17"/>
  <c r="AM47" i="17"/>
  <c r="U42" i="17"/>
  <c r="U43" i="17" s="1"/>
  <c r="Y48" i="17"/>
  <c r="AL11" i="18" l="1"/>
  <c r="AJ11" i="18"/>
  <c r="AK11" i="18"/>
  <c r="AI11" i="18"/>
  <c r="AC42" i="17"/>
  <c r="AC43" i="17" s="1"/>
  <c r="AO47" i="17"/>
  <c r="AO38" i="17"/>
  <c r="AM38" i="17"/>
  <c r="AD42" i="17"/>
  <c r="AD43" i="17" s="1"/>
  <c r="X48" i="17"/>
  <c r="AN38" i="17"/>
  <c r="T48" i="17"/>
  <c r="X42" i="17"/>
  <c r="Z42" i="17"/>
  <c r="AN40" i="17"/>
  <c r="AN41" i="17"/>
  <c r="U48" i="17"/>
  <c r="V42" i="17"/>
  <c r="V43" i="17" s="1"/>
  <c r="AB48" i="17"/>
  <c r="L36" i="17"/>
  <c r="R43" i="17"/>
  <c r="R36" i="17"/>
  <c r="AK35" i="17"/>
  <c r="K36" i="17"/>
  <c r="AL35" i="17"/>
  <c r="O43" i="17"/>
  <c r="O36" i="17"/>
  <c r="Q43" i="17"/>
  <c r="Q36" i="17"/>
  <c r="N36" i="17"/>
  <c r="M36" i="17"/>
  <c r="P43" i="17"/>
  <c r="P36" i="17"/>
  <c r="AO39" i="17"/>
  <c r="AA42" i="17"/>
  <c r="W42" i="17"/>
  <c r="AN37" i="17"/>
  <c r="AM39" i="17"/>
  <c r="AN39" i="17"/>
  <c r="AN47" i="17"/>
  <c r="AA48" i="17"/>
  <c r="AO46" i="17"/>
  <c r="AM46" i="17"/>
  <c r="AM48" i="17" s="1"/>
  <c r="S48" i="17"/>
  <c r="Y42" i="17"/>
  <c r="AM37" i="17"/>
  <c r="S42" i="17"/>
  <c r="AO12" i="10"/>
  <c r="W48" i="17"/>
  <c r="AN46" i="17"/>
  <c r="AO41" i="17"/>
  <c r="AO35" i="17"/>
  <c r="T34" i="17"/>
  <c r="AC45" i="17" l="1"/>
  <c r="AC49" i="17" s="1"/>
  <c r="AO11" i="10"/>
  <c r="AO48" i="17"/>
  <c r="AM42" i="17"/>
  <c r="AO33" i="17"/>
  <c r="Z43" i="17"/>
  <c r="AO42" i="17"/>
  <c r="AO43" i="17" s="1"/>
  <c r="AB34" i="17"/>
  <c r="AB45" i="17" s="1"/>
  <c r="AB49" i="17" s="1"/>
  <c r="AN48" i="17"/>
  <c r="AO31" i="17"/>
  <c r="Y34" i="17"/>
  <c r="Y45" i="17" s="1"/>
  <c r="Y49" i="17" s="1"/>
  <c r="AM32" i="17"/>
  <c r="X43" i="17"/>
  <c r="AM35" i="17"/>
  <c r="AK43" i="17"/>
  <c r="AK36" i="17"/>
  <c r="AL43" i="17"/>
  <c r="AL36" i="17"/>
  <c r="AA34" i="17"/>
  <c r="AO30" i="17"/>
  <c r="AN31" i="17"/>
  <c r="AM33" i="17"/>
  <c r="AM31" i="17"/>
  <c r="S43" i="17"/>
  <c r="Z34" i="17"/>
  <c r="AM30" i="17"/>
  <c r="S34" i="17"/>
  <c r="AN35" i="17"/>
  <c r="AO32" i="17"/>
  <c r="Y43" i="17"/>
  <c r="T36" i="17"/>
  <c r="T45" i="17"/>
  <c r="T49" i="17" s="1"/>
  <c r="X34" i="17"/>
  <c r="AN30" i="17"/>
  <c r="W34" i="17"/>
  <c r="V34" i="17"/>
  <c r="AD34" i="17"/>
  <c r="U34" i="17"/>
  <c r="AN42" i="17"/>
  <c r="W43" i="17"/>
  <c r="AN32" i="17"/>
  <c r="AN33" i="17"/>
  <c r="AA43" i="17"/>
  <c r="AM43" i="17" l="1"/>
  <c r="AO18" i="10"/>
  <c r="AO19" i="10" s="1"/>
  <c r="AB36" i="17"/>
  <c r="Y36" i="17"/>
  <c r="W45" i="17"/>
  <c r="W49" i="17" s="1"/>
  <c r="AN34" i="17"/>
  <c r="W36" i="17"/>
  <c r="X36" i="17"/>
  <c r="X45" i="17"/>
  <c r="X49" i="17" s="1"/>
  <c r="AM34" i="17"/>
  <c r="S45" i="17"/>
  <c r="S49" i="17" s="1"/>
  <c r="S36" i="17"/>
  <c r="V36" i="17"/>
  <c r="V45" i="17"/>
  <c r="V49" i="17" s="1"/>
  <c r="AO21" i="2"/>
  <c r="Z45" i="17"/>
  <c r="Z49" i="17" s="1"/>
  <c r="Z36" i="17"/>
  <c r="AN43" i="17"/>
  <c r="U45" i="17"/>
  <c r="U49" i="17" s="1"/>
  <c r="U36" i="17"/>
  <c r="AD45" i="17"/>
  <c r="AD49" i="17" s="1"/>
  <c r="AD36" i="17"/>
  <c r="AA45" i="17"/>
  <c r="AA49" i="17" s="1"/>
  <c r="AO34" i="17"/>
  <c r="AA36" i="17"/>
  <c r="AO45" i="17" l="1"/>
  <c r="AO49" i="17" s="1"/>
  <c r="AO36" i="17"/>
  <c r="AN36" i="17"/>
  <c r="AN45" i="17"/>
  <c r="AN49" i="17" s="1"/>
  <c r="AM36" i="17"/>
  <c r="AM45" i="17"/>
  <c r="AM49" i="17" s="1"/>
  <c r="AN44" i="17" l="1"/>
  <c r="AD20" i="17" l="1"/>
  <c r="AO44" i="17" l="1"/>
  <c r="N23" i="18" l="1"/>
  <c r="U23" i="18"/>
  <c r="L23" i="18"/>
  <c r="J23" i="18"/>
  <c r="V23" i="18"/>
  <c r="R23" i="18"/>
  <c r="P23" i="18"/>
  <c r="D23" i="18"/>
  <c r="Q23" i="18"/>
  <c r="I23" i="18"/>
  <c r="H23" i="18"/>
  <c r="F23" i="18"/>
  <c r="E23" i="18"/>
  <c r="M23" i="18"/>
  <c r="T23" i="18"/>
  <c r="K23" i="18"/>
  <c r="O23" i="18"/>
  <c r="G23" i="18"/>
  <c r="C23" i="18"/>
  <c r="S23" i="18"/>
  <c r="AM8" i="18" l="1"/>
  <c r="AM19" i="18" s="1"/>
  <c r="AM23" i="18" s="1"/>
  <c r="AI8" i="18"/>
  <c r="AI19" i="18" s="1"/>
  <c r="AI23" i="18" s="1"/>
  <c r="AJ8" i="18"/>
  <c r="AJ19" i="18" s="1"/>
  <c r="AJ23" i="18" s="1"/>
  <c r="AL8" i="18"/>
  <c r="AL19" i="18" s="1"/>
  <c r="AL23" i="18" s="1"/>
  <c r="AK8" i="18"/>
  <c r="AK19" i="18" s="1"/>
  <c r="AK23" i="18" s="1"/>
  <c r="AI31" i="16"/>
  <c r="AI27" i="16" s="1"/>
  <c r="AL31" i="16"/>
  <c r="AL27" i="16" s="1"/>
  <c r="AK31" i="16"/>
  <c r="AK27" i="16" s="1"/>
  <c r="AJ31" i="16"/>
  <c r="AJ27" i="16" s="1"/>
  <c r="AM31" i="16"/>
  <c r="AM27" i="16" s="1"/>
  <c r="AO31" i="3" l="1"/>
  <c r="AO26" i="3" s="1"/>
  <c r="AO25" i="3" s="1"/>
  <c r="AO8" i="8" l="1"/>
  <c r="AF20" i="16" l="1"/>
  <c r="AE6" i="8" l="1"/>
  <c r="AE6" i="16"/>
  <c r="AE20" i="16" s="1"/>
  <c r="AO15" i="8" l="1"/>
  <c r="AO7" i="8"/>
  <c r="AO6" i="8" s="1"/>
  <c r="AO6" i="16" l="1"/>
  <c r="AO28" i="16" l="1"/>
  <c r="AO16" i="16"/>
  <c r="AO29" i="16"/>
  <c r="AO17" i="16"/>
  <c r="AO31" i="16"/>
  <c r="AO30" i="16"/>
  <c r="AO20" i="16"/>
  <c r="AO15" i="16"/>
  <c r="AO14" i="16"/>
  <c r="AO27" i="16" l="1"/>
  <c r="AO11" i="16"/>
  <c r="AO12" i="16"/>
  <c r="AO13" i="16"/>
  <c r="AO26" i="16"/>
  <c r="AO25" i="16"/>
  <c r="AO14" i="8" l="1"/>
  <c r="AO13" i="8" l="1"/>
  <c r="AO12" i="8" s="1"/>
  <c r="AG24" i="10" l="1"/>
  <c r="AF24" i="10"/>
  <c r="AE24" i="10"/>
  <c r="AG8" i="16"/>
  <c r="AG15" i="16" s="1"/>
  <c r="AF8" i="16"/>
  <c r="AF15" i="16" s="1"/>
  <c r="AE8" i="16"/>
  <c r="AE15" i="16" s="1"/>
  <c r="AF7" i="16"/>
  <c r="AF14" i="16" s="1"/>
  <c r="AE10" i="29"/>
  <c r="AE9" i="29"/>
  <c r="AE7" i="29" s="1"/>
  <c r="AE47" i="17"/>
  <c r="AG39" i="17"/>
  <c r="AE32" i="17"/>
  <c r="AF31" i="17"/>
  <c r="AF11" i="16" l="1"/>
  <c r="AG12" i="18"/>
  <c r="AF12" i="18"/>
  <c r="AE31" i="17"/>
  <c r="AG33" i="17"/>
  <c r="AF39" i="17"/>
  <c r="AF47" i="17"/>
  <c r="AE41" i="17"/>
  <c r="AF39" i="3"/>
  <c r="AG40" i="17"/>
  <c r="AE33" i="17"/>
  <c r="AF24" i="17"/>
  <c r="AF32" i="17"/>
  <c r="AG32" i="17"/>
  <c r="AG47" i="17"/>
  <c r="AG38" i="17"/>
  <c r="AF33" i="17"/>
  <c r="AG24" i="17"/>
  <c r="AE38" i="17"/>
  <c r="AF38" i="17"/>
  <c r="AE24" i="17"/>
  <c r="AE39" i="17"/>
  <c r="AF40" i="17"/>
  <c r="AG41" i="17"/>
  <c r="AE12" i="18"/>
  <c r="AE44" i="12"/>
  <c r="AF9" i="29"/>
  <c r="AE6" i="10"/>
  <c r="AE16" i="3"/>
  <c r="AF45" i="3"/>
  <c r="AF19" i="12"/>
  <c r="AF10" i="29"/>
  <c r="AG39" i="3"/>
  <c r="AE30" i="17"/>
  <c r="AE10" i="2"/>
  <c r="AF46" i="17"/>
  <c r="AF25" i="2"/>
  <c r="AF7" i="18" s="1"/>
  <c r="AF44" i="12"/>
  <c r="AF57" i="12"/>
  <c r="AG7" i="16"/>
  <c r="AG14" i="16" s="1"/>
  <c r="AG10" i="17"/>
  <c r="AF6" i="10"/>
  <c r="AF9" i="16" s="1"/>
  <c r="AF16" i="16" s="1"/>
  <c r="AF7" i="3"/>
  <c r="AF59" i="3"/>
  <c r="AF16" i="3"/>
  <c r="AG45" i="3"/>
  <c r="AF30" i="17"/>
  <c r="AF10" i="2"/>
  <c r="AG31" i="17"/>
  <c r="AE40" i="17"/>
  <c r="AF41" i="17"/>
  <c r="AG25" i="2"/>
  <c r="AG7" i="18" s="1"/>
  <c r="AG46" i="17"/>
  <c r="AE19" i="12"/>
  <c r="AE23" i="10"/>
  <c r="AG6" i="10"/>
  <c r="AG9" i="16" s="1"/>
  <c r="AG16" i="16" s="1"/>
  <c r="AG7" i="3"/>
  <c r="AG59" i="3"/>
  <c r="AG16" i="3"/>
  <c r="AE7" i="3"/>
  <c r="AE59" i="3"/>
  <c r="AG30" i="17"/>
  <c r="AG10" i="2"/>
  <c r="AE18" i="17"/>
  <c r="AF23" i="10"/>
  <c r="AE60" i="3"/>
  <c r="AE7" i="12"/>
  <c r="AF18" i="17"/>
  <c r="AG23" i="10"/>
  <c r="AF26" i="3"/>
  <c r="AE39" i="3"/>
  <c r="AE37" i="17"/>
  <c r="AE18" i="2"/>
  <c r="AF7" i="12"/>
  <c r="AG18" i="17"/>
  <c r="AG60" i="3"/>
  <c r="AE57" i="12"/>
  <c r="AF10" i="17"/>
  <c r="AF37" i="17"/>
  <c r="AF18" i="2"/>
  <c r="AE46" i="17"/>
  <c r="AE48" i="17" s="1"/>
  <c r="AE25" i="2"/>
  <c r="AE7" i="18" s="1"/>
  <c r="AG37" i="17"/>
  <c r="AG18" i="2"/>
  <c r="AE10" i="17"/>
  <c r="AE7" i="16"/>
  <c r="AE14" i="16" s="1"/>
  <c r="AE45" i="3"/>
  <c r="AF12" i="16" l="1"/>
  <c r="AE34" i="17"/>
  <c r="AF6" i="3"/>
  <c r="AE6" i="3"/>
  <c r="AE26" i="3"/>
  <c r="AE25" i="3" s="1"/>
  <c r="AF34" i="17"/>
  <c r="AF7" i="29"/>
  <c r="AF48" i="17"/>
  <c r="AG9" i="29"/>
  <c r="AE38" i="12"/>
  <c r="AE58" i="12" s="1"/>
  <c r="AE60" i="12" s="1"/>
  <c r="AG48" i="17"/>
  <c r="AG42" i="17"/>
  <c r="AE42" i="17"/>
  <c r="AF25" i="3"/>
  <c r="AG58" i="3"/>
  <c r="AG10" i="29"/>
  <c r="AF42" i="17"/>
  <c r="AF38" i="12"/>
  <c r="AF58" i="12" s="1"/>
  <c r="AE58" i="3"/>
  <c r="AG19" i="12"/>
  <c r="AF21" i="17"/>
  <c r="AF25" i="17" s="1"/>
  <c r="AF27" i="17" s="1"/>
  <c r="AF6" i="29"/>
  <c r="AF22" i="2"/>
  <c r="AE9" i="16"/>
  <c r="AE16" i="16" s="1"/>
  <c r="AE12" i="16" s="1"/>
  <c r="AG26" i="3"/>
  <c r="AG25" i="3" s="1"/>
  <c r="AG44" i="12"/>
  <c r="AG22" i="2"/>
  <c r="AE22" i="2"/>
  <c r="AE21" i="17"/>
  <c r="AE25" i="17" s="1"/>
  <c r="AE27" i="17" s="1"/>
  <c r="AE6" i="29"/>
  <c r="AE8" i="29" s="1"/>
  <c r="AG34" i="17"/>
  <c r="AG6" i="29"/>
  <c r="AG21" i="17"/>
  <c r="AG25" i="17" s="1"/>
  <c r="AG27" i="17" s="1"/>
  <c r="AF60" i="3"/>
  <c r="AF58" i="3" s="1"/>
  <c r="AG12" i="16"/>
  <c r="AG11" i="16"/>
  <c r="AE11" i="16"/>
  <c r="AG6" i="3"/>
  <c r="AF8" i="29" l="1"/>
  <c r="AG7" i="29"/>
  <c r="AG8" i="29"/>
  <c r="AG57" i="12"/>
  <c r="AF60" i="12"/>
  <c r="AE26" i="2"/>
  <c r="AE6" i="18" s="1"/>
  <c r="AE45" i="17"/>
  <c r="AE49" i="17" s="1"/>
  <c r="AG45" i="17"/>
  <c r="AG49" i="17" s="1"/>
  <c r="AG26" i="2"/>
  <c r="AG6" i="18" s="1"/>
  <c r="AF26" i="2"/>
  <c r="AF6" i="18" s="1"/>
  <c r="AF45" i="17"/>
  <c r="AF49" i="17" s="1"/>
  <c r="AG38" i="12" l="1"/>
  <c r="AG58" i="12" s="1"/>
  <c r="AG60" i="12" s="1"/>
  <c r="AG11" i="29" l="1"/>
  <c r="AG12" i="29" s="1"/>
  <c r="AG10" i="16"/>
  <c r="AG17" i="16" s="1"/>
  <c r="AG13" i="16" s="1"/>
  <c r="AG11" i="10" l="1"/>
  <c r="AG18" i="10" s="1"/>
  <c r="AG19" i="10" l="1"/>
  <c r="AG25" i="10"/>
  <c r="AG22" i="10" s="1"/>
  <c r="AG30" i="10" s="1"/>
  <c r="AG31" i="10" s="1"/>
  <c r="AG19" i="17" l="1"/>
  <c r="AG12" i="17"/>
  <c r="AF11" i="29" l="1"/>
  <c r="AF12" i="29" s="1"/>
  <c r="AE11" i="29"/>
  <c r="AE12" i="29" s="1"/>
  <c r="AF10" i="16" l="1"/>
  <c r="AF17" i="16" s="1"/>
  <c r="AF13" i="16" s="1"/>
  <c r="AD19" i="17" l="1"/>
  <c r="AD12" i="17"/>
  <c r="AE19" i="17"/>
  <c r="AE12" i="17"/>
  <c r="AE10" i="16"/>
  <c r="AE17" i="16" s="1"/>
  <c r="AE13" i="16" s="1"/>
  <c r="AF19" i="2"/>
  <c r="AF12" i="2"/>
  <c r="AE35" i="17"/>
  <c r="AE19" i="2"/>
  <c r="AE12" i="2"/>
  <c r="AC12" i="17"/>
  <c r="AC19" i="17"/>
  <c r="AB19" i="17"/>
  <c r="AB12" i="17"/>
  <c r="AF19" i="17" l="1"/>
  <c r="AF12" i="17"/>
  <c r="AE43" i="17"/>
  <c r="AE36" i="17"/>
  <c r="AF35" i="17"/>
  <c r="AF36" i="17" l="1"/>
  <c r="AF43" i="17"/>
  <c r="AE18" i="8" l="1"/>
  <c r="AG11" i="18" l="1"/>
  <c r="AG19" i="18" s="1"/>
  <c r="AG23" i="18" s="1"/>
  <c r="AG18" i="8"/>
  <c r="AG35" i="17"/>
  <c r="AG12" i="2"/>
  <c r="AG19" i="2"/>
  <c r="AO11" i="17"/>
  <c r="AA12" i="17"/>
  <c r="AA19" i="17"/>
  <c r="AF11" i="10"/>
  <c r="AF18" i="10" s="1"/>
  <c r="AE11" i="10"/>
  <c r="AE18" i="10" s="1"/>
  <c r="AO12" i="17" l="1"/>
  <c r="AO19" i="17"/>
  <c r="AF19" i="10"/>
  <c r="AF25" i="10"/>
  <c r="AF22" i="10" s="1"/>
  <c r="AF30" i="10" s="1"/>
  <c r="AF31" i="10" s="1"/>
  <c r="AE19" i="10"/>
  <c r="AE25" i="10"/>
  <c r="AE22" i="10" s="1"/>
  <c r="AE30" i="10" s="1"/>
  <c r="AE31" i="10" s="1"/>
  <c r="AF18" i="8"/>
  <c r="AG43" i="17"/>
  <c r="AG36" i="17"/>
  <c r="AF11" i="18" l="1"/>
  <c r="AF19" i="18" s="1"/>
  <c r="AF23" i="18" s="1"/>
  <c r="AE11" i="18"/>
  <c r="AE19" i="18" s="1"/>
  <c r="AE23" i="18" s="1"/>
  <c r="AF20" i="17"/>
  <c r="AF44" i="17" s="1"/>
  <c r="AG20" i="17"/>
  <c r="AG44" i="17" s="1"/>
  <c r="AB20" i="17"/>
  <c r="AE20" i="17" l="1"/>
  <c r="AE44" i="17"/>
  <c r="AC20" i="17"/>
  <c r="AO20" i="17" s="1"/>
</calcChain>
</file>

<file path=xl/sharedStrings.xml><?xml version="1.0" encoding="utf-8"?>
<sst xmlns="http://schemas.openxmlformats.org/spreadsheetml/2006/main" count="1405" uniqueCount="233">
  <si>
    <t>Other Financial Income</t>
  </si>
  <si>
    <t>Financial Income</t>
  </si>
  <si>
    <t>Net Revenue from Sales</t>
  </si>
  <si>
    <t>Net Revenue from Transaction Activities and Other Services</t>
  </si>
  <si>
    <t>2Q19</t>
  </si>
  <si>
    <t>1Q19</t>
  </si>
  <si>
    <t>4Q18</t>
  </si>
  <si>
    <t>3Q18</t>
  </si>
  <si>
    <t>2Q18</t>
  </si>
  <si>
    <t>1Q18</t>
  </si>
  <si>
    <t>4Q17</t>
  </si>
  <si>
    <t>3Q17</t>
  </si>
  <si>
    <t>2Q17</t>
  </si>
  <si>
    <t>1Q17</t>
  </si>
  <si>
    <t>4Q16</t>
  </si>
  <si>
    <t>3Q16</t>
  </si>
  <si>
    <t>2Q16</t>
  </si>
  <si>
    <t>1Q16</t>
  </si>
  <si>
    <t>4Q15</t>
  </si>
  <si>
    <t>3Q15</t>
  </si>
  <si>
    <t>2Q15</t>
  </si>
  <si>
    <t>1Q15</t>
  </si>
  <si>
    <t>GAAP | R$ million</t>
  </si>
  <si>
    <t>Cost of Sales and Services</t>
  </si>
  <si>
    <t>Selling Expenses</t>
  </si>
  <si>
    <t>Administrative Expenses</t>
  </si>
  <si>
    <t>Financial Expenses</t>
  </si>
  <si>
    <t>Other Expenses, Net</t>
  </si>
  <si>
    <t>Deferred Income Tax and Social Contribution</t>
  </si>
  <si>
    <t>Current Income Tax and Social Contribution</t>
  </si>
  <si>
    <t>NON-GAAP | R$ million</t>
  </si>
  <si>
    <t>BALANCE SHEET</t>
  </si>
  <si>
    <t>http://investors.pagseguro.com/</t>
  </si>
  <si>
    <t>R$ million</t>
  </si>
  <si>
    <t>Non-controlling interests</t>
  </si>
  <si>
    <t>Inventories</t>
  </si>
  <si>
    <t>Investment</t>
  </si>
  <si>
    <t>INCOME STATEMENT | GAAP</t>
  </si>
  <si>
    <t>INCOME STATEMENT | NON-GAAP</t>
  </si>
  <si>
    <t>Cash and Cash Equivalents</t>
  </si>
  <si>
    <t>Financial Investments</t>
  </si>
  <si>
    <t>Receivables from Related Parties</t>
  </si>
  <si>
    <t>Taxes Recoverable</t>
  </si>
  <si>
    <t>Other Receivables</t>
  </si>
  <si>
    <t>Judicial Deposits</t>
  </si>
  <si>
    <t>Payables to Third Parties</t>
  </si>
  <si>
    <t>Trade Payables</t>
  </si>
  <si>
    <t>Prepaid Expenses</t>
  </si>
  <si>
    <t>Property and Equipment</t>
  </si>
  <si>
    <t>Intangible Assets</t>
  </si>
  <si>
    <t>Payables to Related Parties</t>
  </si>
  <si>
    <t>Salaries and Social Charges</t>
  </si>
  <si>
    <t>Taxes and Contributions</t>
  </si>
  <si>
    <t>Provision for Contingencies</t>
  </si>
  <si>
    <t>Other Payables</t>
  </si>
  <si>
    <t>Share Capital</t>
  </si>
  <si>
    <t>Legal Reserve</t>
  </si>
  <si>
    <t>Capital Reserve</t>
  </si>
  <si>
    <t>Equity Valuation Adjustments</t>
  </si>
  <si>
    <t>Profit Retention Reserve</t>
  </si>
  <si>
    <t>Treasury Shares</t>
  </si>
  <si>
    <t>Derivative Financial Instruments</t>
  </si>
  <si>
    <t xml:space="preserve">Borrowings </t>
  </si>
  <si>
    <t>Dividends Payable and Interest on own Capital</t>
  </si>
  <si>
    <t>Net Parent Investment</t>
  </si>
  <si>
    <t>Profit of the Period</t>
  </si>
  <si>
    <t>Chargebacks</t>
  </si>
  <si>
    <t>Transactions Costs</t>
  </si>
  <si>
    <t>Cost of Goods Sold</t>
  </si>
  <si>
    <t>Marketing and Advertising</t>
  </si>
  <si>
    <t>Personnel Expenses</t>
  </si>
  <si>
    <t>Depreciation and Amortization</t>
  </si>
  <si>
    <t>OPERATING FIGURES</t>
  </si>
  <si>
    <t>Accrual of Provision for Contingencies</t>
  </si>
  <si>
    <t>Share based Long Term Incentive Plan (LTIP)</t>
  </si>
  <si>
    <t>Inventory Provisions</t>
  </si>
  <si>
    <t>Other Financial Cost, Net</t>
  </si>
  <si>
    <t>Receivables from (Payables to) Related Parties</t>
  </si>
  <si>
    <t>Non-controlling Interests</t>
  </si>
  <si>
    <t>Amount paid on Acquisitions, Net of Cash Acquired</t>
  </si>
  <si>
    <t>Purchases of Property and Equipment</t>
  </si>
  <si>
    <t>Purchases and Development of Intangible Assets</t>
  </si>
  <si>
    <t>Acquisition of Financial Investments</t>
  </si>
  <si>
    <t>Redemption of Financial Investments</t>
  </si>
  <si>
    <t>Payment of Borrowings</t>
  </si>
  <si>
    <t>Payment of Derivative Financial Instruments</t>
  </si>
  <si>
    <t>Distribution of Dividends</t>
  </si>
  <si>
    <t>Proceeds from Offering of Shares</t>
  </si>
  <si>
    <t>Capital Increase</t>
  </si>
  <si>
    <t>Transactional Costs</t>
  </si>
  <si>
    <t>Acquisition of Treasury Shares</t>
  </si>
  <si>
    <t>Changes in Operating Assets and Liabilities</t>
  </si>
  <si>
    <t>Interest Income received</t>
  </si>
  <si>
    <t xml:space="preserve">Income Tax and Social Contribution paid </t>
  </si>
  <si>
    <t>Transaction with non-controlling Interest</t>
  </si>
  <si>
    <t>Capital Increase by non-controlling Shareholders</t>
  </si>
  <si>
    <t>Cash and Cash Equivalents at the beginning of the Period</t>
  </si>
  <si>
    <t>Cash and Cash Equivalents at the end of the Period</t>
  </si>
  <si>
    <t>Unrealizes on Derivative Instruments</t>
  </si>
  <si>
    <t>Proceeds from Borrowings</t>
  </si>
  <si>
    <t>Interest Paid</t>
  </si>
  <si>
    <t>3Q19</t>
  </si>
  <si>
    <t>4Q19</t>
  </si>
  <si>
    <t>Other Comprehensive Income</t>
  </si>
  <si>
    <t>1Q20</t>
  </si>
  <si>
    <t>TAKE RATE</t>
  </si>
  <si>
    <t>Net Take Rate</t>
  </si>
  <si>
    <t>2Q20</t>
  </si>
  <si>
    <t>Others</t>
  </si>
  <si>
    <t>Interchange and Card Scheme Fee (ITC)</t>
  </si>
  <si>
    <t>Deposits</t>
  </si>
  <si>
    <t>Other (Expenses) Income, Net</t>
  </si>
  <si>
    <t>3Q20</t>
  </si>
  <si>
    <t>Expenses (Revenues) not affecting Cash</t>
  </si>
  <si>
    <t xml:space="preserve">Reversal of Taxes and Contributions </t>
  </si>
  <si>
    <t>Financial Investments (Mandatory Guarantee)</t>
  </si>
  <si>
    <t>Net Cash provided by (used in) Operating Activities</t>
  </si>
  <si>
    <t>Net Cash provided by (used in) Investing Activities</t>
  </si>
  <si>
    <t>Net Cash provided by (used in) Financing Activities</t>
  </si>
  <si>
    <t>Increase (Decrease) in Cash and Cash Equivalents</t>
  </si>
  <si>
    <t>Accounts Receivable</t>
  </si>
  <si>
    <t>Other Liabilities</t>
  </si>
  <si>
    <t>4Q20</t>
  </si>
  <si>
    <t>Total Revenue and Income</t>
  </si>
  <si>
    <t>Total Revenue and Income (ex-ITC)</t>
  </si>
  <si>
    <t>Total Costs and Expenses</t>
  </si>
  <si>
    <t>Total Costs and Expenses (ex-ITC)</t>
  </si>
  <si>
    <t>EBT</t>
  </si>
  <si>
    <t>Income Tax and Social Contribution</t>
  </si>
  <si>
    <t>Net Income</t>
  </si>
  <si>
    <t>Deferred Revenue</t>
  </si>
  <si>
    <t>6M17</t>
  </si>
  <si>
    <t>9M17</t>
  </si>
  <si>
    <t>6M18</t>
  </si>
  <si>
    <t>9M18</t>
  </si>
  <si>
    <t>6M19</t>
  </si>
  <si>
    <t>9M19</t>
  </si>
  <si>
    <t>6M20</t>
  </si>
  <si>
    <t>9M20</t>
  </si>
  <si>
    <t>1Q21</t>
  </si>
  <si>
    <t>Account Receivables</t>
  </si>
  <si>
    <t>Transaction Activities and Other Services</t>
  </si>
  <si>
    <t>Gross Take Rate</t>
  </si>
  <si>
    <t>Adjusted EBITDA</t>
  </si>
  <si>
    <t>Merchants</t>
  </si>
  <si>
    <t>Consumers</t>
  </si>
  <si>
    <t>Earnings before Income Taxes</t>
  </si>
  <si>
    <t>Loss on disposal of property, equipment and intangible assets</t>
  </si>
  <si>
    <t>Payment of leases</t>
  </si>
  <si>
    <t>2Q21</t>
  </si>
  <si>
    <t>6M21</t>
  </si>
  <si>
    <t>Net Income | GAAP</t>
  </si>
  <si>
    <t>Exchange Rate Expenses</t>
  </si>
  <si>
    <t>LTIP Expenses</t>
  </si>
  <si>
    <t>3Q21</t>
  </si>
  <si>
    <t>9M21</t>
  </si>
  <si>
    <t>Interest accrued</t>
  </si>
  <si>
    <t>Assets</t>
  </si>
  <si>
    <t>Current Assets</t>
  </si>
  <si>
    <t>Non-Current Assets</t>
  </si>
  <si>
    <t>Liabilities and Equity</t>
  </si>
  <si>
    <t>Current Liabilities</t>
  </si>
  <si>
    <t>Non-Current Liabilities</t>
  </si>
  <si>
    <t>Other Financial Income, Net</t>
  </si>
  <si>
    <t>ADJUSTED EBITDA</t>
  </si>
  <si>
    <t>Active Merchants</t>
  </si>
  <si>
    <t>Total Credit Portfolio</t>
  </si>
  <si>
    <t>Credit Cards</t>
  </si>
  <si>
    <t>4Q21</t>
  </si>
  <si>
    <t>Card Interchange</t>
  </si>
  <si>
    <t>Card Scheme Fees</t>
  </si>
  <si>
    <t>Gross Profit</t>
  </si>
  <si>
    <t>Total Payment Volume</t>
  </si>
  <si>
    <t>Net Income | Non-GAAP</t>
  </si>
  <si>
    <t>Net Interest Income</t>
  </si>
  <si>
    <t>Financial Instruments</t>
  </si>
  <si>
    <t>PagSeguro</t>
  </si>
  <si>
    <t>PagBank</t>
  </si>
  <si>
    <t>6M16</t>
  </si>
  <si>
    <t>9M16</t>
  </si>
  <si>
    <t>6M15</t>
  </si>
  <si>
    <t>9M15</t>
  </si>
  <si>
    <t>Tax Provision Reversal</t>
  </si>
  <si>
    <t>Total Revenues and Income</t>
  </si>
  <si>
    <r>
      <t xml:space="preserve">PagBank P&amp;L | </t>
    </r>
    <r>
      <rPr>
        <sz val="8"/>
        <color theme="1"/>
        <rFont val="Arial"/>
        <family val="2"/>
      </rPr>
      <t>R$ Million</t>
    </r>
  </si>
  <si>
    <t>NON-GAAP Effects | R$ million</t>
  </si>
  <si>
    <t>-</t>
  </si>
  <si>
    <t>1Q22</t>
  </si>
  <si>
    <t>PAGS Take Rate | R$ million</t>
  </si>
  <si>
    <t>R$ billion</t>
  </si>
  <si>
    <t>million</t>
  </si>
  <si>
    <t>Capex | R$ million</t>
  </si>
  <si>
    <t>Total Deposits</t>
  </si>
  <si>
    <t>Working Capital</t>
  </si>
  <si>
    <t>Net Take Rate ex-Financial Expenses</t>
  </si>
  <si>
    <t>PagSeguro TPV</t>
  </si>
  <si>
    <t>Capital Expenditures</t>
  </si>
  <si>
    <t>CapEx per Sales | %</t>
  </si>
  <si>
    <t>D&amp;A per Sales | %</t>
  </si>
  <si>
    <t>CAPITAL EXPENDITURES</t>
  </si>
  <si>
    <t>CASH FLOW</t>
  </si>
  <si>
    <t xml:space="preserve">Card Scheme Fee </t>
  </si>
  <si>
    <t>PAGBANK</t>
  </si>
  <si>
    <t>Acquiring Take Rate | R$ million</t>
  </si>
  <si>
    <t>Opex and Other Costs</t>
  </si>
  <si>
    <t>Equity</t>
  </si>
  <si>
    <t>2Q22</t>
  </si>
  <si>
    <t>Interchange and Card Scheme Fee</t>
  </si>
  <si>
    <t>6M22</t>
  </si>
  <si>
    <t>PagBank Clients</t>
  </si>
  <si>
    <t>PagBank Active Clients</t>
  </si>
  <si>
    <t>Checking Accounts</t>
  </si>
  <si>
    <t>Savings Accounts</t>
  </si>
  <si>
    <t>Cash Position</t>
  </si>
  <si>
    <t>Liabilities</t>
  </si>
  <si>
    <t>POS Write-off</t>
  </si>
  <si>
    <t>3Q22</t>
  </si>
  <si>
    <t>9M22</t>
  </si>
  <si>
    <t>Payment of Borrowings Interest</t>
  </si>
  <si>
    <t>Payroll Loan + FGTS</t>
  </si>
  <si>
    <t>TOTAL COSTS AND EXPENSES</t>
  </si>
  <si>
    <t/>
  </si>
  <si>
    <t>Non-Recurring Adjustments</t>
  </si>
  <si>
    <t>Net Income | Recurring</t>
  </si>
  <si>
    <t>Adjusted EBITDA | Recurring</t>
  </si>
  <si>
    <t>M&amp;A Expenses</t>
  </si>
  <si>
    <t>PagPhone net realizable value reversal</t>
  </si>
  <si>
    <t>Software's disposals</t>
  </si>
  <si>
    <t>Boleto Flex impairment</t>
  </si>
  <si>
    <t>Agreement with POS supplier</t>
  </si>
  <si>
    <t>Digital Losses</t>
  </si>
  <si>
    <t>PagPhone write-off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</si>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</sst>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&quot;  &quot;;\(#,##0.0\)&quot; &quot;;#,##0.0&quot;  &quot;;@&quot;  &quot;"/>
    <numFmt numFmtId="165" formatCode="0.0%"/>
    <numFmt numFmtId="166" formatCode="#,##0.0"/>
    <numFmt numFmtId="167" formatCode="#,##0.0000000000000_);\(#,##0.0000000000000\)"/>
    <numFmt numFmtId="168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theme="0"/>
      <name val="Arial"/>
      <family val="2"/>
    </font>
    <font>
      <b/>
      <sz val="8"/>
      <color rgb="FFFF0000"/>
      <name val="Arial"/>
      <family val="2"/>
    </font>
    <font>
      <b/>
      <sz val="6"/>
      <color rgb="FFFF0000"/>
      <name val="Arial"/>
      <family val="2"/>
    </font>
    <font>
      <sz val="8"/>
      <name val="Calibri"/>
      <family val="2"/>
      <scheme val="minor"/>
    </font>
    <font>
      <i/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7DCD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vertical="center"/>
    </xf>
    <xf numFmtId="164" fontId="4" fillId="2" borderId="0" xfId="2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vertical="center"/>
    </xf>
    <xf numFmtId="164" fontId="6" fillId="0" borderId="0" xfId="2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164" fontId="4" fillId="0" borderId="0" xfId="2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 indent="1"/>
    </xf>
    <xf numFmtId="165" fontId="2" fillId="0" borderId="0" xfId="1" applyNumberFormat="1" applyFont="1" applyAlignment="1">
      <alignment vertical="center"/>
    </xf>
    <xf numFmtId="0" fontId="9" fillId="0" borderId="0" xfId="3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indent="2"/>
    </xf>
    <xf numFmtId="0" fontId="5" fillId="2" borderId="1" xfId="0" applyFont="1" applyFill="1" applyBorder="1" applyAlignment="1">
      <alignment vertical="center"/>
    </xf>
    <xf numFmtId="164" fontId="4" fillId="2" borderId="1" xfId="2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left" vertical="center"/>
    </xf>
    <xf numFmtId="166" fontId="2" fillId="0" borderId="0" xfId="0" applyNumberFormat="1" applyFont="1" applyAlignment="1">
      <alignment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indent="2"/>
    </xf>
    <xf numFmtId="0" fontId="2" fillId="0" borderId="0" xfId="0" applyFont="1" applyBorder="1" applyAlignment="1">
      <alignment horizontal="left" vertical="center"/>
    </xf>
    <xf numFmtId="10" fontId="6" fillId="0" borderId="0" xfId="1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164" fontId="6" fillId="0" borderId="0" xfId="2" applyNumberFormat="1" applyFont="1" applyAlignment="1">
      <alignment horizontal="right" vertical="center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1"/>
    </xf>
    <xf numFmtId="0" fontId="5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164" fontId="4" fillId="2" borderId="0" xfId="2" applyNumberFormat="1" applyFont="1" applyFill="1" applyAlignment="1">
      <alignment horizontal="right" vertical="center"/>
    </xf>
    <xf numFmtId="0" fontId="5" fillId="3" borderId="0" xfId="0" applyFont="1" applyFill="1" applyAlignment="1">
      <alignment horizontal="left" vertical="center" indent="1"/>
    </xf>
    <xf numFmtId="164" fontId="4" fillId="3" borderId="0" xfId="2" applyNumberFormat="1" applyFont="1" applyFill="1" applyAlignment="1">
      <alignment horizontal="right" vertical="center"/>
    </xf>
    <xf numFmtId="164" fontId="6" fillId="0" borderId="1" xfId="2" applyNumberFormat="1" applyFont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 indent="1"/>
    </xf>
    <xf numFmtId="10" fontId="2" fillId="0" borderId="0" xfId="1" applyNumberFormat="1" applyFont="1" applyAlignment="1">
      <alignment horizontal="right" vertical="center"/>
    </xf>
    <xf numFmtId="10" fontId="2" fillId="0" borderId="1" xfId="1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 indent="2"/>
    </xf>
    <xf numFmtId="0" fontId="5" fillId="5" borderId="0" xfId="0" applyFont="1" applyFill="1" applyBorder="1" applyAlignment="1">
      <alignment vertical="center"/>
    </xf>
    <xf numFmtId="164" fontId="4" fillId="5" borderId="0" xfId="2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vertical="center"/>
    </xf>
    <xf numFmtId="164" fontId="4" fillId="5" borderId="1" xfId="2" applyNumberFormat="1" applyFont="1" applyFill="1" applyBorder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164" fontId="4" fillId="7" borderId="0" xfId="2" applyNumberFormat="1" applyFont="1" applyFill="1" applyAlignment="1">
      <alignment horizontal="right" vertical="center"/>
    </xf>
    <xf numFmtId="165" fontId="6" fillId="0" borderId="0" xfId="1" applyNumberFormat="1" applyFont="1" applyFill="1" applyBorder="1" applyAlignment="1">
      <alignment horizontal="right" vertical="center"/>
    </xf>
    <xf numFmtId="164" fontId="12" fillId="0" borderId="0" xfId="2" applyNumberFormat="1" applyFont="1" applyFill="1" applyBorder="1" applyAlignment="1">
      <alignment horizontal="right" vertical="center"/>
    </xf>
    <xf numFmtId="164" fontId="2" fillId="0" borderId="0" xfId="0" applyNumberFormat="1" applyFont="1" applyAlignment="1">
      <alignment vertical="center"/>
    </xf>
    <xf numFmtId="166" fontId="11" fillId="0" borderId="0" xfId="0" applyNumberFormat="1" applyFont="1" applyAlignment="1">
      <alignment vertical="center"/>
    </xf>
    <xf numFmtId="0" fontId="5" fillId="6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0" fontId="4" fillId="6" borderId="0" xfId="1" applyNumberFormat="1" applyFont="1" applyFill="1" applyAlignment="1">
      <alignment horizontal="right" vertical="center"/>
    </xf>
    <xf numFmtId="10" fontId="4" fillId="5" borderId="0" xfId="1" applyNumberFormat="1" applyFont="1" applyFill="1" applyAlignment="1">
      <alignment horizontal="right" vertical="center"/>
    </xf>
    <xf numFmtId="0" fontId="2" fillId="0" borderId="1" xfId="0" applyFont="1" applyFill="1" applyBorder="1" applyAlignment="1">
      <alignment horizontal="left" vertical="center" indent="1"/>
    </xf>
    <xf numFmtId="164" fontId="6" fillId="0" borderId="1" xfId="2" applyNumberFormat="1" applyFont="1" applyFill="1" applyBorder="1" applyAlignment="1">
      <alignment horizontal="right" vertical="center"/>
    </xf>
    <xf numFmtId="166" fontId="2" fillId="0" borderId="0" xfId="0" applyNumberFormat="1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7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0" fontId="4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4" fillId="4" borderId="1" xfId="0" applyFont="1" applyFill="1" applyBorder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164" fontId="4" fillId="0" borderId="0" xfId="2" applyNumberFormat="1" applyFont="1" applyAlignment="1">
      <alignment horizontal="right" vertical="center"/>
    </xf>
    <xf numFmtId="0" fontId="4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9" fontId="6" fillId="0" borderId="0" xfId="1" applyFont="1" applyFill="1" applyBorder="1" applyAlignment="1">
      <alignment horizontal="right" vertical="center"/>
    </xf>
    <xf numFmtId="9" fontId="0" fillId="0" borderId="0" xfId="1" applyFont="1"/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164" fontId="5" fillId="2" borderId="0" xfId="2" applyNumberFormat="1" applyFont="1" applyFill="1" applyAlignment="1">
      <alignment horizontal="right" vertical="center"/>
    </xf>
    <xf numFmtId="164" fontId="5" fillId="3" borderId="1" xfId="2" applyNumberFormat="1" applyFont="1" applyFill="1" applyBorder="1" applyAlignment="1">
      <alignment horizontal="right" vertical="center"/>
    </xf>
    <xf numFmtId="164" fontId="2" fillId="0" borderId="0" xfId="2" applyNumberFormat="1" applyFont="1" applyAlignment="1">
      <alignment horizontal="right" vertical="center"/>
    </xf>
    <xf numFmtId="164" fontId="4" fillId="7" borderId="0" xfId="2" applyNumberFormat="1" applyFont="1" applyFill="1" applyBorder="1" applyAlignment="1">
      <alignment horizontal="right" vertical="center"/>
    </xf>
    <xf numFmtId="164" fontId="5" fillId="7" borderId="0" xfId="0" applyNumberFormat="1" applyFont="1" applyFill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0" fontId="2" fillId="0" borderId="0" xfId="1" applyNumberFormat="1" applyFont="1" applyBorder="1" applyAlignment="1">
      <alignment horizontal="right" vertical="center"/>
    </xf>
    <xf numFmtId="0" fontId="5" fillId="8" borderId="0" xfId="0" applyFont="1" applyFill="1" applyAlignment="1">
      <alignment horizontal="left" vertical="center"/>
    </xf>
    <xf numFmtId="10" fontId="4" fillId="8" borderId="0" xfId="1" applyNumberFormat="1" applyFont="1" applyFill="1" applyAlignment="1">
      <alignment horizontal="right" vertical="center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14" fillId="6" borderId="1" xfId="0" applyFont="1" applyFill="1" applyBorder="1" applyAlignment="1">
      <alignment vertical="center"/>
    </xf>
    <xf numFmtId="165" fontId="14" fillId="6" borderId="0" xfId="1" applyNumberFormat="1" applyFont="1" applyFill="1" applyAlignment="1">
      <alignment horizontal="right" vertical="center"/>
    </xf>
    <xf numFmtId="165" fontId="14" fillId="6" borderId="1" xfId="1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right" vertical="center"/>
    </xf>
    <xf numFmtId="10" fontId="6" fillId="0" borderId="0" xfId="1" applyNumberFormat="1" applyFont="1" applyAlignment="1">
      <alignment horizontal="right" vertical="center"/>
    </xf>
    <xf numFmtId="10" fontId="6" fillId="0" borderId="0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4" fillId="6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0" fillId="0" borderId="0" xfId="0" quotePrefix="1"/>
    <xf numFmtId="0" fontId="15" fillId="0" borderId="0" xfId="0" applyFont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2" applyNumberFormat="1" applyFont="1" applyFill="1" applyBorder="1" applyAlignment="1">
      <alignment horizontal="center" vertical="center"/>
    </xf>
    <xf numFmtId="9" fontId="2" fillId="0" borderId="0" xfId="1" applyFont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left" vertical="center" indent="1"/>
    </xf>
    <xf numFmtId="164" fontId="4" fillId="3" borderId="0" xfId="2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5" fillId="7" borderId="0" xfId="0" applyFont="1" applyFill="1" applyAlignment="1">
      <alignment vertical="center"/>
    </xf>
    <xf numFmtId="164" fontId="6" fillId="0" borderId="0" xfId="2" applyNumberFormat="1" applyFont="1" applyAlignment="1">
      <alignment horizontal="left" vertical="center" indent="1"/>
    </xf>
    <xf numFmtId="164" fontId="2" fillId="0" borderId="0" xfId="0" applyNumberFormat="1" applyFont="1" applyAlignment="1">
      <alignment horizontal="right" vertical="center"/>
    </xf>
    <xf numFmtId="0" fontId="2" fillId="0" borderId="2" xfId="0" applyFont="1" applyBorder="1" applyAlignment="1">
      <alignment horizontal="left" vertical="center" indent="1"/>
    </xf>
    <xf numFmtId="164" fontId="6" fillId="0" borderId="2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167" fontId="0" fillId="0" borderId="0" xfId="0" applyNumberFormat="1"/>
    <xf numFmtId="168" fontId="6" fillId="0" borderId="0" xfId="0" applyNumberFormat="1" applyFont="1" applyAlignment="1">
      <alignment horizontal="right" vertical="center"/>
    </xf>
    <xf numFmtId="164" fontId="2" fillId="0" borderId="0" xfId="2" applyNumberFormat="1" applyFont="1" applyFill="1" applyBorder="1" applyAlignment="1">
      <alignment horizontal="right" vertical="center"/>
    </xf>
    <xf numFmtId="164" fontId="2" fillId="0" borderId="1" xfId="2" applyNumberFormat="1" applyFont="1" applyFill="1" applyBorder="1" applyAlignment="1">
      <alignment horizontal="right" vertical="center"/>
    </xf>
    <xf numFmtId="166" fontId="2" fillId="0" borderId="0" xfId="0" quotePrefix="1" applyNumberFormat="1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164" fontId="4" fillId="7" borderId="1" xfId="2" applyNumberFormat="1" applyFont="1" applyFill="1" applyBorder="1" applyAlignment="1">
      <alignment horizontal="right" vertical="center"/>
    </xf>
    <xf numFmtId="0" fontId="4" fillId="3" borderId="0" xfId="0" applyFont="1" applyFill="1" applyAlignment="1">
      <alignment horizontal="left" vertical="center" indent="1"/>
    </xf>
    <xf numFmtId="164" fontId="6" fillId="0" borderId="0" xfId="2" applyNumberFormat="1" applyFont="1" applyFill="1" applyAlignment="1">
      <alignment horizontal="right" vertical="center"/>
    </xf>
    <xf numFmtId="164" fontId="0" fillId="0" borderId="0" xfId="0" applyNumberFormat="1"/>
    <xf numFmtId="164" fontId="4" fillId="0" borderId="0" xfId="2" applyNumberFormat="1" applyFont="1" applyBorder="1" applyAlignment="1">
      <alignment horizontal="right" vertical="center"/>
    </xf>
    <xf numFmtId="168" fontId="4" fillId="0" borderId="0" xfId="0" applyNumberFormat="1" applyFont="1" applyAlignment="1">
      <alignment horizontal="right" vertical="center"/>
    </xf>
  </cellXfs>
  <cellStyles count="7">
    <cellStyle name="Comma 10 2" xfId="4" xr:uid="{1B2C9B78-22ED-42E9-A8BB-2260A004C12E}"/>
    <cellStyle name="Comma 10 2 2" xfId="5" xr:uid="{67BC65A9-9D44-4E23-A752-7AF64705DB82}"/>
    <cellStyle name="Hyperlink" xfId="3" builtinId="8"/>
    <cellStyle name="Moeda 2" xfId="6" xr:uid="{4C7D87B2-DFCA-4523-A24A-6A749757A39B}"/>
    <cellStyle name="Normal" xfId="0" builtinId="0"/>
    <cellStyle name="Normal 2 2 3" xfId="2" xr:uid="{FD6FBDDF-E884-4657-993E-5BC86B7D8311}"/>
    <cellStyle name="Percent" xfId="1" builtinId="5"/>
  </cellStyles>
  <dxfs count="10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7DCDA"/>
      <color rgb="FF403F3F"/>
      <color rgb="FFDDE4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16384</xdr:col>
      <xdr:colOff>2487706</xdr:colOff>
      <xdr:row>1048576</xdr:row>
      <xdr:rowOff>1557618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D684DAAA-03C7-9ADC-EDC8-0C19875ED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0" y="0"/>
          <a:ext cx="9144000" cy="5143500"/>
        </a:xfrm>
        <a:prstGeom prst="rect">
          <a:avLst/>
        </a:prstGeom>
      </xdr:spPr>
    </xdr:pic>
    <xdr:clientData/>
  </xdr:twoCellAnchor>
  <xdr:twoCellAnchor>
    <xdr:from>
      <xdr:col>0</xdr:col>
      <xdr:colOff>150906</xdr:colOff>
      <xdr:row>8</xdr:row>
      <xdr:rowOff>39971</xdr:rowOff>
    </xdr:from>
    <xdr:to>
      <xdr:col>3</xdr:col>
      <xdr:colOff>230281</xdr:colOff>
      <xdr:row>13</xdr:row>
      <xdr:rowOff>87596</xdr:rowOff>
    </xdr:to>
    <xdr:sp macro="" textlink="">
      <xdr:nvSpPr>
        <xdr:cNvPr id="5" name="Text Placeholder 24">
          <a:extLst>
            <a:ext uri="{FF2B5EF4-FFF2-40B4-BE49-F238E27FC236}">
              <a16:creationId xmlns:a16="http://schemas.microsoft.com/office/drawing/2014/main" id="{0CDF2680-9B57-4E46-A6DA-86D816A4FA0D}"/>
            </a:ext>
          </a:extLst>
        </xdr:cNvPr>
        <xdr:cNvSpPr txBox="1">
          <a:spLocks/>
        </xdr:cNvSpPr>
      </xdr:nvSpPr>
      <xdr:spPr>
        <a:xfrm>
          <a:off x="150906" y="1474324"/>
          <a:ext cx="2197287" cy="944096"/>
        </a:xfrm>
        <a:prstGeom prst="rect">
          <a:avLst/>
        </a:prstGeom>
        <a:noFill/>
        <a:effectLst/>
        <a:scene3d>
          <a:camera prst="orthographicFront"/>
          <a:lightRig rig="threePt" dir="t"/>
        </a:scene3d>
        <a:sp3d>
          <a:bevelT prst="angle"/>
        </a:sp3d>
      </xdr:spPr>
      <xdr:txBody>
        <a:bodyPr wrap="square" lIns="99569" tIns="49785" rIns="99569" bIns="49785" anchor="t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 algn="l">
            <a:spcBef>
              <a:spcPts val="0"/>
            </a:spcBef>
            <a:buClr>
              <a:schemeClr val="accent2"/>
            </a:buClr>
            <a:defRPr/>
          </a:pPr>
          <a:r>
            <a:rPr kumimoji="0" lang="en-GB" sz="1600" b="1" u="none" strike="noStrike" kern="1200" cap="none" spc="0" normalizeH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effectLst/>
              <a:uLnTx/>
              <a:uFillTx/>
              <a:latin typeface="Arial" panose="020B0604020202020204" pitchFamily="34" charset="0"/>
              <a:ea typeface="Arial" charset="0"/>
              <a:cs typeface="Arial" panose="020B0604020202020204" pitchFamily="34" charset="0"/>
            </a:rPr>
            <a:t>PagBank PagSeguro</a:t>
          </a:r>
          <a:endParaRPr kumimoji="0" lang="en-GB" sz="2200" b="1" u="none" strike="noStrike" kern="1200" cap="none" spc="0" normalizeH="0" baseline="0">
            <a:ln>
              <a:noFill/>
            </a:ln>
            <a:solidFill>
              <a:schemeClr val="tx1">
                <a:lumMod val="65000"/>
                <a:lumOff val="35000"/>
              </a:schemeClr>
            </a:solidFill>
            <a:effectLst/>
            <a:uLnTx/>
            <a:uFillTx/>
            <a:latin typeface="Arial" panose="020B0604020202020204" pitchFamily="34" charset="0"/>
            <a:ea typeface="Arial" charset="0"/>
            <a:cs typeface="Arial" panose="020B0604020202020204" pitchFamily="34" charset="0"/>
          </a:endParaRPr>
        </a:p>
        <a:p>
          <a:pPr lvl="0" algn="l">
            <a:spcBef>
              <a:spcPts val="0"/>
            </a:spcBef>
            <a:buClr>
              <a:schemeClr val="accent2"/>
            </a:buClr>
            <a:defRPr/>
          </a:pPr>
          <a:r>
            <a:rPr kumimoji="0" lang="en-GB" sz="1000" b="1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Arial" charset="0"/>
              <a:cs typeface="Arial" panose="020B0604020202020204" pitchFamily="34" charset="0"/>
            </a:rPr>
            <a:t>Investor Relations</a:t>
          </a:r>
        </a:p>
        <a:p>
          <a:pPr lvl="0" algn="l">
            <a:spcBef>
              <a:spcPts val="0"/>
            </a:spcBef>
            <a:buClr>
              <a:schemeClr val="accent2"/>
            </a:buClr>
            <a:defRPr/>
          </a:pPr>
          <a:endParaRPr kumimoji="0" lang="en-GB" sz="1000" b="1" u="none" strike="noStrike" kern="120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Arial" charset="0"/>
            <a:cs typeface="Arial" panose="020B0604020202020204" pitchFamily="34" charset="0"/>
          </a:endParaRPr>
        </a:p>
        <a:p>
          <a:r>
            <a:rPr lang="pt-BR" sz="800" b="1" i="0" kern="1200">
              <a:solidFill>
                <a:schemeClr val="accent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Website:</a:t>
          </a:r>
          <a:r>
            <a:rPr lang="pt-BR" sz="800" b="0" i="0" kern="1200">
              <a:solidFill>
                <a:srgbClr val="403F3F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800" kern="1200">
              <a:solidFill>
                <a:srgbClr val="403F3F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http://investors.pagseguro.com</a:t>
          </a:r>
          <a:endParaRPr lang="pt-BR" sz="800">
            <a:solidFill>
              <a:srgbClr val="403F3F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pt-BR" sz="800" b="1" i="0" kern="1200">
              <a:solidFill>
                <a:schemeClr val="accent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E-mail:</a:t>
          </a:r>
          <a:r>
            <a:rPr lang="pt-BR" sz="800" b="0" i="0" kern="1200">
              <a:solidFill>
                <a:srgbClr val="403F3F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ir@pagseguro.com</a:t>
          </a:r>
          <a:endParaRPr lang="pt-BR" sz="800">
            <a:solidFill>
              <a:srgbClr val="403F3F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150906</xdr:colOff>
      <xdr:row>3</xdr:row>
      <xdr:rowOff>154455</xdr:rowOff>
    </xdr:from>
    <xdr:to>
      <xdr:col>2</xdr:col>
      <xdr:colOff>65181</xdr:colOff>
      <xdr:row>7</xdr:row>
      <xdr:rowOff>160805</xdr:rowOff>
    </xdr:to>
    <xdr:sp macro="" textlink="">
      <xdr:nvSpPr>
        <xdr:cNvPr id="10" name="Text Placeholder 24">
          <a:extLst>
            <a:ext uri="{FF2B5EF4-FFF2-40B4-BE49-F238E27FC236}">
              <a16:creationId xmlns:a16="http://schemas.microsoft.com/office/drawing/2014/main" id="{C85C23D8-776C-4D92-8203-D7C45FD25835}"/>
            </a:ext>
          </a:extLst>
        </xdr:cNvPr>
        <xdr:cNvSpPr txBox="1">
          <a:spLocks/>
        </xdr:cNvSpPr>
      </xdr:nvSpPr>
      <xdr:spPr>
        <a:xfrm>
          <a:off x="150906" y="692337"/>
          <a:ext cx="1326216" cy="723527"/>
        </a:xfrm>
        <a:prstGeom prst="rect">
          <a:avLst/>
        </a:prstGeom>
        <a:noFill/>
        <a:effectLst/>
        <a:scene3d>
          <a:camera prst="orthographicFront"/>
          <a:lightRig rig="threePt" dir="t"/>
        </a:scene3d>
        <a:sp3d>
          <a:bevelT prst="angle"/>
        </a:sp3d>
      </xdr:spPr>
      <xdr:txBody>
        <a:bodyPr wrap="square" lIns="99569" tIns="49785" rIns="99569" bIns="49785" anchor="t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lvl="0" algn="l">
            <a:spcBef>
              <a:spcPts val="0"/>
            </a:spcBef>
            <a:buClr>
              <a:schemeClr val="accent2"/>
            </a:buClr>
            <a:defRPr/>
          </a:pPr>
          <a:r>
            <a:rPr lang="en-GB" sz="2400" b="1">
              <a:solidFill>
                <a:sysClr val="windowText" lastClr="000000"/>
              </a:solidFill>
              <a:latin typeface="Arial" panose="020B0604020202020204" pitchFamily="34" charset="0"/>
              <a:ea typeface="Arial" charset="0"/>
              <a:cs typeface="Arial" panose="020B0604020202020204" pitchFamily="34" charset="0"/>
            </a:rPr>
            <a:t>3Q22</a:t>
          </a:r>
        </a:p>
        <a:p>
          <a:pPr lvl="0" algn="l">
            <a:spcBef>
              <a:spcPts val="0"/>
            </a:spcBef>
            <a:buClr>
              <a:schemeClr val="accent2"/>
            </a:buClr>
            <a:defRPr/>
          </a:pPr>
          <a:r>
            <a:rPr kumimoji="0" lang="en-GB" sz="2400" b="1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Arial" charset="0"/>
              <a:cs typeface="Arial" panose="020B0604020202020204" pitchFamily="34" charset="0"/>
            </a:rPr>
            <a:t>Results</a:t>
          </a:r>
          <a:endParaRPr kumimoji="0" lang="en-GB" sz="600" b="1" u="none" strike="noStrike" kern="1200" cap="none" spc="0" normalizeH="0" baseline="0">
            <a:ln>
              <a:noFill/>
            </a:ln>
            <a:solidFill>
              <a:srgbClr val="403F3F"/>
            </a:solidFill>
            <a:effectLst/>
            <a:uLnTx/>
            <a:uFillTx/>
            <a:latin typeface="Arial" charset="0"/>
            <a:ea typeface="Arial" charset="0"/>
            <a:cs typeface="Arial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investors.pagseguro.com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investors.pagsegur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investors.pagseguro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investors.pagsegur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investors.pagseguro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investors.pagsegur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investors.pagseguro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investors.pagseguro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investors.pagseguro.com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investors.pagsegu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D6077-96B4-460B-88AA-2550A07B0D7C}">
  <dimension ref="A1:I20"/>
  <sheetViews>
    <sheetView showGridLines="0" showRowColHeaders="0" tabSelected="1" zoomScale="85" zoomScaleNormal="85" workbookViewId="0"/>
  </sheetViews>
  <sheetFormatPr defaultColWidth="0" defaultRowHeight="14.25" customHeight="1" zeroHeight="1" x14ac:dyDescent="0.35"/>
  <cols>
    <col min="1" max="9" width="10.54296875" style="1" customWidth="1"/>
    <col min="10" max="10" width="10.54296875" style="1" hidden="1" customWidth="1"/>
    <col min="11" max="16384" width="10.54296875" style="1" hidden="1"/>
  </cols>
  <sheetData>
    <row r="1" ht="14.25" customHeight="1" x14ac:dyDescent="0.35"/>
    <row r="2" ht="14.25" customHeight="1" x14ac:dyDescent="0.35"/>
    <row r="3" ht="14.25" customHeight="1" x14ac:dyDescent="0.35"/>
    <row r="4" ht="14.25" customHeight="1" x14ac:dyDescent="0.35"/>
    <row r="5" ht="14.25" customHeight="1" x14ac:dyDescent="0.35"/>
    <row r="6" ht="14.25" customHeight="1" x14ac:dyDescent="0.35"/>
    <row r="7" ht="14.25" customHeight="1" x14ac:dyDescent="0.35"/>
    <row r="8" ht="14.25" customHeight="1" x14ac:dyDescent="0.35"/>
    <row r="9" ht="14.25" customHeight="1" x14ac:dyDescent="0.35"/>
    <row r="10" ht="14.25" customHeight="1" x14ac:dyDescent="0.35"/>
    <row r="11" ht="14.25" customHeight="1" x14ac:dyDescent="0.35"/>
    <row r="12" ht="14.25" customHeight="1" x14ac:dyDescent="0.35"/>
    <row r="13" ht="14.25" customHeight="1" x14ac:dyDescent="0.35"/>
    <row r="14" ht="14.25" customHeight="1" x14ac:dyDescent="0.35"/>
    <row r="15" ht="14.25" customHeight="1" x14ac:dyDescent="0.35"/>
    <row r="1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D524-455E-4BCD-9040-B156B252E2F2}">
  <sheetPr codeName="Planilha5"/>
  <dimension ref="A1:AO61"/>
  <sheetViews>
    <sheetView showGridLines="0" zoomScaleNormal="100" workbookViewId="0">
      <pane xSplit="2" ySplit="5" topLeftCell="V6" activePane="bottomRight" state="frozen"/>
      <selection activeCell="B6" sqref="B6"/>
      <selection pane="topRight" activeCell="B6" sqref="B6"/>
      <selection pane="bottomLeft" activeCell="B6" sqref="B6"/>
      <selection pane="bottomRight"/>
    </sheetView>
  </sheetViews>
  <sheetFormatPr defaultColWidth="0" defaultRowHeight="14.25" customHeight="1" zeroHeight="1" outlineLevelRow="1" outlineLevelCol="1" x14ac:dyDescent="0.35"/>
  <cols>
    <col min="1" max="1" width="2.54296875" style="1" customWidth="1"/>
    <col min="2" max="2" width="60.54296875" style="1" customWidth="1"/>
    <col min="3" max="22" width="10.54296875" style="1" hidden="1" customWidth="1" outlineLevel="1"/>
    <col min="23" max="23" width="10.54296875" style="1" hidden="1" customWidth="1" outlineLevel="1" collapsed="1"/>
    <col min="24" max="26" width="10.54296875" style="1" hidden="1" customWidth="1" outlineLevel="1"/>
    <col min="27" max="27" width="10.54296875" style="1" customWidth="1" collapsed="1"/>
    <col min="28" max="33" width="10.54296875" style="1" customWidth="1"/>
    <col min="34" max="34" width="2.54296875" style="1" customWidth="1"/>
    <col min="35" max="39" width="10.54296875" style="1" hidden="1" customWidth="1" outlineLevel="1"/>
    <col min="40" max="40" width="10.54296875" style="1" customWidth="1" collapsed="1"/>
    <col min="41" max="41" width="10.54296875" style="1" customWidth="1"/>
    <col min="42" max="42" width="2.54296875" style="1" customWidth="1"/>
    <col min="43" max="16384" width="0" style="1" hidden="1"/>
  </cols>
  <sheetData>
    <row r="1" spans="1:41" ht="14.25" customHeight="1" x14ac:dyDescent="0.35"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41" ht="14.25" customHeight="1" x14ac:dyDescent="0.35">
      <c r="B2" s="8" t="s">
        <v>31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I2" s="23"/>
      <c r="AJ2" s="23"/>
      <c r="AK2" s="23"/>
      <c r="AL2" s="23"/>
      <c r="AM2" s="23"/>
      <c r="AN2" s="23"/>
      <c r="AO2" s="23"/>
    </row>
    <row r="3" spans="1:41" ht="14.25" customHeight="1" x14ac:dyDescent="0.35">
      <c r="B3" s="11" t="s">
        <v>32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spans="1:41" ht="14.25" customHeight="1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 spans="1:41" ht="14.25" customHeight="1" x14ac:dyDescent="0.35">
      <c r="B5" s="27" t="s">
        <v>33</v>
      </c>
      <c r="C5" s="26" t="s">
        <v>21</v>
      </c>
      <c r="D5" s="26" t="s">
        <v>20</v>
      </c>
      <c r="E5" s="26" t="s">
        <v>19</v>
      </c>
      <c r="F5" s="26" t="s">
        <v>18</v>
      </c>
      <c r="G5" s="26" t="s">
        <v>17</v>
      </c>
      <c r="H5" s="26" t="s">
        <v>16</v>
      </c>
      <c r="I5" s="26" t="s">
        <v>15</v>
      </c>
      <c r="J5" s="26" t="s">
        <v>14</v>
      </c>
      <c r="K5" s="26" t="s">
        <v>13</v>
      </c>
      <c r="L5" s="26" t="s">
        <v>12</v>
      </c>
      <c r="M5" s="26" t="s">
        <v>11</v>
      </c>
      <c r="N5" s="26" t="s">
        <v>10</v>
      </c>
      <c r="O5" s="26" t="s">
        <v>9</v>
      </c>
      <c r="P5" s="26" t="s">
        <v>8</v>
      </c>
      <c r="Q5" s="26" t="s">
        <v>7</v>
      </c>
      <c r="R5" s="26" t="s">
        <v>6</v>
      </c>
      <c r="S5" s="26" t="s">
        <v>5</v>
      </c>
      <c r="T5" s="26" t="s">
        <v>4</v>
      </c>
      <c r="U5" s="26" t="s">
        <v>101</v>
      </c>
      <c r="V5" s="26" t="s">
        <v>102</v>
      </c>
      <c r="W5" s="26" t="s">
        <v>104</v>
      </c>
      <c r="X5" s="26" t="s">
        <v>107</v>
      </c>
      <c r="Y5" s="26" t="s">
        <v>112</v>
      </c>
      <c r="Z5" s="26" t="s">
        <v>122</v>
      </c>
      <c r="AA5" s="26" t="s">
        <v>139</v>
      </c>
      <c r="AB5" s="26" t="s">
        <v>149</v>
      </c>
      <c r="AC5" s="26" t="s">
        <v>154</v>
      </c>
      <c r="AD5" s="26" t="s">
        <v>168</v>
      </c>
      <c r="AE5" s="26" t="s">
        <v>187</v>
      </c>
      <c r="AF5" s="102" t="s">
        <v>206</v>
      </c>
      <c r="AG5" s="102" t="s">
        <v>216</v>
      </c>
      <c r="AI5" s="26">
        <v>2015</v>
      </c>
      <c r="AJ5" s="26">
        <v>2016</v>
      </c>
      <c r="AK5" s="26">
        <v>2017</v>
      </c>
      <c r="AL5" s="26">
        <v>2018</v>
      </c>
      <c r="AM5" s="26">
        <v>2019</v>
      </c>
      <c r="AN5" s="26">
        <v>2020</v>
      </c>
      <c r="AO5" s="26">
        <v>2021</v>
      </c>
    </row>
    <row r="6" spans="1:41" ht="14.25" customHeight="1" x14ac:dyDescent="0.35">
      <c r="A6" s="22"/>
      <c r="B6" s="18" t="s">
        <v>157</v>
      </c>
      <c r="C6" s="28">
        <f t="shared" ref="C6" si="0">C7+C16</f>
        <v>824.09637195754772</v>
      </c>
      <c r="D6" s="28">
        <f t="shared" ref="D6:T6" si="1">D7+D16</f>
        <v>1036.716414467548</v>
      </c>
      <c r="E6" s="28">
        <f t="shared" si="1"/>
        <v>1205.75257992</v>
      </c>
      <c r="F6" s="28">
        <f t="shared" si="1"/>
        <v>1300.6942808756</v>
      </c>
      <c r="G6" s="28">
        <f t="shared" si="1"/>
        <v>1397.0103974402414</v>
      </c>
      <c r="H6" s="28">
        <f t="shared" si="1"/>
        <v>1446.6832680971997</v>
      </c>
      <c r="I6" s="28">
        <f t="shared" si="1"/>
        <v>1887.7850648867195</v>
      </c>
      <c r="J6" s="28">
        <f t="shared" si="1"/>
        <v>2370.4030606317997</v>
      </c>
      <c r="K6" s="28">
        <f t="shared" si="1"/>
        <v>2493.4453804477898</v>
      </c>
      <c r="L6" s="28">
        <f t="shared" si="1"/>
        <v>2818.5802295685339</v>
      </c>
      <c r="M6" s="28">
        <f t="shared" si="1"/>
        <v>3264.1325000000002</v>
      </c>
      <c r="N6" s="28">
        <f t="shared" si="1"/>
        <v>4235.7569999999996</v>
      </c>
      <c r="O6" s="28">
        <f t="shared" si="1"/>
        <v>7795.2932899999987</v>
      </c>
      <c r="P6" s="28">
        <f t="shared" si="1"/>
        <v>9417.1717079999999</v>
      </c>
      <c r="Q6" s="28">
        <f t="shared" si="1"/>
        <v>10362.359999999999</v>
      </c>
      <c r="R6" s="28">
        <f t="shared" si="1"/>
        <v>11417.277999999998</v>
      </c>
      <c r="S6" s="28">
        <f t="shared" si="1"/>
        <v>11893.832939999998</v>
      </c>
      <c r="T6" s="28">
        <f t="shared" si="1"/>
        <v>12690.422000000002</v>
      </c>
      <c r="U6" s="28">
        <f t="shared" ref="U6:AF6" si="2">U7+U16</f>
        <v>12984.886604416803</v>
      </c>
      <c r="V6" s="28">
        <f t="shared" si="2"/>
        <v>14582.246492723425</v>
      </c>
      <c r="W6" s="28">
        <f t="shared" si="2"/>
        <v>14468.128350498737</v>
      </c>
      <c r="X6" s="28">
        <f t="shared" si="2"/>
        <v>16343.758251796176</v>
      </c>
      <c r="Y6" s="28">
        <f t="shared" si="2"/>
        <v>18624.563733684568</v>
      </c>
      <c r="Z6" s="28">
        <f t="shared" si="2"/>
        <v>22324.321383538361</v>
      </c>
      <c r="AA6" s="28">
        <f t="shared" si="2"/>
        <v>21976.496947</v>
      </c>
      <c r="AB6" s="28">
        <f t="shared" si="2"/>
        <v>24186.03798611509</v>
      </c>
      <c r="AC6" s="28">
        <f t="shared" si="2"/>
        <v>26960.099372845543</v>
      </c>
      <c r="AD6" s="28">
        <v>31075.803844019996</v>
      </c>
      <c r="AE6" s="28">
        <f t="shared" si="2"/>
        <v>33807.506776169976</v>
      </c>
      <c r="AF6" s="28">
        <f t="shared" si="2"/>
        <v>39195.790434403818</v>
      </c>
      <c r="AG6" s="28">
        <f t="shared" ref="AG6" si="3">AG7+AG16</f>
        <v>43275.88295527405</v>
      </c>
      <c r="AI6" s="28">
        <f t="shared" ref="AI6" si="4">AI7+AI16</f>
        <v>1300.6942808756</v>
      </c>
      <c r="AJ6" s="28">
        <f t="shared" ref="AJ6:AO6" si="5">AJ7+AJ16</f>
        <v>2370.4030606317997</v>
      </c>
      <c r="AK6" s="28">
        <f t="shared" si="5"/>
        <v>4235.7569999999996</v>
      </c>
      <c r="AL6" s="28">
        <f t="shared" si="5"/>
        <v>11417.277999999998</v>
      </c>
      <c r="AM6" s="28">
        <f t="shared" si="5"/>
        <v>14582.246492723425</v>
      </c>
      <c r="AN6" s="28">
        <f t="shared" si="5"/>
        <v>22324.321383538361</v>
      </c>
      <c r="AO6" s="28">
        <f t="shared" si="5"/>
        <v>31075.803844019996</v>
      </c>
    </row>
    <row r="7" spans="1:41" ht="14.25" customHeight="1" x14ac:dyDescent="0.35">
      <c r="A7" s="22"/>
      <c r="B7" s="29" t="s">
        <v>158</v>
      </c>
      <c r="C7" s="30">
        <f t="shared" ref="C7" si="6">SUM(C8:C15)</f>
        <v>790.57370251999998</v>
      </c>
      <c r="D7" s="30">
        <f t="shared" ref="D7:T7" si="7">SUM(D8:D15)</f>
        <v>1000.5772979500003</v>
      </c>
      <c r="E7" s="30">
        <f t="shared" si="7"/>
        <v>1164.05417659</v>
      </c>
      <c r="F7" s="30">
        <f t="shared" si="7"/>
        <v>1240.7609377700001</v>
      </c>
      <c r="G7" s="30">
        <f t="shared" si="7"/>
        <v>1331.5048702809813</v>
      </c>
      <c r="H7" s="30">
        <f t="shared" si="7"/>
        <v>1369.7421787699998</v>
      </c>
      <c r="I7" s="30">
        <f t="shared" si="7"/>
        <v>1798.8652987899995</v>
      </c>
      <c r="J7" s="30">
        <f t="shared" si="7"/>
        <v>2270.7529988699998</v>
      </c>
      <c r="K7" s="30">
        <f t="shared" si="7"/>
        <v>2392.4055193466638</v>
      </c>
      <c r="L7" s="30">
        <f t="shared" si="7"/>
        <v>2677.88966422568</v>
      </c>
      <c r="M7" s="30">
        <f t="shared" si="7"/>
        <v>3108.8405000000002</v>
      </c>
      <c r="N7" s="30">
        <f t="shared" si="7"/>
        <v>4027.953</v>
      </c>
      <c r="O7" s="30">
        <f t="shared" si="7"/>
        <v>7528.063791999999</v>
      </c>
      <c r="P7" s="30">
        <f t="shared" si="7"/>
        <v>9175.3350709999995</v>
      </c>
      <c r="Q7" s="30">
        <f t="shared" si="7"/>
        <v>10090.531999999999</v>
      </c>
      <c r="R7" s="30">
        <f t="shared" si="7"/>
        <v>11042.080999999998</v>
      </c>
      <c r="S7" s="30">
        <f t="shared" si="7"/>
        <v>11386.135999999999</v>
      </c>
      <c r="T7" s="30">
        <f t="shared" si="7"/>
        <v>12096.074000000002</v>
      </c>
      <c r="U7" s="30">
        <f t="shared" ref="U7:AF7" si="8">SUM(U8:U15)</f>
        <v>12186.372130936332</v>
      </c>
      <c r="V7" s="30">
        <f t="shared" si="8"/>
        <v>13548.393651671222</v>
      </c>
      <c r="W7" s="30">
        <f t="shared" si="8"/>
        <v>13146.372297344158</v>
      </c>
      <c r="X7" s="30">
        <f t="shared" si="8"/>
        <v>14604.749080899315</v>
      </c>
      <c r="Y7" s="30">
        <f t="shared" si="8"/>
        <v>16383.246409921636</v>
      </c>
      <c r="Z7" s="30">
        <f t="shared" si="8"/>
        <v>19247.08065711306</v>
      </c>
      <c r="AA7" s="30">
        <f t="shared" si="8"/>
        <v>18643.261525999998</v>
      </c>
      <c r="AB7" s="30">
        <f t="shared" si="8"/>
        <v>20627.070022281234</v>
      </c>
      <c r="AC7" s="30">
        <f t="shared" si="8"/>
        <v>23007.457577543672</v>
      </c>
      <c r="AD7" s="30">
        <v>26719.335145999998</v>
      </c>
      <c r="AE7" s="30">
        <f t="shared" si="8"/>
        <v>28871.719643519878</v>
      </c>
      <c r="AF7" s="30">
        <f t="shared" si="8"/>
        <v>33955.021622689252</v>
      </c>
      <c r="AG7" s="30">
        <f t="shared" ref="AG7" si="9">SUM(AG8:AG15)</f>
        <v>37709.291145777126</v>
      </c>
      <c r="AI7" s="30">
        <f t="shared" ref="AI7" si="10">SUM(AI8:AI15)</f>
        <v>1240.7609377700001</v>
      </c>
      <c r="AJ7" s="30">
        <f t="shared" ref="AJ7:AO7" si="11">SUM(AJ8:AJ15)</f>
        <v>2270.7529988699998</v>
      </c>
      <c r="AK7" s="30">
        <f t="shared" si="11"/>
        <v>4027.953</v>
      </c>
      <c r="AL7" s="30">
        <f t="shared" si="11"/>
        <v>11042.080999999998</v>
      </c>
      <c r="AM7" s="30">
        <f t="shared" si="11"/>
        <v>13548.393651671222</v>
      </c>
      <c r="AN7" s="30">
        <f t="shared" si="11"/>
        <v>19247.08065711306</v>
      </c>
      <c r="AO7" s="30">
        <f t="shared" si="11"/>
        <v>26719.335145999998</v>
      </c>
    </row>
    <row r="8" spans="1:41" ht="14.25" hidden="1" customHeight="1" outlineLevel="1" x14ac:dyDescent="0.35">
      <c r="A8" s="22"/>
      <c r="B8" s="24" t="s">
        <v>39</v>
      </c>
      <c r="C8" s="23">
        <v>12.65761522</v>
      </c>
      <c r="D8" s="23">
        <v>49.655644559999999</v>
      </c>
      <c r="E8" s="23">
        <v>8.6017515000000007</v>
      </c>
      <c r="F8" s="23">
        <v>6.8881074199999999</v>
      </c>
      <c r="G8" s="23">
        <v>7.1517994100000006</v>
      </c>
      <c r="H8" s="23">
        <v>8.9972446500000007</v>
      </c>
      <c r="I8" s="23">
        <v>13.936304209999999</v>
      </c>
      <c r="J8" s="23">
        <v>79.969012049999989</v>
      </c>
      <c r="K8" s="23">
        <v>14.743815578512001</v>
      </c>
      <c r="L8" s="23">
        <v>13.152774301000001</v>
      </c>
      <c r="M8" s="23">
        <v>41.811</v>
      </c>
      <c r="N8" s="23">
        <v>66.766999999999996</v>
      </c>
      <c r="O8" s="23">
        <v>2545.3894970000001</v>
      </c>
      <c r="P8" s="23">
        <v>2913.4819079999997</v>
      </c>
      <c r="Q8" s="23">
        <v>2470.0590000000002</v>
      </c>
      <c r="R8" s="23">
        <v>2763.05</v>
      </c>
      <c r="S8" s="23">
        <v>832.89700000000005</v>
      </c>
      <c r="T8" s="23">
        <v>254.767</v>
      </c>
      <c r="U8" s="23">
        <v>314.08237312335001</v>
      </c>
      <c r="V8" s="23">
        <v>1403.9546958500002</v>
      </c>
      <c r="W8" s="23">
        <v>3043.1531313390319</v>
      </c>
      <c r="X8" s="23">
        <v>2665.3166686498071</v>
      </c>
      <c r="Y8" s="23">
        <v>1595.1477523981162</v>
      </c>
      <c r="Z8" s="23">
        <v>1640.0647823756271</v>
      </c>
      <c r="AA8" s="23">
        <v>1260.2781649999999</v>
      </c>
      <c r="AB8" s="23">
        <v>1195.5440782197882</v>
      </c>
      <c r="AC8" s="23">
        <v>1122.3877331605786</v>
      </c>
      <c r="AD8" s="23">
        <v>1794.36167</v>
      </c>
      <c r="AE8" s="23">
        <v>1483.0922275436819</v>
      </c>
      <c r="AF8" s="23">
        <v>1191.9857783086084</v>
      </c>
      <c r="AG8" s="23">
        <v>1404.5188520904248</v>
      </c>
      <c r="AI8" s="23">
        <f>F8</f>
        <v>6.8881074199999999</v>
      </c>
      <c r="AJ8" s="23">
        <f>J8</f>
        <v>79.969012049999989</v>
      </c>
      <c r="AK8" s="23">
        <f>N8</f>
        <v>66.766999999999996</v>
      </c>
      <c r="AL8" s="23">
        <f>R8</f>
        <v>2763.05</v>
      </c>
      <c r="AM8" s="23">
        <f>V8</f>
        <v>1403.9546958500002</v>
      </c>
      <c r="AN8" s="23">
        <f>Z8</f>
        <v>1640.0647823756271</v>
      </c>
      <c r="AO8" s="23">
        <f>AD8</f>
        <v>1794.36167</v>
      </c>
    </row>
    <row r="9" spans="1:41" ht="14.25" hidden="1" customHeight="1" outlineLevel="1" x14ac:dyDescent="0.35">
      <c r="A9" s="22"/>
      <c r="B9" s="24" t="s">
        <v>40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131.23945322</v>
      </c>
      <c r="K9" s="23">
        <v>17.856733640000002</v>
      </c>
      <c r="L9" s="23">
        <v>0</v>
      </c>
      <c r="M9" s="23">
        <v>0</v>
      </c>
      <c r="N9" s="23">
        <v>210.10300000000001</v>
      </c>
      <c r="O9" s="23">
        <v>0</v>
      </c>
      <c r="P9" s="23">
        <v>0</v>
      </c>
      <c r="Q9" s="23">
        <v>0</v>
      </c>
      <c r="R9" s="23">
        <v>0</v>
      </c>
      <c r="S9" s="23">
        <v>1589.566</v>
      </c>
      <c r="T9" s="23">
        <v>1761.7449999999999</v>
      </c>
      <c r="U9" s="23">
        <v>1779.5663712800003</v>
      </c>
      <c r="V9" s="23">
        <v>1349.66604732</v>
      </c>
      <c r="W9" s="23">
        <v>499.78202888999994</v>
      </c>
      <c r="X9" s="23">
        <v>658.04990407000003</v>
      </c>
      <c r="Y9" s="23">
        <v>863.31146039999987</v>
      </c>
      <c r="Z9" s="23">
        <v>979.83692366999992</v>
      </c>
      <c r="AA9" s="23">
        <v>965.1119030000001</v>
      </c>
      <c r="AB9" s="23">
        <v>1009.98373226</v>
      </c>
      <c r="AC9" s="23">
        <v>1000.8770346399999</v>
      </c>
      <c r="AD9" s="23">
        <v>782.64705400000003</v>
      </c>
      <c r="AE9" s="23">
        <v>1131.7879108999998</v>
      </c>
      <c r="AF9" s="23">
        <v>1046.55760455</v>
      </c>
      <c r="AG9" s="23">
        <v>1073.81639931</v>
      </c>
      <c r="AI9" s="23">
        <f t="shared" ref="AI9:AI15" si="12">F9</f>
        <v>0</v>
      </c>
      <c r="AJ9" s="23">
        <f t="shared" ref="AJ9:AJ15" si="13">J9</f>
        <v>131.23945322</v>
      </c>
      <c r="AK9" s="23">
        <f t="shared" ref="AK9:AK15" si="14">N9</f>
        <v>210.10300000000001</v>
      </c>
      <c r="AL9" s="23">
        <f t="shared" ref="AL9:AL15" si="15">R9</f>
        <v>0</v>
      </c>
      <c r="AM9" s="23">
        <f t="shared" ref="AM9:AM15" si="16">V9</f>
        <v>1349.66604732</v>
      </c>
      <c r="AN9" s="23">
        <f t="shared" ref="AN9:AN15" si="17">Z9</f>
        <v>979.83692366999992</v>
      </c>
      <c r="AO9" s="23">
        <f t="shared" ref="AO9:AO15" si="18">AD9</f>
        <v>782.64705400000003</v>
      </c>
    </row>
    <row r="10" spans="1:41" ht="14.25" hidden="1" customHeight="1" outlineLevel="1" x14ac:dyDescent="0.35">
      <c r="A10" s="22"/>
      <c r="B10" s="24" t="s">
        <v>120</v>
      </c>
      <c r="C10" s="23">
        <v>621.63462898</v>
      </c>
      <c r="D10" s="23">
        <v>747.33656380000025</v>
      </c>
      <c r="E10" s="23">
        <v>957.85116063000009</v>
      </c>
      <c r="F10" s="23">
        <v>1110.0195968599999</v>
      </c>
      <c r="G10" s="23">
        <v>1135.9793410600003</v>
      </c>
      <c r="H10" s="23">
        <v>1213.5718096000001</v>
      </c>
      <c r="I10" s="23">
        <v>1449.7051029699999</v>
      </c>
      <c r="J10" s="23">
        <v>1715.5137789</v>
      </c>
      <c r="K10" s="23">
        <v>1871.0406285099998</v>
      </c>
      <c r="L10" s="23">
        <v>2358.1175138400004</v>
      </c>
      <c r="M10" s="23">
        <v>2980.78</v>
      </c>
      <c r="N10" s="23">
        <v>3522.3490000000002</v>
      </c>
      <c r="O10" s="23">
        <v>4883.3213409999998</v>
      </c>
      <c r="P10" s="23">
        <v>6172.1062089999996</v>
      </c>
      <c r="Q10" s="23">
        <v>7489.826</v>
      </c>
      <c r="R10" s="23">
        <v>8104.6790000000001</v>
      </c>
      <c r="S10" s="23">
        <v>8817.92</v>
      </c>
      <c r="T10" s="23">
        <v>9859.1980000000003</v>
      </c>
      <c r="U10" s="23">
        <v>9873.9874243129816</v>
      </c>
      <c r="V10" s="23">
        <v>10477.179325501222</v>
      </c>
      <c r="W10" s="23">
        <v>9268.5711396540537</v>
      </c>
      <c r="X10" s="23">
        <v>10890.967549353336</v>
      </c>
      <c r="Y10" s="23">
        <v>13538.587123868521</v>
      </c>
      <c r="Z10" s="23">
        <v>16042.970360507807</v>
      </c>
      <c r="AA10" s="23">
        <v>15824.049702</v>
      </c>
      <c r="AB10" s="23">
        <v>17644.092843892748</v>
      </c>
      <c r="AC10" s="23">
        <v>20122.691861239873</v>
      </c>
      <c r="AD10" s="23">
        <v>23428.522396</v>
      </c>
      <c r="AE10" s="23">
        <v>25528.928501482093</v>
      </c>
      <c r="AF10" s="23">
        <v>31024.817329686295</v>
      </c>
      <c r="AG10" s="23">
        <v>34569.772123180599</v>
      </c>
      <c r="AI10" s="23">
        <f t="shared" si="12"/>
        <v>1110.0195968599999</v>
      </c>
      <c r="AJ10" s="23">
        <f t="shared" si="13"/>
        <v>1715.5137789</v>
      </c>
      <c r="AK10" s="23">
        <f t="shared" si="14"/>
        <v>3522.3490000000002</v>
      </c>
      <c r="AL10" s="23">
        <f t="shared" si="15"/>
        <v>8104.6790000000001</v>
      </c>
      <c r="AM10" s="23">
        <f t="shared" si="16"/>
        <v>10477.179325501222</v>
      </c>
      <c r="AN10" s="23">
        <f t="shared" si="17"/>
        <v>16042.970360507807</v>
      </c>
      <c r="AO10" s="23">
        <f t="shared" si="18"/>
        <v>23428.522396</v>
      </c>
    </row>
    <row r="11" spans="1:41" ht="14.25" hidden="1" customHeight="1" outlineLevel="1" x14ac:dyDescent="0.35">
      <c r="A11" s="22"/>
      <c r="B11" s="24" t="s">
        <v>61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1.3293851600000002</v>
      </c>
      <c r="AF11" s="23">
        <v>4.4285869900000003</v>
      </c>
      <c r="AG11" s="23">
        <v>0</v>
      </c>
      <c r="AI11" s="23">
        <f t="shared" si="12"/>
        <v>0</v>
      </c>
      <c r="AJ11" s="23">
        <f t="shared" si="13"/>
        <v>0</v>
      </c>
      <c r="AK11" s="23">
        <f t="shared" si="14"/>
        <v>0</v>
      </c>
      <c r="AL11" s="23">
        <f t="shared" si="15"/>
        <v>0</v>
      </c>
      <c r="AM11" s="23">
        <f t="shared" si="16"/>
        <v>0</v>
      </c>
      <c r="AN11" s="23">
        <f t="shared" si="17"/>
        <v>0</v>
      </c>
      <c r="AO11" s="23">
        <f t="shared" si="18"/>
        <v>0</v>
      </c>
    </row>
    <row r="12" spans="1:41" ht="14.25" hidden="1" customHeight="1" outlineLevel="1" x14ac:dyDescent="0.35">
      <c r="A12" s="62"/>
      <c r="B12" s="24" t="s">
        <v>41</v>
      </c>
      <c r="C12" s="23">
        <v>124.81078768</v>
      </c>
      <c r="D12" s="23">
        <v>156.48666833000001</v>
      </c>
      <c r="E12" s="23">
        <v>162.22953305000001</v>
      </c>
      <c r="F12" s="23">
        <v>55.855936100000022</v>
      </c>
      <c r="G12" s="23">
        <v>140.15836308000002</v>
      </c>
      <c r="H12" s="23">
        <v>105.83278528999979</v>
      </c>
      <c r="I12" s="23">
        <v>304.88900000000001</v>
      </c>
      <c r="J12" s="23">
        <v>300.80935048999964</v>
      </c>
      <c r="K12" s="23">
        <v>434.66688380000028</v>
      </c>
      <c r="L12" s="23">
        <v>238.03372476999951</v>
      </c>
      <c r="M12" s="23">
        <v>0.27900000000000003</v>
      </c>
      <c r="N12" s="23">
        <v>124.723</v>
      </c>
      <c r="O12" s="23">
        <v>0.90879700000000008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I12" s="23">
        <f t="shared" si="12"/>
        <v>55.855936100000022</v>
      </c>
      <c r="AJ12" s="23">
        <f t="shared" si="13"/>
        <v>300.80935048999964</v>
      </c>
      <c r="AK12" s="23">
        <f t="shared" si="14"/>
        <v>124.723</v>
      </c>
      <c r="AL12" s="23">
        <f t="shared" si="15"/>
        <v>0</v>
      </c>
      <c r="AM12" s="23">
        <f t="shared" si="16"/>
        <v>0</v>
      </c>
      <c r="AN12" s="23">
        <f t="shared" si="17"/>
        <v>0</v>
      </c>
      <c r="AO12" s="23">
        <f t="shared" si="18"/>
        <v>0</v>
      </c>
    </row>
    <row r="13" spans="1:41" ht="14.25" hidden="1" customHeight="1" outlineLevel="1" x14ac:dyDescent="0.35">
      <c r="A13" s="22"/>
      <c r="B13" s="24" t="s">
        <v>35</v>
      </c>
      <c r="C13" s="23">
        <v>17.641198329999998</v>
      </c>
      <c r="D13" s="23">
        <v>6.9528214899999998</v>
      </c>
      <c r="E13" s="23">
        <v>19.598771710000001</v>
      </c>
      <c r="F13" s="23">
        <v>41.203995929999998</v>
      </c>
      <c r="G13" s="23">
        <v>24.22946628</v>
      </c>
      <c r="H13" s="23">
        <v>15.928516089999999</v>
      </c>
      <c r="I13" s="23">
        <v>19.687731410000001</v>
      </c>
      <c r="J13" s="23">
        <v>21.02278845</v>
      </c>
      <c r="K13" s="23">
        <v>34.387295530000003</v>
      </c>
      <c r="L13" s="23">
        <v>54.524884709999995</v>
      </c>
      <c r="M13" s="23">
        <v>66.305999999999997</v>
      </c>
      <c r="N13" s="23">
        <v>61.609000000000002</v>
      </c>
      <c r="O13" s="23">
        <v>61.602342999999998</v>
      </c>
      <c r="P13" s="23">
        <v>54.355233999999996</v>
      </c>
      <c r="Q13" s="23">
        <v>72.585999999999999</v>
      </c>
      <c r="R13" s="23">
        <v>88.551000000000002</v>
      </c>
      <c r="S13" s="23">
        <v>50.442999999999998</v>
      </c>
      <c r="T13" s="23">
        <v>78.494</v>
      </c>
      <c r="U13" s="23">
        <v>59.085268899999996</v>
      </c>
      <c r="V13" s="23">
        <v>61.936426930000003</v>
      </c>
      <c r="W13" s="23">
        <v>70.210950660000023</v>
      </c>
      <c r="X13" s="23">
        <v>73.624182939999997</v>
      </c>
      <c r="Y13" s="23">
        <v>34.890367929999996</v>
      </c>
      <c r="Z13" s="23">
        <v>30.428736099999998</v>
      </c>
      <c r="AA13" s="23">
        <v>53.045862999999997</v>
      </c>
      <c r="AB13" s="23">
        <v>72.97058242</v>
      </c>
      <c r="AC13" s="23">
        <v>86.214355749999996</v>
      </c>
      <c r="AD13" s="23">
        <v>49.537286000000002</v>
      </c>
      <c r="AE13" s="23">
        <v>49.273927599999993</v>
      </c>
      <c r="AF13" s="23">
        <v>47.890113710000008</v>
      </c>
      <c r="AG13" s="23">
        <v>52.062380510000004</v>
      </c>
      <c r="AI13" s="23">
        <f t="shared" si="12"/>
        <v>41.203995929999998</v>
      </c>
      <c r="AJ13" s="23">
        <f t="shared" si="13"/>
        <v>21.02278845</v>
      </c>
      <c r="AK13" s="23">
        <f t="shared" si="14"/>
        <v>61.609000000000002</v>
      </c>
      <c r="AL13" s="23">
        <f t="shared" si="15"/>
        <v>88.551000000000002</v>
      </c>
      <c r="AM13" s="23">
        <f t="shared" si="16"/>
        <v>61.936426930000003</v>
      </c>
      <c r="AN13" s="23">
        <f t="shared" si="17"/>
        <v>30.428736099999998</v>
      </c>
      <c r="AO13" s="23">
        <f t="shared" si="18"/>
        <v>49.537286000000002</v>
      </c>
    </row>
    <row r="14" spans="1:41" ht="14.25" hidden="1" customHeight="1" outlineLevel="1" x14ac:dyDescent="0.35">
      <c r="A14" s="22"/>
      <c r="B14" s="24" t="s">
        <v>42</v>
      </c>
      <c r="C14" s="23">
        <v>3.8438391799999998</v>
      </c>
      <c r="D14" s="23">
        <v>3.6968718799999998</v>
      </c>
      <c r="E14" s="23">
        <v>4.7839386999999993</v>
      </c>
      <c r="F14" s="23">
        <v>5.7610818900000016</v>
      </c>
      <c r="G14" s="23">
        <v>8.8601184809810292</v>
      </c>
      <c r="H14" s="23">
        <v>4.5950248100000008</v>
      </c>
      <c r="I14" s="23">
        <v>3.8595189199999984</v>
      </c>
      <c r="J14" s="23">
        <v>17.70346369</v>
      </c>
      <c r="K14" s="23">
        <v>15.593926999999999</v>
      </c>
      <c r="L14" s="23">
        <v>7.630644404679999</v>
      </c>
      <c r="M14" s="23">
        <v>11.853</v>
      </c>
      <c r="N14" s="23">
        <v>14.446</v>
      </c>
      <c r="O14" s="23">
        <v>18.007814</v>
      </c>
      <c r="P14" s="23">
        <v>17.883650000000003</v>
      </c>
      <c r="Q14" s="23">
        <v>42.082000000000001</v>
      </c>
      <c r="R14" s="23">
        <v>65.653000000000006</v>
      </c>
      <c r="S14" s="23">
        <v>65.078999999999994</v>
      </c>
      <c r="T14" s="23">
        <v>100.161</v>
      </c>
      <c r="U14" s="23">
        <v>120.67676981999999</v>
      </c>
      <c r="V14" s="23">
        <v>171.56091997999994</v>
      </c>
      <c r="W14" s="23">
        <v>193.32097363000003</v>
      </c>
      <c r="X14" s="23">
        <v>254.09851791</v>
      </c>
      <c r="Y14" s="23">
        <v>285.08604807</v>
      </c>
      <c r="Z14" s="23">
        <v>388.97529052000004</v>
      </c>
      <c r="AA14" s="23">
        <v>383.23054500000001</v>
      </c>
      <c r="AB14" s="23">
        <v>565.05407232000005</v>
      </c>
      <c r="AC14" s="23">
        <v>545.68223493042012</v>
      </c>
      <c r="AD14" s="23">
        <v>469.49048900000003</v>
      </c>
      <c r="AE14" s="23">
        <v>434.38426425709997</v>
      </c>
      <c r="AF14" s="23">
        <v>440.23127755438804</v>
      </c>
      <c r="AG14" s="23">
        <v>460.24847111805678</v>
      </c>
      <c r="AI14" s="23">
        <f t="shared" si="12"/>
        <v>5.7610818900000016</v>
      </c>
      <c r="AJ14" s="23">
        <f t="shared" si="13"/>
        <v>17.70346369</v>
      </c>
      <c r="AK14" s="23">
        <f t="shared" si="14"/>
        <v>14.446</v>
      </c>
      <c r="AL14" s="23">
        <f t="shared" si="15"/>
        <v>65.653000000000006</v>
      </c>
      <c r="AM14" s="23">
        <f t="shared" si="16"/>
        <v>171.56091997999994</v>
      </c>
      <c r="AN14" s="23">
        <f t="shared" si="17"/>
        <v>388.97529052000004</v>
      </c>
      <c r="AO14" s="23">
        <f t="shared" si="18"/>
        <v>469.49048900000003</v>
      </c>
    </row>
    <row r="15" spans="1:41" ht="14.25" hidden="1" customHeight="1" outlineLevel="1" x14ac:dyDescent="0.35">
      <c r="A15" s="22"/>
      <c r="B15" s="24" t="s">
        <v>43</v>
      </c>
      <c r="C15" s="23">
        <v>9.9856331300000001</v>
      </c>
      <c r="D15" s="23">
        <v>36.448727889999994</v>
      </c>
      <c r="E15" s="23">
        <v>10.989021000000001</v>
      </c>
      <c r="F15" s="23">
        <v>21.032219570000002</v>
      </c>
      <c r="G15" s="23">
        <v>15.125781969999998</v>
      </c>
      <c r="H15" s="23">
        <v>20.816798330000001</v>
      </c>
      <c r="I15" s="23">
        <v>6.7876412799999999</v>
      </c>
      <c r="J15" s="23">
        <v>4.4951520700000005</v>
      </c>
      <c r="K15" s="23">
        <v>4.1162352881519997</v>
      </c>
      <c r="L15" s="23">
        <v>6.4301221999999996</v>
      </c>
      <c r="M15" s="23">
        <v>7.8114999999999997</v>
      </c>
      <c r="N15" s="23">
        <v>27.956</v>
      </c>
      <c r="O15" s="23">
        <v>18.834</v>
      </c>
      <c r="P15" s="23">
        <v>17.50807</v>
      </c>
      <c r="Q15" s="23">
        <v>15.978999999999999</v>
      </c>
      <c r="R15" s="23">
        <v>20.148</v>
      </c>
      <c r="S15" s="23">
        <v>30.231000000000002</v>
      </c>
      <c r="T15" s="23">
        <v>41.709000000000003</v>
      </c>
      <c r="U15" s="23">
        <v>38.97392349999997</v>
      </c>
      <c r="V15" s="23">
        <v>84.096236089999977</v>
      </c>
      <c r="W15" s="23">
        <v>71.334073171071992</v>
      </c>
      <c r="X15" s="23">
        <v>62.692257976170005</v>
      </c>
      <c r="Y15" s="23">
        <v>66.223657255000006</v>
      </c>
      <c r="Z15" s="23">
        <v>164.80456393962498</v>
      </c>
      <c r="AA15" s="23">
        <v>157.54534799999999</v>
      </c>
      <c r="AB15" s="23">
        <v>139.42471316870004</v>
      </c>
      <c r="AC15" s="23">
        <v>129.60435782280007</v>
      </c>
      <c r="AD15" s="23">
        <v>194.776251</v>
      </c>
      <c r="AE15" s="23">
        <v>242.92342657700698</v>
      </c>
      <c r="AF15" s="23">
        <v>199.11093188995801</v>
      </c>
      <c r="AG15" s="23">
        <v>148.87291956805001</v>
      </c>
      <c r="AI15" s="23">
        <f t="shared" si="12"/>
        <v>21.032219570000002</v>
      </c>
      <c r="AJ15" s="23">
        <f t="shared" si="13"/>
        <v>4.4951520700000005</v>
      </c>
      <c r="AK15" s="23">
        <f t="shared" si="14"/>
        <v>27.956</v>
      </c>
      <c r="AL15" s="23">
        <f t="shared" si="15"/>
        <v>20.148</v>
      </c>
      <c r="AM15" s="23">
        <f t="shared" si="16"/>
        <v>84.096236089999977</v>
      </c>
      <c r="AN15" s="23">
        <f t="shared" si="17"/>
        <v>164.80456393962498</v>
      </c>
      <c r="AO15" s="23">
        <f t="shared" si="18"/>
        <v>194.776251</v>
      </c>
    </row>
    <row r="16" spans="1:41" ht="14.25" customHeight="1" collapsed="1" x14ac:dyDescent="0.35">
      <c r="A16" s="22"/>
      <c r="B16" s="29" t="s">
        <v>159</v>
      </c>
      <c r="C16" s="30">
        <f t="shared" ref="C16" si="19">SUM(C17:C24)</f>
        <v>33.522669437547677</v>
      </c>
      <c r="D16" s="30">
        <f t="shared" ref="D16:T16" si="20">SUM(D17:D24)</f>
        <v>36.139116517547677</v>
      </c>
      <c r="E16" s="30">
        <f t="shared" si="20"/>
        <v>41.698403329999998</v>
      </c>
      <c r="F16" s="30">
        <f t="shared" si="20"/>
        <v>59.933343105600002</v>
      </c>
      <c r="G16" s="30">
        <f t="shared" si="20"/>
        <v>65.505527159259998</v>
      </c>
      <c r="H16" s="30">
        <f t="shared" si="20"/>
        <v>76.941089327200018</v>
      </c>
      <c r="I16" s="30">
        <f t="shared" si="20"/>
        <v>88.919766096720011</v>
      </c>
      <c r="J16" s="30">
        <f t="shared" si="20"/>
        <v>99.650061761800004</v>
      </c>
      <c r="K16" s="30">
        <f t="shared" si="20"/>
        <v>101.03986110112601</v>
      </c>
      <c r="L16" s="30">
        <f t="shared" si="20"/>
        <v>140.69056534285372</v>
      </c>
      <c r="M16" s="30">
        <f t="shared" si="20"/>
        <v>155.292</v>
      </c>
      <c r="N16" s="30">
        <f t="shared" si="20"/>
        <v>207.80399999999997</v>
      </c>
      <c r="O16" s="30">
        <f t="shared" si="20"/>
        <v>267.22949800000004</v>
      </c>
      <c r="P16" s="30">
        <f t="shared" si="20"/>
        <v>241.836637</v>
      </c>
      <c r="Q16" s="30">
        <f t="shared" si="20"/>
        <v>271.82799999999997</v>
      </c>
      <c r="R16" s="30">
        <f t="shared" si="20"/>
        <v>375.197</v>
      </c>
      <c r="S16" s="30">
        <f t="shared" si="20"/>
        <v>507.69693999999998</v>
      </c>
      <c r="T16" s="30">
        <f t="shared" si="20"/>
        <v>594.34799999999996</v>
      </c>
      <c r="U16" s="30">
        <f t="shared" ref="U16:AF16" si="21">SUM(U17:U24)</f>
        <v>798.51447348047054</v>
      </c>
      <c r="V16" s="30">
        <f t="shared" si="21"/>
        <v>1033.8528410522031</v>
      </c>
      <c r="W16" s="30">
        <f t="shared" si="21"/>
        <v>1321.7560531545778</v>
      </c>
      <c r="X16" s="30">
        <f t="shared" si="21"/>
        <v>1739.0091708968612</v>
      </c>
      <c r="Y16" s="30">
        <f t="shared" si="21"/>
        <v>2241.3173237629317</v>
      </c>
      <c r="Z16" s="30">
        <f t="shared" si="21"/>
        <v>3077.2407264253025</v>
      </c>
      <c r="AA16" s="30">
        <f t="shared" si="21"/>
        <v>3333.2354210000003</v>
      </c>
      <c r="AB16" s="30">
        <f t="shared" si="21"/>
        <v>3558.9679638338575</v>
      </c>
      <c r="AC16" s="30">
        <f t="shared" si="21"/>
        <v>3952.6417953018699</v>
      </c>
      <c r="AD16" s="30">
        <v>4356.4686980199995</v>
      </c>
      <c r="AE16" s="30">
        <f t="shared" si="21"/>
        <v>4935.7871326500972</v>
      </c>
      <c r="AF16" s="30">
        <f t="shared" si="21"/>
        <v>5240.7688117145672</v>
      </c>
      <c r="AG16" s="30">
        <f t="shared" ref="AG16" si="22">SUM(AG17:AG24)</f>
        <v>5566.5918094969238</v>
      </c>
      <c r="AI16" s="30">
        <f t="shared" ref="AI16" si="23">SUM(AI17:AI24)</f>
        <v>59.933343105600002</v>
      </c>
      <c r="AJ16" s="30">
        <f t="shared" ref="AJ16:AO16" si="24">SUM(AJ17:AJ24)</f>
        <v>99.650061761800004</v>
      </c>
      <c r="AK16" s="30">
        <f t="shared" si="24"/>
        <v>207.80399999999997</v>
      </c>
      <c r="AL16" s="30">
        <f t="shared" si="24"/>
        <v>375.197</v>
      </c>
      <c r="AM16" s="30">
        <f t="shared" si="24"/>
        <v>1033.8528410522031</v>
      </c>
      <c r="AN16" s="30">
        <f t="shared" si="24"/>
        <v>3077.2407264253025</v>
      </c>
      <c r="AO16" s="30">
        <f t="shared" si="24"/>
        <v>4356.4686980199995</v>
      </c>
    </row>
    <row r="17" spans="1:41" ht="14.25" hidden="1" customHeight="1" outlineLevel="1" x14ac:dyDescent="0.35">
      <c r="A17" s="22"/>
      <c r="B17" s="24" t="s">
        <v>44</v>
      </c>
      <c r="C17" s="23">
        <v>0.55527179000000004</v>
      </c>
      <c r="D17" s="23">
        <v>0.58889027999999999</v>
      </c>
      <c r="E17" s="23">
        <v>0.61651307</v>
      </c>
      <c r="F17" s="23">
        <v>0.37631351000000002</v>
      </c>
      <c r="G17" s="23">
        <v>0.32684294999999974</v>
      </c>
      <c r="H17" s="23">
        <v>0.32752631999999993</v>
      </c>
      <c r="I17" s="23">
        <v>0.39479258000000117</v>
      </c>
      <c r="J17" s="23">
        <v>0.53413273000000117</v>
      </c>
      <c r="K17" s="23">
        <v>0.58090436000000045</v>
      </c>
      <c r="L17" s="23">
        <v>0.6755248599999919</v>
      </c>
      <c r="M17" s="23">
        <v>0.79500000000000004</v>
      </c>
      <c r="N17" s="23">
        <v>0.872</v>
      </c>
      <c r="O17" s="23">
        <v>1.198164</v>
      </c>
      <c r="P17" s="23">
        <v>1.344641</v>
      </c>
      <c r="Q17" s="23">
        <v>1.4430000000000001</v>
      </c>
      <c r="R17" s="23">
        <v>1.5109999999999999</v>
      </c>
      <c r="S17" s="23">
        <v>2.45763</v>
      </c>
      <c r="T17" s="23">
        <v>2.907</v>
      </c>
      <c r="U17" s="23">
        <v>4.3801032399999507</v>
      </c>
      <c r="V17" s="23">
        <v>5.6514568899999258</v>
      </c>
      <c r="W17" s="23">
        <v>6.7512087899999615</v>
      </c>
      <c r="X17" s="23">
        <v>5.9803680299999114</v>
      </c>
      <c r="Y17" s="23">
        <v>6.800120560000062</v>
      </c>
      <c r="Z17" s="23">
        <v>7.4489868600000735</v>
      </c>
      <c r="AA17" s="23">
        <v>37.698647999999999</v>
      </c>
      <c r="AB17" s="23">
        <v>38.254655910000025</v>
      </c>
      <c r="AC17" s="23">
        <v>38.412827780000029</v>
      </c>
      <c r="AD17" s="23">
        <v>40.224169019999977</v>
      </c>
      <c r="AE17" s="23">
        <v>41.147523509999992</v>
      </c>
      <c r="AF17" s="23">
        <v>41.02468243000007</v>
      </c>
      <c r="AG17" s="23">
        <v>44.062021489999893</v>
      </c>
      <c r="AI17" s="23">
        <f t="shared" ref="AI17:AI24" si="25">F17</f>
        <v>0.37631351000000002</v>
      </c>
      <c r="AJ17" s="23">
        <f t="shared" ref="AJ17:AJ24" si="26">J17</f>
        <v>0.53413273000000117</v>
      </c>
      <c r="AK17" s="23">
        <f t="shared" ref="AK17:AK24" si="27">N17</f>
        <v>0.872</v>
      </c>
      <c r="AL17" s="23">
        <f t="shared" ref="AL17:AL24" si="28">R17</f>
        <v>1.5109999999999999</v>
      </c>
      <c r="AM17" s="23">
        <f t="shared" ref="AM17:AM24" si="29">V17</f>
        <v>5.6514568899999258</v>
      </c>
      <c r="AN17" s="23">
        <f t="shared" ref="AN17:AN24" si="30">Z17</f>
        <v>7.4489868600000735</v>
      </c>
      <c r="AO17" s="23">
        <f t="shared" ref="AO17:AO24" si="31">AD17</f>
        <v>40.224169019999977</v>
      </c>
    </row>
    <row r="18" spans="1:41" ht="14.25" hidden="1" customHeight="1" outlineLevel="1" x14ac:dyDescent="0.35">
      <c r="A18" s="22"/>
      <c r="B18" s="24" t="s">
        <v>120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33.892057999999999</v>
      </c>
      <c r="T18" s="23">
        <v>12.26</v>
      </c>
      <c r="U18" s="23">
        <v>21.94064040702181</v>
      </c>
      <c r="V18" s="23">
        <v>29.942968538772099</v>
      </c>
      <c r="W18" s="23">
        <v>23.72969766594445</v>
      </c>
      <c r="X18" s="23">
        <v>17.897456136664147</v>
      </c>
      <c r="Y18" s="23">
        <v>27.846506951484251</v>
      </c>
      <c r="Z18" s="23">
        <v>33.569947052191715</v>
      </c>
      <c r="AA18" s="23">
        <v>44.451402000000002</v>
      </c>
      <c r="AB18" s="23">
        <v>53.18669447726171</v>
      </c>
      <c r="AC18" s="23">
        <v>179.85548677013534</v>
      </c>
      <c r="AD18" s="23">
        <v>228.879874</v>
      </c>
      <c r="AE18" s="23">
        <v>390.42772765291022</v>
      </c>
      <c r="AF18" s="23">
        <v>511.56620592083993</v>
      </c>
      <c r="AG18" s="23">
        <v>731.36069034143895</v>
      </c>
      <c r="AI18" s="23">
        <f t="shared" si="25"/>
        <v>0</v>
      </c>
      <c r="AJ18" s="23">
        <f t="shared" si="26"/>
        <v>0</v>
      </c>
      <c r="AK18" s="23">
        <f t="shared" si="27"/>
        <v>0</v>
      </c>
      <c r="AL18" s="23">
        <f t="shared" si="28"/>
        <v>0</v>
      </c>
      <c r="AM18" s="23">
        <f t="shared" si="29"/>
        <v>29.942968538772099</v>
      </c>
      <c r="AN18" s="23">
        <f t="shared" si="30"/>
        <v>33.569947052191715</v>
      </c>
      <c r="AO18" s="23">
        <f t="shared" si="31"/>
        <v>228.879874</v>
      </c>
    </row>
    <row r="19" spans="1:41" ht="14.25" hidden="1" customHeight="1" outlineLevel="1" x14ac:dyDescent="0.35">
      <c r="A19" s="62"/>
      <c r="B19" s="24" t="s">
        <v>40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I19" s="23">
        <f t="shared" si="25"/>
        <v>0</v>
      </c>
      <c r="AJ19" s="23">
        <f t="shared" si="26"/>
        <v>0</v>
      </c>
      <c r="AK19" s="23">
        <f t="shared" si="27"/>
        <v>0</v>
      </c>
      <c r="AL19" s="23">
        <f t="shared" si="28"/>
        <v>0</v>
      </c>
      <c r="AM19" s="23">
        <f t="shared" si="29"/>
        <v>0</v>
      </c>
      <c r="AN19" s="23">
        <f t="shared" si="30"/>
        <v>0</v>
      </c>
      <c r="AO19" s="23">
        <f t="shared" si="31"/>
        <v>0</v>
      </c>
    </row>
    <row r="20" spans="1:41" ht="14.25" hidden="1" customHeight="1" outlineLevel="1" x14ac:dyDescent="0.35">
      <c r="A20" s="22"/>
      <c r="B20" s="24" t="s">
        <v>47</v>
      </c>
      <c r="C20" s="23">
        <v>0</v>
      </c>
      <c r="D20" s="23">
        <v>1.2825E-3</v>
      </c>
      <c r="E20" s="23">
        <v>6.0344999999999996E-2</v>
      </c>
      <c r="F20" s="23">
        <v>0.373</v>
      </c>
      <c r="G20" s="23">
        <v>0.26437189</v>
      </c>
      <c r="H20" s="23">
        <v>0.19048492000000003</v>
      </c>
      <c r="I20" s="23">
        <v>0.12885669999999999</v>
      </c>
      <c r="J20" s="23">
        <v>0.1456809</v>
      </c>
      <c r="K20" s="23">
        <v>0.11412125000000001</v>
      </c>
      <c r="L20" s="23">
        <v>9.7912300000000008E-2</v>
      </c>
      <c r="M20" s="23">
        <v>6.9000000000000006E-2</v>
      </c>
      <c r="N20" s="23">
        <v>0.16</v>
      </c>
      <c r="O20" s="23">
        <v>0.50620100000000001</v>
      </c>
      <c r="P20" s="23">
        <v>0.45079399999999997</v>
      </c>
      <c r="Q20" s="23">
        <v>1.3049999999999999</v>
      </c>
      <c r="R20" s="23">
        <v>0.96799999999999997</v>
      </c>
      <c r="S20" s="23">
        <v>1.257339</v>
      </c>
      <c r="T20" s="23">
        <v>5.0010000000000003</v>
      </c>
      <c r="U20" s="23">
        <v>4.9484876599999996</v>
      </c>
      <c r="V20" s="23">
        <v>7.2147193200000004</v>
      </c>
      <c r="W20" s="23">
        <v>10.892582000000001</v>
      </c>
      <c r="X20" s="23">
        <v>10.094791809999998</v>
      </c>
      <c r="Y20" s="23">
        <v>12.07508984</v>
      </c>
      <c r="Z20" s="23">
        <v>10.29281312</v>
      </c>
      <c r="AA20" s="23">
        <v>9.3260009999999998</v>
      </c>
      <c r="AB20" s="23">
        <v>8.9513865600000013</v>
      </c>
      <c r="AC20" s="23">
        <v>14.094434230000001</v>
      </c>
      <c r="AD20" s="23">
        <v>11.709636</v>
      </c>
      <c r="AE20" s="23">
        <v>9.8902571899999998</v>
      </c>
      <c r="AF20" s="23">
        <v>24.29603706</v>
      </c>
      <c r="AG20" s="23">
        <v>15.58868659</v>
      </c>
      <c r="AI20" s="23">
        <f t="shared" si="25"/>
        <v>0.373</v>
      </c>
      <c r="AJ20" s="23">
        <f t="shared" si="26"/>
        <v>0.1456809</v>
      </c>
      <c r="AK20" s="23">
        <f t="shared" si="27"/>
        <v>0.16</v>
      </c>
      <c r="AL20" s="23">
        <f t="shared" si="28"/>
        <v>0.96799999999999997</v>
      </c>
      <c r="AM20" s="23">
        <f t="shared" si="29"/>
        <v>7.2147193200000004</v>
      </c>
      <c r="AN20" s="23">
        <f t="shared" si="30"/>
        <v>10.29281312</v>
      </c>
      <c r="AO20" s="23">
        <f t="shared" si="31"/>
        <v>11.709636</v>
      </c>
    </row>
    <row r="21" spans="1:41" ht="14.25" hidden="1" customHeight="1" outlineLevel="1" x14ac:dyDescent="0.35">
      <c r="A21" s="22"/>
      <c r="B21" s="24" t="s">
        <v>28</v>
      </c>
      <c r="C21" s="23">
        <v>0</v>
      </c>
      <c r="D21" s="23">
        <v>0</v>
      </c>
      <c r="E21" s="23">
        <v>0</v>
      </c>
      <c r="F21" s="23">
        <v>6.7264352955999982</v>
      </c>
      <c r="G21" s="23">
        <v>6.7032099492600006</v>
      </c>
      <c r="H21" s="23">
        <v>9.948359807200001</v>
      </c>
      <c r="I21" s="23">
        <v>11.870932176720002</v>
      </c>
      <c r="J21" s="23">
        <v>8.3050215617999985</v>
      </c>
      <c r="K21" s="23">
        <v>0</v>
      </c>
      <c r="L21" s="23">
        <v>20.016373309999999</v>
      </c>
      <c r="M21" s="23">
        <v>23.231999999999999</v>
      </c>
      <c r="N21" s="23">
        <v>37.015000000000001</v>
      </c>
      <c r="O21" s="23">
        <v>63.822489999999995</v>
      </c>
      <c r="P21" s="23">
        <v>14.713823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104.24010562000001</v>
      </c>
      <c r="Y21" s="23">
        <v>97.610180860000014</v>
      </c>
      <c r="Z21" s="23">
        <v>83.296433110000009</v>
      </c>
      <c r="AA21" s="23">
        <v>77.225634999999997</v>
      </c>
      <c r="AB21" s="23">
        <v>88.082689259999981</v>
      </c>
      <c r="AC21" s="23">
        <v>88.749117030000036</v>
      </c>
      <c r="AD21" s="23">
        <v>120.761679</v>
      </c>
      <c r="AE21" s="23">
        <v>114.30916291358005</v>
      </c>
      <c r="AF21" s="23">
        <v>103.13333593880898</v>
      </c>
      <c r="AG21" s="23">
        <v>102.95246806625998</v>
      </c>
      <c r="AI21" s="23">
        <f t="shared" si="25"/>
        <v>6.7264352955999982</v>
      </c>
      <c r="AJ21" s="23">
        <f t="shared" si="26"/>
        <v>8.3050215617999985</v>
      </c>
      <c r="AK21" s="23">
        <f t="shared" si="27"/>
        <v>37.015000000000001</v>
      </c>
      <c r="AL21" s="23">
        <f t="shared" si="28"/>
        <v>0</v>
      </c>
      <c r="AM21" s="23">
        <f t="shared" si="29"/>
        <v>0</v>
      </c>
      <c r="AN21" s="23">
        <f t="shared" si="30"/>
        <v>83.296433110000009</v>
      </c>
      <c r="AO21" s="23">
        <f t="shared" si="31"/>
        <v>120.761679</v>
      </c>
    </row>
    <row r="22" spans="1:41" ht="14.25" hidden="1" customHeight="1" outlineLevel="1" x14ac:dyDescent="0.35">
      <c r="A22" s="22"/>
      <c r="B22" s="24" t="s">
        <v>36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1.5</v>
      </c>
      <c r="T22" s="23">
        <v>1.5</v>
      </c>
      <c r="U22" s="23">
        <v>1.4999999943789</v>
      </c>
      <c r="V22" s="23">
        <v>1.5000000034310998</v>
      </c>
      <c r="W22" s="23">
        <v>1.4999999997835001</v>
      </c>
      <c r="X22" s="23">
        <v>1.5000000041918999</v>
      </c>
      <c r="Y22" s="23">
        <v>1.5000000017171999</v>
      </c>
      <c r="Z22" s="23">
        <v>16.399838449425602</v>
      </c>
      <c r="AA22" s="23">
        <v>16.400039</v>
      </c>
      <c r="AB22" s="23">
        <v>16.155449955305603</v>
      </c>
      <c r="AC22" s="23">
        <v>15.956237999999999</v>
      </c>
      <c r="AD22" s="23">
        <v>15.665587</v>
      </c>
      <c r="AE22" s="23">
        <v>15.511572804432399</v>
      </c>
      <c r="AF22" s="23">
        <v>14.728448544269801</v>
      </c>
      <c r="AG22" s="23">
        <v>1.5744792338289009</v>
      </c>
      <c r="AI22" s="23">
        <f t="shared" si="25"/>
        <v>0</v>
      </c>
      <c r="AJ22" s="23">
        <f t="shared" si="26"/>
        <v>0</v>
      </c>
      <c r="AK22" s="23">
        <f t="shared" si="27"/>
        <v>0</v>
      </c>
      <c r="AL22" s="23">
        <f t="shared" si="28"/>
        <v>0</v>
      </c>
      <c r="AM22" s="23">
        <f t="shared" si="29"/>
        <v>1.5000000034310998</v>
      </c>
      <c r="AN22" s="23">
        <f t="shared" si="30"/>
        <v>16.399838449425602</v>
      </c>
      <c r="AO22" s="23">
        <f t="shared" si="31"/>
        <v>15.665587</v>
      </c>
    </row>
    <row r="23" spans="1:41" ht="14.25" hidden="1" customHeight="1" outlineLevel="1" x14ac:dyDescent="0.35">
      <c r="A23" s="22"/>
      <c r="B23" s="24" t="s">
        <v>48</v>
      </c>
      <c r="C23" s="23">
        <v>1.8731227675476032</v>
      </c>
      <c r="D23" s="23">
        <v>1.7041258875476031</v>
      </c>
      <c r="E23" s="23">
        <v>1.9927393899999999</v>
      </c>
      <c r="F23" s="23">
        <v>3.8384983899999998</v>
      </c>
      <c r="G23" s="23">
        <v>3.4513081699999999</v>
      </c>
      <c r="H23" s="23">
        <v>3.1579768100000001</v>
      </c>
      <c r="I23" s="23">
        <v>3.36200214</v>
      </c>
      <c r="J23" s="23">
        <v>4.557518410000001</v>
      </c>
      <c r="K23" s="23">
        <v>4.235654871126</v>
      </c>
      <c r="L23" s="23">
        <v>4.3241333839999996</v>
      </c>
      <c r="M23" s="23">
        <v>5.2679999999999998</v>
      </c>
      <c r="N23" s="23">
        <v>10.888999999999999</v>
      </c>
      <c r="O23" s="23">
        <v>11.064675999999999</v>
      </c>
      <c r="P23" s="23">
        <v>20.884460000000001</v>
      </c>
      <c r="Q23" s="23">
        <v>36.683999999999997</v>
      </c>
      <c r="R23" s="23">
        <v>67.103999999999999</v>
      </c>
      <c r="S23" s="23">
        <v>93.407831999999999</v>
      </c>
      <c r="T23" s="23">
        <v>146.739</v>
      </c>
      <c r="U23" s="23">
        <v>253.17072766906995</v>
      </c>
      <c r="V23" s="23">
        <v>399.99048642000002</v>
      </c>
      <c r="W23" s="23">
        <v>607.23251313884998</v>
      </c>
      <c r="X23" s="23">
        <v>889.54147739600512</v>
      </c>
      <c r="Y23" s="23">
        <v>1275.0718117697302</v>
      </c>
      <c r="Z23" s="23">
        <v>1802.6129697136846</v>
      </c>
      <c r="AA23" s="23">
        <v>1944.0950220000002</v>
      </c>
      <c r="AB23" s="23">
        <v>2047.63033605129</v>
      </c>
      <c r="AC23" s="23">
        <v>2148.2946022297347</v>
      </c>
      <c r="AD23" s="23">
        <v>2289.0518509999997</v>
      </c>
      <c r="AE23" s="23">
        <v>2578.5250164271743</v>
      </c>
      <c r="AF23" s="23">
        <v>2646.6479826986483</v>
      </c>
      <c r="AG23" s="23">
        <v>2671.7572103033963</v>
      </c>
      <c r="AI23" s="23">
        <f t="shared" si="25"/>
        <v>3.8384983899999998</v>
      </c>
      <c r="AJ23" s="23">
        <f t="shared" si="26"/>
        <v>4.557518410000001</v>
      </c>
      <c r="AK23" s="23">
        <f t="shared" si="27"/>
        <v>10.888999999999999</v>
      </c>
      <c r="AL23" s="23">
        <f t="shared" si="28"/>
        <v>67.103999999999999</v>
      </c>
      <c r="AM23" s="23">
        <f t="shared" si="29"/>
        <v>399.99048642000002</v>
      </c>
      <c r="AN23" s="23">
        <f t="shared" si="30"/>
        <v>1802.6129697136846</v>
      </c>
      <c r="AO23" s="23">
        <f t="shared" si="31"/>
        <v>2289.0518509999997</v>
      </c>
    </row>
    <row r="24" spans="1:41" ht="14.25" hidden="1" customHeight="1" outlineLevel="1" x14ac:dyDescent="0.35">
      <c r="A24" s="22"/>
      <c r="B24" s="24" t="s">
        <v>49</v>
      </c>
      <c r="C24" s="23">
        <v>31.094274880000075</v>
      </c>
      <c r="D24" s="23">
        <v>33.844817850000076</v>
      </c>
      <c r="E24" s="23">
        <v>39.028805869999999</v>
      </c>
      <c r="F24" s="23">
        <v>48.619095910000006</v>
      </c>
      <c r="G24" s="23">
        <v>54.759794200000002</v>
      </c>
      <c r="H24" s="23">
        <v>63.316741470000011</v>
      </c>
      <c r="I24" s="23">
        <v>73.163182500000005</v>
      </c>
      <c r="J24" s="23">
        <v>86.107708160000001</v>
      </c>
      <c r="K24" s="23">
        <v>96.109180620000004</v>
      </c>
      <c r="L24" s="23">
        <v>115.57662148885373</v>
      </c>
      <c r="M24" s="23">
        <v>125.928</v>
      </c>
      <c r="N24" s="23">
        <v>158.86799999999999</v>
      </c>
      <c r="O24" s="23">
        <v>190.637967</v>
      </c>
      <c r="P24" s="23">
        <v>204.44291899999999</v>
      </c>
      <c r="Q24" s="23">
        <v>232.39599999999999</v>
      </c>
      <c r="R24" s="23">
        <v>305.61399999999998</v>
      </c>
      <c r="S24" s="23">
        <v>375.18208099999998</v>
      </c>
      <c r="T24" s="23">
        <v>425.94099999999997</v>
      </c>
      <c r="U24" s="23">
        <v>512.57451450999997</v>
      </c>
      <c r="V24" s="23">
        <v>589.55320987999994</v>
      </c>
      <c r="W24" s="23">
        <v>671.65005155999995</v>
      </c>
      <c r="X24" s="23">
        <v>709.7549719000001</v>
      </c>
      <c r="Y24" s="23">
        <v>820.41361377999999</v>
      </c>
      <c r="Z24" s="23">
        <v>1123.6197381200002</v>
      </c>
      <c r="AA24" s="23">
        <v>1204.0386740000001</v>
      </c>
      <c r="AB24" s="23">
        <v>1306.7067516200004</v>
      </c>
      <c r="AC24" s="23">
        <v>1467.2790892620001</v>
      </c>
      <c r="AD24" s="23">
        <v>1650.175902</v>
      </c>
      <c r="AE24" s="23">
        <v>1785.9758721520004</v>
      </c>
      <c r="AF24" s="23">
        <v>1899.372119122</v>
      </c>
      <c r="AG24" s="23">
        <v>1999.2962534720002</v>
      </c>
      <c r="AI24" s="23">
        <f t="shared" si="25"/>
        <v>48.619095910000006</v>
      </c>
      <c r="AJ24" s="23">
        <f t="shared" si="26"/>
        <v>86.107708160000001</v>
      </c>
      <c r="AK24" s="23">
        <f t="shared" si="27"/>
        <v>158.86799999999999</v>
      </c>
      <c r="AL24" s="23">
        <f t="shared" si="28"/>
        <v>305.61399999999998</v>
      </c>
      <c r="AM24" s="23">
        <f t="shared" si="29"/>
        <v>589.55320987999994</v>
      </c>
      <c r="AN24" s="23">
        <f t="shared" si="30"/>
        <v>1123.6197381200002</v>
      </c>
      <c r="AO24" s="23">
        <f t="shared" si="31"/>
        <v>1650.175902</v>
      </c>
    </row>
    <row r="25" spans="1:41" ht="14.25" customHeight="1" collapsed="1" x14ac:dyDescent="0.35">
      <c r="A25" s="22"/>
      <c r="B25" s="18" t="s">
        <v>160</v>
      </c>
      <c r="C25" s="28">
        <f t="shared" ref="C25:AF25" si="32">C26+C39+C45</f>
        <v>824.09641967754806</v>
      </c>
      <c r="D25" s="28">
        <f t="shared" si="32"/>
        <v>1036.7162095678812</v>
      </c>
      <c r="E25" s="28">
        <f t="shared" si="32"/>
        <v>1205.7524938499998</v>
      </c>
      <c r="F25" s="28">
        <f t="shared" si="32"/>
        <v>1300.6939044541184</v>
      </c>
      <c r="G25" s="28">
        <f t="shared" si="32"/>
        <v>1397.0107840615262</v>
      </c>
      <c r="H25" s="28">
        <f t="shared" si="32"/>
        <v>1446.6833711692188</v>
      </c>
      <c r="I25" s="28">
        <f t="shared" si="32"/>
        <v>1887.7847095297197</v>
      </c>
      <c r="J25" s="28">
        <f t="shared" si="32"/>
        <v>2370.4019096640332</v>
      </c>
      <c r="K25" s="28">
        <f t="shared" si="32"/>
        <v>2493.4439270146154</v>
      </c>
      <c r="L25" s="28">
        <f t="shared" si="32"/>
        <v>2818.5825228733443</v>
      </c>
      <c r="M25" s="28">
        <f t="shared" si="32"/>
        <v>3264.1330000000007</v>
      </c>
      <c r="N25" s="28">
        <f t="shared" si="32"/>
        <v>4235.7569999999996</v>
      </c>
      <c r="O25" s="28">
        <f t="shared" si="32"/>
        <v>7795.2911729999996</v>
      </c>
      <c r="P25" s="28">
        <f t="shared" si="32"/>
        <v>9417.1727100000026</v>
      </c>
      <c r="Q25" s="28">
        <f t="shared" si="32"/>
        <v>10362.359999999999</v>
      </c>
      <c r="R25" s="28">
        <f t="shared" si="32"/>
        <v>11417.275999999998</v>
      </c>
      <c r="S25" s="28">
        <f t="shared" si="32"/>
        <v>11893.832958999999</v>
      </c>
      <c r="T25" s="28">
        <f t="shared" si="32"/>
        <v>12690.447791999999</v>
      </c>
      <c r="U25" s="28">
        <f t="shared" si="32"/>
        <v>12984.886604586765</v>
      </c>
      <c r="V25" s="28">
        <f t="shared" si="32"/>
        <v>14582.24507560434</v>
      </c>
      <c r="W25" s="28">
        <f t="shared" si="32"/>
        <v>14468.131349895963</v>
      </c>
      <c r="X25" s="28">
        <f t="shared" si="32"/>
        <v>16343.758251686198</v>
      </c>
      <c r="Y25" s="28">
        <f t="shared" si="32"/>
        <v>18624.563734005045</v>
      </c>
      <c r="Z25" s="28">
        <f t="shared" si="32"/>
        <v>22324.321383587849</v>
      </c>
      <c r="AA25" s="28">
        <f t="shared" si="32"/>
        <v>21976.496945999999</v>
      </c>
      <c r="AB25" s="28">
        <f t="shared" si="32"/>
        <v>24186.037986395339</v>
      </c>
      <c r="AC25" s="28">
        <f t="shared" si="32"/>
        <v>26960.098373311062</v>
      </c>
      <c r="AD25" s="28">
        <v>31075.805844161339</v>
      </c>
      <c r="AE25" s="28">
        <f t="shared" si="32"/>
        <v>33807.506776903654</v>
      </c>
      <c r="AF25" s="28">
        <f t="shared" si="32"/>
        <v>39195.790415640869</v>
      </c>
      <c r="AG25" s="28">
        <f t="shared" ref="AG25" si="33">AG26+AG39+AG45</f>
        <v>43275.882955525871</v>
      </c>
      <c r="AI25" s="28">
        <f t="shared" ref="AI25:AO25" si="34">AI26+AI39+AI45</f>
        <v>1300.6939044541184</v>
      </c>
      <c r="AJ25" s="28">
        <f t="shared" si="34"/>
        <v>2370.4019096640332</v>
      </c>
      <c r="AK25" s="28">
        <f t="shared" si="34"/>
        <v>4235.7569999999996</v>
      </c>
      <c r="AL25" s="28">
        <f t="shared" si="34"/>
        <v>11417.275999999998</v>
      </c>
      <c r="AM25" s="28">
        <f t="shared" si="34"/>
        <v>14582.24507560434</v>
      </c>
      <c r="AN25" s="28">
        <f t="shared" si="34"/>
        <v>22324.321383587849</v>
      </c>
      <c r="AO25" s="28">
        <f t="shared" si="34"/>
        <v>31075.805844161339</v>
      </c>
    </row>
    <row r="26" spans="1:41" ht="14.25" customHeight="1" x14ac:dyDescent="0.35">
      <c r="A26" s="22"/>
      <c r="B26" s="29" t="s">
        <v>161</v>
      </c>
      <c r="C26" s="30">
        <f t="shared" ref="C26:AC26" si="35">SUM(C27:C38)</f>
        <v>460.09909280397488</v>
      </c>
      <c r="D26" s="30">
        <f t="shared" si="35"/>
        <v>613.86140365318772</v>
      </c>
      <c r="E26" s="30">
        <f t="shared" si="35"/>
        <v>776.69673739118741</v>
      </c>
      <c r="F26" s="30">
        <f t="shared" si="35"/>
        <v>832.53546222999989</v>
      </c>
      <c r="G26" s="30">
        <f t="shared" si="35"/>
        <v>912.15133483</v>
      </c>
      <c r="H26" s="30">
        <f t="shared" si="35"/>
        <v>924.52134813036673</v>
      </c>
      <c r="I26" s="30">
        <f t="shared" si="35"/>
        <v>1250.4280552665198</v>
      </c>
      <c r="J26" s="30">
        <f t="shared" si="35"/>
        <v>1719.1618897400001</v>
      </c>
      <c r="K26" s="30">
        <f t="shared" si="35"/>
        <v>1787.3585906109661</v>
      </c>
      <c r="L26" s="30">
        <f t="shared" si="35"/>
        <v>2011.3068710187065</v>
      </c>
      <c r="M26" s="30">
        <f t="shared" si="35"/>
        <v>2543.9440000000009</v>
      </c>
      <c r="N26" s="30">
        <f t="shared" si="35"/>
        <v>3318.9669999999996</v>
      </c>
      <c r="O26" s="30">
        <f t="shared" si="35"/>
        <v>3251.7196609999996</v>
      </c>
      <c r="P26" s="30">
        <f t="shared" si="35"/>
        <v>3448.1025200000004</v>
      </c>
      <c r="Q26" s="30">
        <f t="shared" si="35"/>
        <v>4046.6349999999993</v>
      </c>
      <c r="R26" s="30">
        <f t="shared" si="35"/>
        <v>4710.7739999999994</v>
      </c>
      <c r="S26" s="30">
        <f t="shared" si="35"/>
        <v>4770.8319999999994</v>
      </c>
      <c r="T26" s="30">
        <f t="shared" si="35"/>
        <v>5098.4855530000004</v>
      </c>
      <c r="U26" s="30">
        <f t="shared" si="35"/>
        <v>4888.2327292740083</v>
      </c>
      <c r="V26" s="30">
        <f t="shared" si="35"/>
        <v>5893.0627586715354</v>
      </c>
      <c r="W26" s="30">
        <f t="shared" si="35"/>
        <v>5297.7670374239324</v>
      </c>
      <c r="X26" s="30">
        <f t="shared" si="35"/>
        <v>6620.5807021818318</v>
      </c>
      <c r="Y26" s="30">
        <f t="shared" si="35"/>
        <v>8487.8750957585416</v>
      </c>
      <c r="Z26" s="30">
        <f t="shared" si="35"/>
        <v>11574.476502700032</v>
      </c>
      <c r="AA26" s="30">
        <f t="shared" si="35"/>
        <v>10714.138042999999</v>
      </c>
      <c r="AB26" s="30">
        <f t="shared" si="35"/>
        <v>12568.657432246919</v>
      </c>
      <c r="AC26" s="30">
        <f t="shared" si="35"/>
        <v>14820.597255098948</v>
      </c>
      <c r="AD26" s="30">
        <v>19002.918690000006</v>
      </c>
      <c r="AE26" s="30">
        <f t="shared" ref="AE26:AF26" si="36">SUM(AE27:AE38)</f>
        <v>20926.444410090266</v>
      </c>
      <c r="AF26" s="30">
        <f t="shared" si="36"/>
        <v>24680.553641126808</v>
      </c>
      <c r="AG26" s="30">
        <f t="shared" ref="AG26" si="37">SUM(AG27:AG38)</f>
        <v>28286.841226211149</v>
      </c>
      <c r="AI26" s="30">
        <f t="shared" ref="AI26:AO26" si="38">SUM(AI27:AI38)</f>
        <v>832.53546222999989</v>
      </c>
      <c r="AJ26" s="30">
        <f t="shared" si="38"/>
        <v>1719.1618897400001</v>
      </c>
      <c r="AK26" s="30">
        <f t="shared" si="38"/>
        <v>3318.9669999999996</v>
      </c>
      <c r="AL26" s="30">
        <f t="shared" si="38"/>
        <v>4710.7739999999994</v>
      </c>
      <c r="AM26" s="30">
        <f t="shared" si="38"/>
        <v>5893.0627586715354</v>
      </c>
      <c r="AN26" s="30">
        <f t="shared" si="38"/>
        <v>11574.476502700032</v>
      </c>
      <c r="AO26" s="30">
        <f t="shared" si="38"/>
        <v>19002.918690000006</v>
      </c>
    </row>
    <row r="27" spans="1:41" ht="14.25" hidden="1" customHeight="1" outlineLevel="1" x14ac:dyDescent="0.35">
      <c r="A27" s="22"/>
      <c r="B27" s="24" t="s">
        <v>45</v>
      </c>
      <c r="C27" s="23">
        <v>361.21742486000039</v>
      </c>
      <c r="D27" s="23">
        <v>429.44686625000026</v>
      </c>
      <c r="E27" s="23">
        <v>504.77215218999999</v>
      </c>
      <c r="F27" s="23">
        <v>683.09240305999992</v>
      </c>
      <c r="G27" s="23">
        <v>675.72954094000011</v>
      </c>
      <c r="H27" s="23">
        <v>794.26133004999986</v>
      </c>
      <c r="I27" s="23">
        <v>899.06621253000014</v>
      </c>
      <c r="J27" s="23">
        <v>1304.03088454</v>
      </c>
      <c r="K27" s="23">
        <v>1442.7472652700003</v>
      </c>
      <c r="L27" s="23">
        <v>1800.1375131999996</v>
      </c>
      <c r="M27" s="23">
        <v>2261.4720000000002</v>
      </c>
      <c r="N27" s="23">
        <v>3080.569</v>
      </c>
      <c r="O27" s="23">
        <v>2975.2973320000001</v>
      </c>
      <c r="P27" s="23">
        <v>3084.7863950000001</v>
      </c>
      <c r="Q27" s="23">
        <v>3702.7139999999999</v>
      </c>
      <c r="R27" s="23">
        <v>4324.1980000000003</v>
      </c>
      <c r="S27" s="23">
        <v>4368.09</v>
      </c>
      <c r="T27" s="23">
        <v>4581.475203</v>
      </c>
      <c r="U27" s="23">
        <v>4408.3261443699994</v>
      </c>
      <c r="V27" s="23">
        <v>5326.2902085200003</v>
      </c>
      <c r="W27" s="23">
        <v>4691.2603002299993</v>
      </c>
      <c r="X27" s="23">
        <v>5649.3659551500004</v>
      </c>
      <c r="Y27" s="23">
        <v>7660.02527242</v>
      </c>
      <c r="Z27" s="23">
        <v>10101.510160279997</v>
      </c>
      <c r="AA27" s="23">
        <v>8747.5710669999989</v>
      </c>
      <c r="AB27" s="23">
        <v>9817.0368688299986</v>
      </c>
      <c r="AC27" s="23">
        <v>11068.114052049998</v>
      </c>
      <c r="AD27" s="23">
        <v>13217.149925000002</v>
      </c>
      <c r="AE27" s="23">
        <v>13180.32123385802</v>
      </c>
      <c r="AF27" s="23">
        <v>14359.488252585905</v>
      </c>
      <c r="AG27" s="23">
        <v>14947.304700213619</v>
      </c>
      <c r="AI27" s="23">
        <f t="shared" ref="AI27:AI38" si="39">F27</f>
        <v>683.09240305999992</v>
      </c>
      <c r="AJ27" s="23">
        <f t="shared" ref="AJ27:AJ38" si="40">J27</f>
        <v>1304.03088454</v>
      </c>
      <c r="AK27" s="23">
        <f t="shared" ref="AK27:AK38" si="41">N27</f>
        <v>3080.569</v>
      </c>
      <c r="AL27" s="23">
        <f t="shared" ref="AL27:AL38" si="42">R27</f>
        <v>4324.1980000000003</v>
      </c>
      <c r="AM27" s="23">
        <f t="shared" ref="AM27:AM38" si="43">V27</f>
        <v>5326.2902085200003</v>
      </c>
      <c r="AN27" s="23">
        <f t="shared" ref="AN27:AN38" si="44">Z27</f>
        <v>10101.510160279997</v>
      </c>
      <c r="AO27" s="23">
        <f t="shared" ref="AO27:AO38" si="45">AD27</f>
        <v>13217.149925000002</v>
      </c>
    </row>
    <row r="28" spans="1:41" ht="14.25" hidden="1" customHeight="1" outlineLevel="1" x14ac:dyDescent="0.35">
      <c r="A28" s="22"/>
      <c r="B28" s="24" t="s">
        <v>46</v>
      </c>
      <c r="C28" s="23">
        <v>24.875384830000005</v>
      </c>
      <c r="D28" s="23">
        <v>61.679372700000009</v>
      </c>
      <c r="E28" s="23">
        <v>65.988341200000022</v>
      </c>
      <c r="F28" s="23">
        <v>35.344009919999998</v>
      </c>
      <c r="G28" s="23">
        <v>44.231761810000009</v>
      </c>
      <c r="H28" s="23">
        <v>95.241131450000125</v>
      </c>
      <c r="I28" s="23">
        <v>88.133077969999874</v>
      </c>
      <c r="J28" s="23">
        <v>61.718512560000043</v>
      </c>
      <c r="K28" s="23">
        <v>92.728522999927662</v>
      </c>
      <c r="L28" s="23">
        <v>102.98471134000016</v>
      </c>
      <c r="M28" s="23">
        <v>112.59699999999999</v>
      </c>
      <c r="N28" s="23">
        <v>92.444000000000003</v>
      </c>
      <c r="O28" s="23">
        <v>119.15516000000001</v>
      </c>
      <c r="P28" s="23">
        <v>156.81050099999999</v>
      </c>
      <c r="Q28" s="23">
        <v>151.62100000000001</v>
      </c>
      <c r="R28" s="23">
        <v>167.17500000000001</v>
      </c>
      <c r="S28" s="23">
        <v>162.72900000000001</v>
      </c>
      <c r="T28" s="23">
        <v>237.771435</v>
      </c>
      <c r="U28" s="23">
        <v>185.66732904999995</v>
      </c>
      <c r="V28" s="23">
        <v>256.28108086000452</v>
      </c>
      <c r="W28" s="23">
        <v>279.26202624200016</v>
      </c>
      <c r="X28" s="23">
        <v>227.23519366965695</v>
      </c>
      <c r="Y28" s="23">
        <v>214.68558818609998</v>
      </c>
      <c r="Z28" s="23">
        <v>335.53875136422459</v>
      </c>
      <c r="AA28" s="23">
        <v>305.70709700000003</v>
      </c>
      <c r="AB28" s="23">
        <v>343.93815429077085</v>
      </c>
      <c r="AC28" s="23">
        <v>377.58872745107584</v>
      </c>
      <c r="AD28" s="23">
        <v>578.00400500000001</v>
      </c>
      <c r="AE28" s="23">
        <v>557.65419165916001</v>
      </c>
      <c r="AF28" s="23">
        <v>507.35468097518788</v>
      </c>
      <c r="AG28" s="23">
        <v>371.73023130600001</v>
      </c>
      <c r="AI28" s="23">
        <f t="shared" si="39"/>
        <v>35.344009919999998</v>
      </c>
      <c r="AJ28" s="23">
        <f t="shared" si="40"/>
        <v>61.718512560000043</v>
      </c>
      <c r="AK28" s="23">
        <f t="shared" si="41"/>
        <v>92.444000000000003</v>
      </c>
      <c r="AL28" s="23">
        <f t="shared" si="42"/>
        <v>167.17500000000001</v>
      </c>
      <c r="AM28" s="23">
        <f t="shared" si="43"/>
        <v>256.28108086000452</v>
      </c>
      <c r="AN28" s="23">
        <f t="shared" si="44"/>
        <v>335.53875136422459</v>
      </c>
      <c r="AO28" s="23">
        <f t="shared" si="45"/>
        <v>578.00400500000001</v>
      </c>
    </row>
    <row r="29" spans="1:41" ht="14.25" hidden="1" customHeight="1" outlineLevel="1" x14ac:dyDescent="0.35">
      <c r="A29" s="22"/>
      <c r="B29" s="24" t="s">
        <v>50</v>
      </c>
      <c r="C29" s="23">
        <v>65.665749203974499</v>
      </c>
      <c r="D29" s="23">
        <v>108.94425530318749</v>
      </c>
      <c r="E29" s="23">
        <v>180.73279725118743</v>
      </c>
      <c r="F29" s="23">
        <v>92.402000000000001</v>
      </c>
      <c r="G29" s="23">
        <v>178.19852429000002</v>
      </c>
      <c r="H29" s="23">
        <v>16.84736337</v>
      </c>
      <c r="I29" s="23">
        <v>28.715585740000002</v>
      </c>
      <c r="J29" s="23">
        <v>76.248962319999592</v>
      </c>
      <c r="K29" s="23">
        <v>162.66656752</v>
      </c>
      <c r="L29" s="23">
        <v>31.666373460000038</v>
      </c>
      <c r="M29" s="23">
        <v>72.616</v>
      </c>
      <c r="N29" s="23">
        <v>39.100999999999999</v>
      </c>
      <c r="O29" s="23">
        <v>44.973367999999994</v>
      </c>
      <c r="P29" s="23">
        <v>33.614622000000004</v>
      </c>
      <c r="Q29" s="23">
        <v>32.262999999999998</v>
      </c>
      <c r="R29" s="23">
        <v>28.869</v>
      </c>
      <c r="S29" s="23">
        <v>30.539000000000001</v>
      </c>
      <c r="T29" s="23">
        <v>36.594506000000003</v>
      </c>
      <c r="U29" s="23">
        <v>34.875155913833346</v>
      </c>
      <c r="V29" s="23">
        <v>22.187333190621764</v>
      </c>
      <c r="W29" s="23">
        <v>35.767287265127614</v>
      </c>
      <c r="X29" s="23">
        <v>145.39731887273214</v>
      </c>
      <c r="Y29" s="23">
        <v>130.83620781323216</v>
      </c>
      <c r="Z29" s="23">
        <v>58.335783160000453</v>
      </c>
      <c r="AA29" s="23">
        <v>79.653467000000006</v>
      </c>
      <c r="AB29" s="23">
        <v>288.16923820996914</v>
      </c>
      <c r="AC29" s="23">
        <v>369.50093550996911</v>
      </c>
      <c r="AD29" s="23">
        <v>543.62106400000005</v>
      </c>
      <c r="AE29" s="23">
        <v>282.76730566999998</v>
      </c>
      <c r="AF29" s="23">
        <v>270.29374202999998</v>
      </c>
      <c r="AG29" s="23">
        <v>450.98666144999999</v>
      </c>
      <c r="AI29" s="23">
        <f t="shared" si="39"/>
        <v>92.402000000000001</v>
      </c>
      <c r="AJ29" s="23">
        <f t="shared" si="40"/>
        <v>76.248962319999592</v>
      </c>
      <c r="AK29" s="23">
        <f t="shared" si="41"/>
        <v>39.100999999999999</v>
      </c>
      <c r="AL29" s="23">
        <f t="shared" si="42"/>
        <v>28.869</v>
      </c>
      <c r="AM29" s="23">
        <f t="shared" si="43"/>
        <v>22.187333190621764</v>
      </c>
      <c r="AN29" s="23">
        <f t="shared" si="44"/>
        <v>58.335783160000453</v>
      </c>
      <c r="AO29" s="23">
        <f t="shared" si="45"/>
        <v>543.62106400000005</v>
      </c>
    </row>
    <row r="30" spans="1:41" ht="14.25" hidden="1" customHeight="1" outlineLevel="1" x14ac:dyDescent="0.35">
      <c r="A30" s="62"/>
      <c r="B30" s="24" t="s">
        <v>62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201.84571093</v>
      </c>
      <c r="J30" s="23">
        <v>205.20389422999997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1005.786907</v>
      </c>
      <c r="AE30" s="23">
        <v>1110.3722831599998</v>
      </c>
      <c r="AF30" s="23">
        <v>1205.5702833</v>
      </c>
      <c r="AG30" s="23">
        <v>986.69530813999995</v>
      </c>
      <c r="AI30" s="23">
        <f t="shared" si="39"/>
        <v>0</v>
      </c>
      <c r="AJ30" s="23">
        <f t="shared" si="40"/>
        <v>205.20389422999997</v>
      </c>
      <c r="AK30" s="23">
        <f t="shared" si="41"/>
        <v>0</v>
      </c>
      <c r="AL30" s="23">
        <f t="shared" si="42"/>
        <v>0</v>
      </c>
      <c r="AM30" s="23">
        <f t="shared" si="43"/>
        <v>0</v>
      </c>
      <c r="AN30" s="23">
        <f t="shared" si="44"/>
        <v>0</v>
      </c>
      <c r="AO30" s="23">
        <f t="shared" si="45"/>
        <v>1005.786907</v>
      </c>
    </row>
    <row r="31" spans="1:41" ht="14.25" hidden="1" customHeight="1" outlineLevel="1" x14ac:dyDescent="0.35">
      <c r="A31" s="62"/>
      <c r="B31" s="24" t="s">
        <v>61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2.6670066800000005</v>
      </c>
      <c r="J31" s="23">
        <v>6.6132037699999993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14.316891</v>
      </c>
      <c r="AE31" s="23">
        <v>192.74299605999997</v>
      </c>
      <c r="AF31" s="23">
        <v>143.48454170000002</v>
      </c>
      <c r="AG31" s="23">
        <v>157.01277574000002</v>
      </c>
      <c r="AI31" s="23">
        <f>F31</f>
        <v>0</v>
      </c>
      <c r="AJ31" s="23">
        <f>J31</f>
        <v>6.6132037699999993</v>
      </c>
      <c r="AK31" s="23">
        <f>N31</f>
        <v>0</v>
      </c>
      <c r="AL31" s="23">
        <f>R31</f>
        <v>0</v>
      </c>
      <c r="AM31" s="23">
        <f>V31</f>
        <v>0</v>
      </c>
      <c r="AN31" s="23">
        <f>Z31</f>
        <v>0</v>
      </c>
      <c r="AO31" s="23">
        <f>AD31</f>
        <v>14.316891</v>
      </c>
    </row>
    <row r="32" spans="1:41" ht="14.25" hidden="1" customHeight="1" outlineLevel="1" x14ac:dyDescent="0.35">
      <c r="A32" s="22"/>
      <c r="B32" s="24" t="s">
        <v>110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318.54046082000002</v>
      </c>
      <c r="Y32" s="23">
        <v>133.68845831000002</v>
      </c>
      <c r="Z32" s="23">
        <v>571.99622041999999</v>
      </c>
      <c r="AA32" s="23">
        <v>1157.9047949999999</v>
      </c>
      <c r="AB32" s="23">
        <v>1547.0087573599999</v>
      </c>
      <c r="AC32" s="23">
        <v>2458.3764313100005</v>
      </c>
      <c r="AD32" s="23">
        <v>3056.4438</v>
      </c>
      <c r="AE32" s="23">
        <v>5145.8643629200005</v>
      </c>
      <c r="AF32" s="23">
        <v>7689.2326845999996</v>
      </c>
      <c r="AG32" s="23">
        <v>10795.29461854</v>
      </c>
      <c r="AI32" s="23">
        <f t="shared" si="39"/>
        <v>0</v>
      </c>
      <c r="AJ32" s="23">
        <f t="shared" si="40"/>
        <v>0</v>
      </c>
      <c r="AK32" s="23">
        <f t="shared" si="41"/>
        <v>0</v>
      </c>
      <c r="AL32" s="23">
        <f t="shared" si="42"/>
        <v>0</v>
      </c>
      <c r="AM32" s="23">
        <f t="shared" si="43"/>
        <v>0</v>
      </c>
      <c r="AN32" s="23">
        <f t="shared" si="44"/>
        <v>571.99622041999999</v>
      </c>
      <c r="AO32" s="23">
        <f t="shared" si="45"/>
        <v>3056.4438</v>
      </c>
    </row>
    <row r="33" spans="1:41" ht="14.25" hidden="1" customHeight="1" outlineLevel="1" x14ac:dyDescent="0.35">
      <c r="A33" s="22"/>
      <c r="B33" s="24" t="s">
        <v>51</v>
      </c>
      <c r="C33" s="23">
        <v>0.41897174999999998</v>
      </c>
      <c r="D33" s="23">
        <v>0.48157870000000003</v>
      </c>
      <c r="E33" s="23">
        <v>11.261370480000004</v>
      </c>
      <c r="F33" s="23">
        <v>13.651075909999999</v>
      </c>
      <c r="G33" s="23">
        <v>10.240309479999999</v>
      </c>
      <c r="H33" s="23">
        <v>13.899488180000001</v>
      </c>
      <c r="I33" s="23">
        <v>19.617411860000001</v>
      </c>
      <c r="J33" s="23">
        <v>20.26919646</v>
      </c>
      <c r="K33" s="23">
        <v>16.558898116528002</v>
      </c>
      <c r="L33" s="23">
        <v>24.977384278999999</v>
      </c>
      <c r="M33" s="23">
        <v>32.192</v>
      </c>
      <c r="N33" s="23">
        <v>34.268999999999998</v>
      </c>
      <c r="O33" s="23">
        <v>26.191637</v>
      </c>
      <c r="P33" s="23">
        <v>62.651248000000002</v>
      </c>
      <c r="Q33" s="23">
        <v>73.497</v>
      </c>
      <c r="R33" s="23">
        <v>73.936000000000007</v>
      </c>
      <c r="S33" s="23">
        <v>70.596000000000004</v>
      </c>
      <c r="T33" s="23">
        <v>108.98389200000001</v>
      </c>
      <c r="U33" s="23">
        <v>116.16301815612501</v>
      </c>
      <c r="V33" s="23">
        <v>106.81225565999999</v>
      </c>
      <c r="W33" s="23">
        <v>71.234214320000035</v>
      </c>
      <c r="X33" s="23">
        <v>95.323381740000016</v>
      </c>
      <c r="Y33" s="23">
        <v>107.21347094000001</v>
      </c>
      <c r="Z33" s="23">
        <v>175.19765276000001</v>
      </c>
      <c r="AA33" s="23">
        <v>152.86887899999999</v>
      </c>
      <c r="AB33" s="23">
        <v>217.8343155</v>
      </c>
      <c r="AC33" s="23">
        <v>247.28313052000001</v>
      </c>
      <c r="AD33" s="23">
        <v>259.72374400000001</v>
      </c>
      <c r="AE33" s="23">
        <v>182.97425510000002</v>
      </c>
      <c r="AF33" s="23">
        <v>251.4296863438</v>
      </c>
      <c r="AG33" s="23">
        <v>300.75949915717626</v>
      </c>
      <c r="AI33" s="23">
        <f t="shared" si="39"/>
        <v>13.651075909999999</v>
      </c>
      <c r="AJ33" s="23">
        <f t="shared" si="40"/>
        <v>20.26919646</v>
      </c>
      <c r="AK33" s="23">
        <f t="shared" si="41"/>
        <v>34.268999999999998</v>
      </c>
      <c r="AL33" s="23">
        <f t="shared" si="42"/>
        <v>73.936000000000007</v>
      </c>
      <c r="AM33" s="23">
        <f t="shared" si="43"/>
        <v>106.81225565999999</v>
      </c>
      <c r="AN33" s="23">
        <f t="shared" si="44"/>
        <v>175.19765276000001</v>
      </c>
      <c r="AO33" s="23">
        <f t="shared" si="45"/>
        <v>259.72374400000001</v>
      </c>
    </row>
    <row r="34" spans="1:41" ht="14.25" hidden="1" customHeight="1" outlineLevel="1" x14ac:dyDescent="0.35">
      <c r="A34" s="22"/>
      <c r="B34" s="24" t="s">
        <v>52</v>
      </c>
      <c r="C34" s="23">
        <v>1.3339264099999999</v>
      </c>
      <c r="D34" s="23">
        <v>3.6597912100000003</v>
      </c>
      <c r="E34" s="23">
        <v>7.4905481999999992</v>
      </c>
      <c r="F34" s="23">
        <v>2.9978719700000007</v>
      </c>
      <c r="G34" s="23">
        <v>2.4875276299999998</v>
      </c>
      <c r="H34" s="23">
        <v>1.6062909403667254</v>
      </c>
      <c r="I34" s="23">
        <v>8.1951135665200017</v>
      </c>
      <c r="J34" s="23">
        <v>6.9109971500000027</v>
      </c>
      <c r="K34" s="23">
        <v>31.161708270910001</v>
      </c>
      <c r="L34" s="23">
        <v>29.939023556429984</v>
      </c>
      <c r="M34" s="23">
        <v>40.081000000000003</v>
      </c>
      <c r="N34" s="23">
        <v>52.064</v>
      </c>
      <c r="O34" s="23">
        <v>57.861652999999997</v>
      </c>
      <c r="P34" s="23">
        <v>82.823017000000007</v>
      </c>
      <c r="Q34" s="23">
        <v>59.72</v>
      </c>
      <c r="R34" s="23">
        <v>80.093000000000004</v>
      </c>
      <c r="S34" s="23">
        <v>104.114</v>
      </c>
      <c r="T34" s="23">
        <v>109.12975400000001</v>
      </c>
      <c r="U34" s="23">
        <v>129.62938255085004</v>
      </c>
      <c r="V34" s="23">
        <v>124.00360442000002</v>
      </c>
      <c r="W34" s="23">
        <v>124.95579773911791</v>
      </c>
      <c r="X34" s="23">
        <v>26.856642758040966</v>
      </c>
      <c r="Y34" s="23">
        <v>28.226767075327992</v>
      </c>
      <c r="Z34" s="23">
        <v>26.042438066641928</v>
      </c>
      <c r="AA34" s="23">
        <v>30.45016</v>
      </c>
      <c r="AB34" s="23">
        <v>30.247742119635941</v>
      </c>
      <c r="AC34" s="23">
        <v>38.230805029421987</v>
      </c>
      <c r="AD34" s="23">
        <v>63.933655999999999</v>
      </c>
      <c r="AE34" s="23">
        <v>55.948721859059631</v>
      </c>
      <c r="AF34" s="23">
        <v>53.11540827103174</v>
      </c>
      <c r="AG34" s="23">
        <v>73.467055565151924</v>
      </c>
      <c r="AI34" s="23">
        <f t="shared" si="39"/>
        <v>2.9978719700000007</v>
      </c>
      <c r="AJ34" s="23">
        <f t="shared" si="40"/>
        <v>6.9109971500000027</v>
      </c>
      <c r="AK34" s="23">
        <f t="shared" si="41"/>
        <v>52.064</v>
      </c>
      <c r="AL34" s="23">
        <f t="shared" si="42"/>
        <v>80.093000000000004</v>
      </c>
      <c r="AM34" s="23">
        <f t="shared" si="43"/>
        <v>124.00360442000002</v>
      </c>
      <c r="AN34" s="23">
        <f t="shared" si="44"/>
        <v>26.042438066641928</v>
      </c>
      <c r="AO34" s="23">
        <f t="shared" si="45"/>
        <v>63.933655999999999</v>
      </c>
    </row>
    <row r="35" spans="1:41" ht="14.25" hidden="1" customHeight="1" outlineLevel="1" x14ac:dyDescent="0.35">
      <c r="A35" s="22"/>
      <c r="B35" s="24" t="s">
        <v>53</v>
      </c>
      <c r="C35" s="23">
        <v>1.5945552399999998</v>
      </c>
      <c r="D35" s="23">
        <v>1.4652471899999999</v>
      </c>
      <c r="E35" s="23">
        <v>1.1600010000000001E-2</v>
      </c>
      <c r="F35" s="23">
        <v>4.7886350000000001E-2</v>
      </c>
      <c r="G35" s="23">
        <v>0.23949437000000001</v>
      </c>
      <c r="H35" s="23">
        <v>0.70291663999999998</v>
      </c>
      <c r="I35" s="23">
        <v>0.53000857000000001</v>
      </c>
      <c r="J35" s="23">
        <v>0.67951989999999995</v>
      </c>
      <c r="K35" s="23">
        <v>0.99339803999999998</v>
      </c>
      <c r="L35" s="23">
        <v>1.34396552</v>
      </c>
      <c r="M35" s="23">
        <v>1.587</v>
      </c>
      <c r="N35" s="23">
        <v>4.6479999999999997</v>
      </c>
      <c r="O35" s="23">
        <v>5.2125110000000001</v>
      </c>
      <c r="P35" s="23">
        <v>5.3187920000000002</v>
      </c>
      <c r="Q35" s="23">
        <v>6.3449999999999998</v>
      </c>
      <c r="R35" s="23">
        <v>7.0039999999999996</v>
      </c>
      <c r="S35" s="23">
        <v>7.6970000000000001</v>
      </c>
      <c r="T35" s="23">
        <v>8.2636430000000001</v>
      </c>
      <c r="U35" s="23">
        <v>8.3279009000000013</v>
      </c>
      <c r="V35" s="23">
        <v>11.848740950000002</v>
      </c>
      <c r="W35" s="23">
        <v>14.71580983</v>
      </c>
      <c r="X35" s="23">
        <v>13.571013240000001</v>
      </c>
      <c r="Y35" s="23">
        <v>14.553138060000002</v>
      </c>
      <c r="Z35" s="23">
        <v>17.063007719999998</v>
      </c>
      <c r="AA35" s="23">
        <v>19.781631000000001</v>
      </c>
      <c r="AB35" s="23">
        <v>20.091625519999994</v>
      </c>
      <c r="AC35" s="23">
        <v>24.407024390000004</v>
      </c>
      <c r="AD35" s="23">
        <v>27.652597</v>
      </c>
      <c r="AE35" s="23">
        <v>29.791035220000001</v>
      </c>
      <c r="AF35" s="23">
        <v>33.159419449999994</v>
      </c>
      <c r="AG35" s="23">
        <v>42.782035139999998</v>
      </c>
      <c r="AI35" s="23">
        <f t="shared" si="39"/>
        <v>4.7886350000000001E-2</v>
      </c>
      <c r="AJ35" s="23">
        <f t="shared" si="40"/>
        <v>0.67951989999999995</v>
      </c>
      <c r="AK35" s="23">
        <f t="shared" si="41"/>
        <v>4.6479999999999997</v>
      </c>
      <c r="AL35" s="23">
        <f t="shared" si="42"/>
        <v>7.0039999999999996</v>
      </c>
      <c r="AM35" s="23">
        <f t="shared" si="43"/>
        <v>11.848740950000002</v>
      </c>
      <c r="AN35" s="23">
        <f t="shared" si="44"/>
        <v>17.063007719999998</v>
      </c>
      <c r="AO35" s="23">
        <f t="shared" si="45"/>
        <v>27.652597</v>
      </c>
    </row>
    <row r="36" spans="1:41" ht="14.25" hidden="1" customHeight="1" outlineLevel="1" x14ac:dyDescent="0.35">
      <c r="A36" s="62"/>
      <c r="B36" s="24" t="s">
        <v>63</v>
      </c>
      <c r="C36" s="23">
        <v>1.26</v>
      </c>
      <c r="D36" s="23">
        <v>2.8215557699999998</v>
      </c>
      <c r="E36" s="23">
        <v>3.0712657999999995</v>
      </c>
      <c r="F36" s="23">
        <v>3.246</v>
      </c>
      <c r="G36" s="23">
        <v>8.1248840000000003E-2</v>
      </c>
      <c r="H36" s="23">
        <v>8.1248840000000003E-2</v>
      </c>
      <c r="I36" s="23">
        <v>8.1248840000000003E-2</v>
      </c>
      <c r="J36" s="23">
        <v>22.242863910000001</v>
      </c>
      <c r="K36" s="23">
        <v>22.149863910000001</v>
      </c>
      <c r="L36" s="23">
        <v>1E-3</v>
      </c>
      <c r="M36" s="23">
        <v>1E-3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I36" s="23">
        <f t="shared" si="39"/>
        <v>3.246</v>
      </c>
      <c r="AJ36" s="23">
        <f t="shared" si="40"/>
        <v>22.242863910000001</v>
      </c>
      <c r="AK36" s="23">
        <f t="shared" si="41"/>
        <v>0</v>
      </c>
      <c r="AL36" s="23">
        <f t="shared" si="42"/>
        <v>0</v>
      </c>
      <c r="AM36" s="23">
        <f t="shared" si="43"/>
        <v>0</v>
      </c>
      <c r="AN36" s="23">
        <f t="shared" si="44"/>
        <v>0</v>
      </c>
      <c r="AO36" s="23">
        <f t="shared" si="45"/>
        <v>0</v>
      </c>
    </row>
    <row r="37" spans="1:41" ht="14.25" hidden="1" customHeight="1" outlineLevel="1" x14ac:dyDescent="0.35">
      <c r="A37" s="22"/>
      <c r="B37" s="24" t="s">
        <v>130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42.524920610909163</v>
      </c>
      <c r="W37" s="23">
        <v>0</v>
      </c>
      <c r="X37" s="23">
        <v>0</v>
      </c>
      <c r="Y37" s="23">
        <v>0</v>
      </c>
      <c r="Z37" s="23">
        <v>186.21917202032628</v>
      </c>
      <c r="AA37" s="23">
        <v>193.76964799999999</v>
      </c>
      <c r="AB37" s="23">
        <v>195.1523943794474</v>
      </c>
      <c r="AC37" s="23">
        <v>180.98443013672531</v>
      </c>
      <c r="AD37" s="23">
        <v>162.56566000000001</v>
      </c>
      <c r="AE37" s="23">
        <v>147.48916945210524</v>
      </c>
      <c r="AF37" s="23">
        <v>137.63923302864879</v>
      </c>
      <c r="AG37" s="23">
        <v>131.88781070632032</v>
      </c>
      <c r="AI37" s="23">
        <f t="shared" si="39"/>
        <v>0</v>
      </c>
      <c r="AJ37" s="23">
        <f t="shared" si="40"/>
        <v>0</v>
      </c>
      <c r="AK37" s="23">
        <f t="shared" si="41"/>
        <v>0</v>
      </c>
      <c r="AL37" s="23">
        <f t="shared" si="42"/>
        <v>0</v>
      </c>
      <c r="AM37" s="23">
        <f t="shared" si="43"/>
        <v>42.524920610909163</v>
      </c>
      <c r="AN37" s="23">
        <f t="shared" si="44"/>
        <v>186.21917202032628</v>
      </c>
      <c r="AO37" s="23">
        <f t="shared" si="45"/>
        <v>162.56566000000001</v>
      </c>
    </row>
    <row r="38" spans="1:41" ht="14.25" hidden="1" customHeight="1" outlineLevel="1" x14ac:dyDescent="0.35">
      <c r="A38" s="22"/>
      <c r="B38" s="24" t="s">
        <v>121</v>
      </c>
      <c r="C38" s="23">
        <v>3.7330805099999997</v>
      </c>
      <c r="D38" s="23">
        <v>5.3627365300000003</v>
      </c>
      <c r="E38" s="23">
        <v>3.3686622600000002</v>
      </c>
      <c r="F38" s="23">
        <v>1.7542150200000002</v>
      </c>
      <c r="G38" s="23">
        <v>0.94292746999999988</v>
      </c>
      <c r="H38" s="23">
        <v>1.8815786599999997</v>
      </c>
      <c r="I38" s="23">
        <v>1.5766785800000001</v>
      </c>
      <c r="J38" s="23">
        <v>15.243854900000002</v>
      </c>
      <c r="K38" s="23">
        <v>18.352366483600001</v>
      </c>
      <c r="L38" s="23">
        <v>20.256899663277039</v>
      </c>
      <c r="M38" s="23">
        <v>23.398</v>
      </c>
      <c r="N38" s="23">
        <v>15.872</v>
      </c>
      <c r="O38" s="23">
        <v>23.027999999999999</v>
      </c>
      <c r="P38" s="23">
        <v>22.097944999999999</v>
      </c>
      <c r="Q38" s="23">
        <v>20.475000000000001</v>
      </c>
      <c r="R38" s="23">
        <v>29.498999999999999</v>
      </c>
      <c r="S38" s="23">
        <v>27.067</v>
      </c>
      <c r="T38" s="23">
        <v>16.267120000000002</v>
      </c>
      <c r="U38" s="23">
        <v>5.2437983332000035</v>
      </c>
      <c r="V38" s="23">
        <v>3.1146144599999999</v>
      </c>
      <c r="W38" s="23">
        <v>80.571601797687265</v>
      </c>
      <c r="X38" s="23">
        <v>144.29073593140188</v>
      </c>
      <c r="Y38" s="23">
        <v>198.64619295388056</v>
      </c>
      <c r="Z38" s="23">
        <v>102.57331690884</v>
      </c>
      <c r="AA38" s="23">
        <v>26.431298999999999</v>
      </c>
      <c r="AB38" s="23">
        <v>109.178336037096</v>
      </c>
      <c r="AC38" s="23">
        <v>56.11171870175999</v>
      </c>
      <c r="AD38" s="23">
        <v>73.720441000000008</v>
      </c>
      <c r="AE38" s="23">
        <v>40.518855131919992</v>
      </c>
      <c r="AF38" s="23">
        <v>29.785708842240005</v>
      </c>
      <c r="AG38" s="23">
        <v>28.920530252880006</v>
      </c>
      <c r="AI38" s="23">
        <f t="shared" si="39"/>
        <v>1.7542150200000002</v>
      </c>
      <c r="AJ38" s="23">
        <f t="shared" si="40"/>
        <v>15.243854900000002</v>
      </c>
      <c r="AK38" s="23">
        <f t="shared" si="41"/>
        <v>15.872</v>
      </c>
      <c r="AL38" s="23">
        <f t="shared" si="42"/>
        <v>29.498999999999999</v>
      </c>
      <c r="AM38" s="23">
        <f t="shared" si="43"/>
        <v>3.1146144599999999</v>
      </c>
      <c r="AN38" s="23">
        <f t="shared" si="44"/>
        <v>102.57331690884</v>
      </c>
      <c r="AO38" s="23">
        <f t="shared" si="45"/>
        <v>73.720441000000008</v>
      </c>
    </row>
    <row r="39" spans="1:41" ht="14.25" customHeight="1" collapsed="1" x14ac:dyDescent="0.35">
      <c r="A39" s="22"/>
      <c r="B39" s="29" t="s">
        <v>162</v>
      </c>
      <c r="C39" s="30">
        <f>SUM(C40:C44)</f>
        <v>0.33630228000000006</v>
      </c>
      <c r="D39" s="30">
        <f t="shared" ref="D39:AF39" si="46">SUM(D40:D44)</f>
        <v>0.12541179</v>
      </c>
      <c r="E39" s="30">
        <f t="shared" si="46"/>
        <v>0.14314671999999998</v>
      </c>
      <c r="F39" s="30">
        <f t="shared" si="46"/>
        <v>6.2807394603333258</v>
      </c>
      <c r="G39" s="30">
        <f t="shared" si="46"/>
        <v>9.8782993051055126</v>
      </c>
      <c r="H39" s="30">
        <f t="shared" si="46"/>
        <v>14.188559232590091</v>
      </c>
      <c r="I39" s="30">
        <f t="shared" si="46"/>
        <v>18.8370842522</v>
      </c>
      <c r="J39" s="30">
        <f t="shared" si="46"/>
        <v>24.378022984133327</v>
      </c>
      <c r="K39" s="30">
        <f t="shared" si="46"/>
        <v>18.5981194136494</v>
      </c>
      <c r="L39" s="30">
        <f t="shared" si="46"/>
        <v>37.435352119999997</v>
      </c>
      <c r="M39" s="30">
        <f t="shared" si="46"/>
        <v>41.758000000000003</v>
      </c>
      <c r="N39" s="30">
        <f t="shared" si="46"/>
        <v>46.399000000000001</v>
      </c>
      <c r="O39" s="30">
        <f t="shared" si="46"/>
        <v>66.849952999999999</v>
      </c>
      <c r="P39" s="30">
        <f t="shared" si="46"/>
        <v>0</v>
      </c>
      <c r="Q39" s="30">
        <f t="shared" si="46"/>
        <v>34.195</v>
      </c>
      <c r="R39" s="30">
        <f t="shared" si="46"/>
        <v>132.126</v>
      </c>
      <c r="S39" s="30">
        <f t="shared" si="46"/>
        <v>237.37800000000001</v>
      </c>
      <c r="T39" s="30">
        <f t="shared" si="46"/>
        <v>374.42475300000001</v>
      </c>
      <c r="U39" s="30">
        <f t="shared" si="46"/>
        <v>491.74312143999992</v>
      </c>
      <c r="V39" s="30">
        <f t="shared" si="46"/>
        <v>674.23687611000025</v>
      </c>
      <c r="W39" s="30">
        <f t="shared" si="46"/>
        <v>816.71671558227285</v>
      </c>
      <c r="X39" s="30">
        <f t="shared" si="46"/>
        <v>1054.692630152698</v>
      </c>
      <c r="Y39" s="30">
        <f t="shared" si="46"/>
        <v>1187.6222285257898</v>
      </c>
      <c r="Z39" s="30">
        <f t="shared" si="46"/>
        <v>1422.3885468594738</v>
      </c>
      <c r="AA39" s="30">
        <f t="shared" si="46"/>
        <v>1582.0656760000002</v>
      </c>
      <c r="AB39" s="30">
        <f t="shared" si="46"/>
        <v>1608.2855927310532</v>
      </c>
      <c r="AC39" s="30">
        <f t="shared" si="46"/>
        <v>1682.7104619978948</v>
      </c>
      <c r="AD39" s="30">
        <v>1570.6880890968416</v>
      </c>
      <c r="AE39" s="30">
        <f t="shared" si="46"/>
        <v>2089.7990171878951</v>
      </c>
      <c r="AF39" s="30">
        <f t="shared" si="46"/>
        <v>3325.9063558008775</v>
      </c>
      <c r="AG39" s="30">
        <f t="shared" ref="AG39" si="47">SUM(AG40:AG44)</f>
        <v>3477.4181516686399</v>
      </c>
      <c r="AI39" s="30">
        <f t="shared" ref="AI39" si="48">SUM(AI40:AI44)</f>
        <v>6.2807394603333258</v>
      </c>
      <c r="AJ39" s="30">
        <f t="shared" ref="AJ39:AO39" si="49">SUM(AJ40:AJ44)</f>
        <v>24.378022984133327</v>
      </c>
      <c r="AK39" s="30">
        <f t="shared" si="49"/>
        <v>46.399000000000001</v>
      </c>
      <c r="AL39" s="30">
        <f t="shared" si="49"/>
        <v>132.126</v>
      </c>
      <c r="AM39" s="30">
        <f t="shared" si="49"/>
        <v>674.23687611000025</v>
      </c>
      <c r="AN39" s="30">
        <f t="shared" si="49"/>
        <v>1422.3885468594738</v>
      </c>
      <c r="AO39" s="30">
        <f t="shared" si="49"/>
        <v>1570.6880890968416</v>
      </c>
    </row>
    <row r="40" spans="1:41" ht="14.25" hidden="1" customHeight="1" outlineLevel="1" x14ac:dyDescent="0.35">
      <c r="A40" s="22"/>
      <c r="B40" s="24" t="s">
        <v>28</v>
      </c>
      <c r="C40" s="23">
        <v>0</v>
      </c>
      <c r="D40" s="23">
        <v>0</v>
      </c>
      <c r="E40" s="23">
        <v>0</v>
      </c>
      <c r="F40" s="23">
        <v>6.2567394603333257</v>
      </c>
      <c r="G40" s="23">
        <v>9.8782993051055126</v>
      </c>
      <c r="H40" s="23">
        <v>14.188559232590091</v>
      </c>
      <c r="I40" s="23">
        <v>18.8370842522</v>
      </c>
      <c r="J40" s="23">
        <v>24.378022984133327</v>
      </c>
      <c r="K40" s="23">
        <v>18.5981194136494</v>
      </c>
      <c r="L40" s="23">
        <v>33.91157621</v>
      </c>
      <c r="M40" s="23">
        <v>38.201000000000001</v>
      </c>
      <c r="N40" s="23">
        <v>42.808999999999997</v>
      </c>
      <c r="O40" s="23">
        <v>63.226341999999995</v>
      </c>
      <c r="P40" s="23">
        <v>0</v>
      </c>
      <c r="Q40" s="23">
        <v>34.195</v>
      </c>
      <c r="R40" s="23">
        <v>132.126</v>
      </c>
      <c r="S40" s="23">
        <v>221.578</v>
      </c>
      <c r="T40" s="23">
        <v>358.624753</v>
      </c>
      <c r="U40" s="23">
        <v>474.48062143999994</v>
      </c>
      <c r="V40" s="23">
        <v>630.94987611000022</v>
      </c>
      <c r="W40" s="23">
        <v>766.38848466000013</v>
      </c>
      <c r="X40" s="23">
        <v>968.78507244999992</v>
      </c>
      <c r="Y40" s="23">
        <v>1035.0124093700001</v>
      </c>
      <c r="Z40" s="23">
        <v>1132.59537897</v>
      </c>
      <c r="AA40" s="23">
        <v>1183.8379320000001</v>
      </c>
      <c r="AB40" s="23">
        <v>1259.0556857000004</v>
      </c>
      <c r="AC40" s="23">
        <v>1350.4601987000001</v>
      </c>
      <c r="AD40" s="23">
        <v>1391.7603085699996</v>
      </c>
      <c r="AE40" s="23">
        <v>1421.70475794</v>
      </c>
      <c r="AF40" s="23">
        <v>1482.52998996</v>
      </c>
      <c r="AG40" s="23">
        <v>1530.32630554</v>
      </c>
      <c r="AI40" s="23">
        <f t="shared" ref="AI40:AI44" si="50">F40</f>
        <v>6.2567394603333257</v>
      </c>
      <c r="AJ40" s="23">
        <f t="shared" ref="AJ40:AJ44" si="51">J40</f>
        <v>24.378022984133327</v>
      </c>
      <c r="AK40" s="23">
        <f t="shared" ref="AK40:AK44" si="52">N40</f>
        <v>42.808999999999997</v>
      </c>
      <c r="AL40" s="23">
        <f t="shared" ref="AL40:AL44" si="53">R40</f>
        <v>132.126</v>
      </c>
      <c r="AM40" s="23">
        <f t="shared" ref="AM40:AM44" si="54">V40</f>
        <v>630.94987611000022</v>
      </c>
      <c r="AN40" s="23">
        <f t="shared" ref="AN40:AN44" si="55">Z40</f>
        <v>1132.59537897</v>
      </c>
      <c r="AO40" s="23">
        <f t="shared" ref="AO40:AO44" si="56">AD40</f>
        <v>1391.7603085699996</v>
      </c>
    </row>
    <row r="41" spans="1:41" ht="14.25" hidden="1" customHeight="1" outlineLevel="1" x14ac:dyDescent="0.35">
      <c r="A41" s="22"/>
      <c r="B41" s="24" t="s">
        <v>53</v>
      </c>
      <c r="C41" s="23">
        <v>0.33630228000000006</v>
      </c>
      <c r="D41" s="23">
        <v>0.12541179</v>
      </c>
      <c r="E41" s="23">
        <v>0.14314671999999998</v>
      </c>
      <c r="F41" s="23">
        <v>2.4E-2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11.741379670000001</v>
      </c>
      <c r="AA41" s="23">
        <v>12.633370000000001</v>
      </c>
      <c r="AB41" s="23">
        <v>12.814935949999999</v>
      </c>
      <c r="AC41" s="23">
        <v>12.807079089999998</v>
      </c>
      <c r="AD41" s="23">
        <v>13.910468260000002</v>
      </c>
      <c r="AE41" s="23">
        <v>13.6557967</v>
      </c>
      <c r="AF41" s="23">
        <v>14.115684709999998</v>
      </c>
      <c r="AG41" s="23">
        <v>14.526301500000001</v>
      </c>
      <c r="AI41" s="23">
        <f t="shared" si="50"/>
        <v>2.4E-2</v>
      </c>
      <c r="AJ41" s="23">
        <f t="shared" si="51"/>
        <v>0</v>
      </c>
      <c r="AK41" s="23">
        <f t="shared" si="52"/>
        <v>0</v>
      </c>
      <c r="AL41" s="23">
        <f t="shared" si="53"/>
        <v>0</v>
      </c>
      <c r="AM41" s="23">
        <f t="shared" si="54"/>
        <v>0</v>
      </c>
      <c r="AN41" s="23">
        <f t="shared" si="55"/>
        <v>11.741379670000001</v>
      </c>
      <c r="AO41" s="23">
        <f t="shared" si="56"/>
        <v>13.910468260000002</v>
      </c>
    </row>
    <row r="42" spans="1:41" ht="14.25" hidden="1" customHeight="1" outlineLevel="1" x14ac:dyDescent="0.35">
      <c r="A42" s="22"/>
      <c r="B42" s="24" t="s">
        <v>110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61.61745663</v>
      </c>
      <c r="Z42" s="23">
        <v>194.09014230000002</v>
      </c>
      <c r="AA42" s="23">
        <v>288.87627800000001</v>
      </c>
      <c r="AB42" s="23">
        <v>242.51209657999999</v>
      </c>
      <c r="AC42" s="23">
        <v>211.76924861999998</v>
      </c>
      <c r="AD42" s="23">
        <v>77.551869280000005</v>
      </c>
      <c r="AE42" s="23">
        <v>568.51502073999995</v>
      </c>
      <c r="AF42" s="23">
        <v>1735.2119641700001</v>
      </c>
      <c r="AG42" s="23">
        <v>1843.4012978699998</v>
      </c>
      <c r="AI42" s="23">
        <f t="shared" si="50"/>
        <v>0</v>
      </c>
      <c r="AJ42" s="23">
        <f t="shared" si="51"/>
        <v>0</v>
      </c>
      <c r="AK42" s="23">
        <f t="shared" si="52"/>
        <v>0</v>
      </c>
      <c r="AL42" s="23">
        <f t="shared" si="53"/>
        <v>0</v>
      </c>
      <c r="AM42" s="23">
        <f t="shared" si="54"/>
        <v>0</v>
      </c>
      <c r="AN42" s="23">
        <f t="shared" si="55"/>
        <v>194.09014230000002</v>
      </c>
      <c r="AO42" s="23">
        <f t="shared" si="56"/>
        <v>77.551869280000005</v>
      </c>
    </row>
    <row r="43" spans="1:41" ht="14.25" hidden="1" customHeight="1" outlineLevel="1" x14ac:dyDescent="0.35">
      <c r="A43" s="22"/>
      <c r="B43" s="24" t="s">
        <v>130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26.024831901818182</v>
      </c>
      <c r="W43" s="23">
        <v>0</v>
      </c>
      <c r="X43" s="23">
        <v>0</v>
      </c>
      <c r="Y43" s="23">
        <v>0</v>
      </c>
      <c r="Z43" s="23">
        <v>27.335969029473681</v>
      </c>
      <c r="AA43" s="23">
        <v>25.484883999999997</v>
      </c>
      <c r="AB43" s="23">
        <v>26.757112671052624</v>
      </c>
      <c r="AC43" s="23">
        <v>21.875989717894733</v>
      </c>
      <c r="AD43" s="23">
        <v>17.300422046842101</v>
      </c>
      <c r="AE43" s="23">
        <v>16.750506517894738</v>
      </c>
      <c r="AF43" s="23">
        <v>19.813494850877195</v>
      </c>
      <c r="AG43" s="23">
        <v>19.105887838640346</v>
      </c>
      <c r="AI43" s="23">
        <f t="shared" si="50"/>
        <v>0</v>
      </c>
      <c r="AJ43" s="23">
        <f t="shared" si="51"/>
        <v>0</v>
      </c>
      <c r="AK43" s="23">
        <f t="shared" si="52"/>
        <v>0</v>
      </c>
      <c r="AL43" s="23">
        <f t="shared" si="53"/>
        <v>0</v>
      </c>
      <c r="AM43" s="23">
        <f t="shared" si="54"/>
        <v>26.024831901818182</v>
      </c>
      <c r="AN43" s="23">
        <f t="shared" si="55"/>
        <v>27.335969029473681</v>
      </c>
      <c r="AO43" s="23">
        <f t="shared" si="56"/>
        <v>17.300422046842101</v>
      </c>
    </row>
    <row r="44" spans="1:41" ht="14.25" hidden="1" customHeight="1" outlineLevel="1" x14ac:dyDescent="0.35">
      <c r="A44" s="22"/>
      <c r="B44" s="24" t="s">
        <v>121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3.5237759100000003</v>
      </c>
      <c r="M44" s="23">
        <v>3.5569999999999999</v>
      </c>
      <c r="N44" s="23">
        <v>3.59</v>
      </c>
      <c r="O44" s="23">
        <v>3.6236109999999999</v>
      </c>
      <c r="P44" s="23">
        <v>0</v>
      </c>
      <c r="Q44" s="23">
        <v>0</v>
      </c>
      <c r="R44" s="23">
        <v>0</v>
      </c>
      <c r="S44" s="23">
        <v>15.8</v>
      </c>
      <c r="T44" s="23">
        <v>15.8</v>
      </c>
      <c r="U44" s="23">
        <v>17.262499999999999</v>
      </c>
      <c r="V44" s="23">
        <v>17.262168098181817</v>
      </c>
      <c r="W44" s="23">
        <v>50.328230922272731</v>
      </c>
      <c r="X44" s="23">
        <v>85.907557702698114</v>
      </c>
      <c r="Y44" s="23">
        <v>90.992362525789474</v>
      </c>
      <c r="Z44" s="23">
        <v>56.625676890000001</v>
      </c>
      <c r="AA44" s="23">
        <v>71.233211999999995</v>
      </c>
      <c r="AB44" s="23">
        <v>67.145761829999998</v>
      </c>
      <c r="AC44" s="23">
        <v>85.797945870000007</v>
      </c>
      <c r="AD44" s="23">
        <v>70.165020940000005</v>
      </c>
      <c r="AE44" s="23">
        <v>69.172935289999998</v>
      </c>
      <c r="AF44" s="23">
        <v>74.235222109999995</v>
      </c>
      <c r="AG44" s="23">
        <v>70.058358919999989</v>
      </c>
      <c r="AI44" s="23">
        <f t="shared" si="50"/>
        <v>0</v>
      </c>
      <c r="AJ44" s="23">
        <f t="shared" si="51"/>
        <v>0</v>
      </c>
      <c r="AK44" s="23">
        <f t="shared" si="52"/>
        <v>3.59</v>
      </c>
      <c r="AL44" s="23">
        <f t="shared" si="53"/>
        <v>0</v>
      </c>
      <c r="AM44" s="23">
        <f t="shared" si="54"/>
        <v>17.262168098181817</v>
      </c>
      <c r="AN44" s="23">
        <f t="shared" si="55"/>
        <v>56.625676890000001</v>
      </c>
      <c r="AO44" s="23">
        <f t="shared" si="56"/>
        <v>70.165020940000005</v>
      </c>
    </row>
    <row r="45" spans="1:41" ht="14.25" customHeight="1" collapsed="1" x14ac:dyDescent="0.35">
      <c r="A45" s="22"/>
      <c r="B45" s="29" t="s">
        <v>205</v>
      </c>
      <c r="C45" s="30">
        <f>SUM(C46:C55)</f>
        <v>363.66102459357319</v>
      </c>
      <c r="D45" s="30">
        <f t="shared" ref="D45:AF45" si="57">SUM(D46:D55)</f>
        <v>422.72939412469333</v>
      </c>
      <c r="E45" s="30">
        <f t="shared" si="57"/>
        <v>428.91260973881242</v>
      </c>
      <c r="F45" s="30">
        <f t="shared" si="57"/>
        <v>461.87770276378524</v>
      </c>
      <c r="G45" s="30">
        <f t="shared" si="57"/>
        <v>474.98114992642076</v>
      </c>
      <c r="H45" s="30">
        <f t="shared" si="57"/>
        <v>507.97346380626186</v>
      </c>
      <c r="I45" s="30">
        <f t="shared" si="57"/>
        <v>618.51957001099993</v>
      </c>
      <c r="J45" s="30">
        <f t="shared" si="57"/>
        <v>626.86199693989988</v>
      </c>
      <c r="K45" s="30">
        <f t="shared" si="57"/>
        <v>687.48721699000009</v>
      </c>
      <c r="L45" s="30">
        <f t="shared" si="57"/>
        <v>769.84029973463782</v>
      </c>
      <c r="M45" s="30">
        <f t="shared" si="57"/>
        <v>678.43100000000004</v>
      </c>
      <c r="N45" s="30">
        <f t="shared" si="57"/>
        <v>870.39099999999996</v>
      </c>
      <c r="O45" s="30">
        <f t="shared" si="57"/>
        <v>4476.7215589999996</v>
      </c>
      <c r="P45" s="30">
        <f t="shared" si="57"/>
        <v>5969.0701900000013</v>
      </c>
      <c r="Q45" s="30">
        <f t="shared" si="57"/>
        <v>6281.53</v>
      </c>
      <c r="R45" s="30">
        <f t="shared" si="57"/>
        <v>6574.3759999999993</v>
      </c>
      <c r="S45" s="30">
        <f t="shared" si="57"/>
        <v>6885.6229590000003</v>
      </c>
      <c r="T45" s="30">
        <f t="shared" si="57"/>
        <v>7217.5374859999993</v>
      </c>
      <c r="U45" s="30">
        <f t="shared" si="57"/>
        <v>7604.9107538727558</v>
      </c>
      <c r="V45" s="30">
        <f t="shared" si="57"/>
        <v>8014.9454408228048</v>
      </c>
      <c r="W45" s="30">
        <f t="shared" si="57"/>
        <v>8353.6475968897576</v>
      </c>
      <c r="X45" s="30">
        <f t="shared" si="57"/>
        <v>8668.4849193516693</v>
      </c>
      <c r="Y45" s="30">
        <f t="shared" si="57"/>
        <v>8949.0664097207155</v>
      </c>
      <c r="Z45" s="30">
        <f t="shared" si="57"/>
        <v>9327.4563340283421</v>
      </c>
      <c r="AA45" s="30">
        <f t="shared" si="57"/>
        <v>9680.2932270000001</v>
      </c>
      <c r="AB45" s="30">
        <f t="shared" si="57"/>
        <v>10009.094961417366</v>
      </c>
      <c r="AC45" s="30">
        <f t="shared" si="57"/>
        <v>10456.79065621422</v>
      </c>
      <c r="AD45" s="30">
        <v>10502.199065064489</v>
      </c>
      <c r="AE45" s="30">
        <f t="shared" si="57"/>
        <v>10791.263349625491</v>
      </c>
      <c r="AF45" s="30">
        <f t="shared" si="57"/>
        <v>11189.330418713182</v>
      </c>
      <c r="AG45" s="30">
        <f t="shared" ref="AG45" si="58">SUM(AG46:AG55)</f>
        <v>11511.623577646082</v>
      </c>
      <c r="AI45" s="30">
        <f t="shared" ref="AI45" si="59">SUM(AI46:AI55)</f>
        <v>461.87770276378524</v>
      </c>
      <c r="AJ45" s="30">
        <f t="shared" ref="AJ45:AO45" si="60">SUM(AJ46:AJ55)</f>
        <v>626.86199693989988</v>
      </c>
      <c r="AK45" s="30">
        <f t="shared" si="60"/>
        <v>870.39099999999996</v>
      </c>
      <c r="AL45" s="30">
        <f t="shared" si="60"/>
        <v>6574.3759999999993</v>
      </c>
      <c r="AM45" s="30">
        <f t="shared" si="60"/>
        <v>8014.9454408228048</v>
      </c>
      <c r="AN45" s="30">
        <f t="shared" si="60"/>
        <v>9327.4563340283421</v>
      </c>
      <c r="AO45" s="30">
        <f t="shared" si="60"/>
        <v>10502.199065064489</v>
      </c>
    </row>
    <row r="46" spans="1:41" ht="14.25" hidden="1" customHeight="1" outlineLevel="1" x14ac:dyDescent="0.35">
      <c r="A46" s="62"/>
      <c r="B46" s="24" t="s">
        <v>55</v>
      </c>
      <c r="C46" s="23">
        <v>42.56800484</v>
      </c>
      <c r="D46" s="23">
        <v>42.56800484</v>
      </c>
      <c r="E46" s="23">
        <v>380.67570000000001</v>
      </c>
      <c r="F46" s="23">
        <v>441.6158441312852</v>
      </c>
      <c r="G46" s="23">
        <v>441.6158441312852</v>
      </c>
      <c r="H46" s="23">
        <v>441.6158441312852</v>
      </c>
      <c r="I46" s="23">
        <v>524.57721699000001</v>
      </c>
      <c r="J46" s="23">
        <v>524.57721699000001</v>
      </c>
      <c r="K46" s="23">
        <v>524.57721699000001</v>
      </c>
      <c r="L46" s="23">
        <v>524.57721699000001</v>
      </c>
      <c r="M46" s="23">
        <v>524.577</v>
      </c>
      <c r="N46" s="23">
        <v>524.577</v>
      </c>
      <c r="O46" s="23">
        <v>2.4999000000000004E-2</v>
      </c>
      <c r="P46" s="23">
        <v>2.6495999999999999E-2</v>
      </c>
      <c r="Q46" s="23">
        <v>2.5999999999999999E-2</v>
      </c>
      <c r="R46" s="23">
        <v>2.5999999999999999E-2</v>
      </c>
      <c r="S46" s="23">
        <v>2.5867000000000001E-2</v>
      </c>
      <c r="T46" s="23">
        <v>2.5867000000000001E-2</v>
      </c>
      <c r="U46" s="23">
        <v>2.586664E-2</v>
      </c>
      <c r="V46" s="23">
        <v>2.586664E-2</v>
      </c>
      <c r="W46" s="23">
        <v>2.586664E-2</v>
      </c>
      <c r="X46" s="23">
        <v>2.586664E-2</v>
      </c>
      <c r="Y46" s="23">
        <v>2.586664E-2</v>
      </c>
      <c r="Z46" s="23">
        <v>2.6107970000000001E-2</v>
      </c>
      <c r="AA46" s="23">
        <v>2.6107999999999999E-2</v>
      </c>
      <c r="AB46" s="23">
        <v>2.6107970000000001E-2</v>
      </c>
      <c r="AC46" s="23">
        <v>2.6107999999999999E-2</v>
      </c>
      <c r="AD46" s="23">
        <v>2.6107970000000001E-2</v>
      </c>
      <c r="AE46" s="23">
        <v>2.6107970000000001E-2</v>
      </c>
      <c r="AF46" s="23">
        <v>2.6107970000000001E-2</v>
      </c>
      <c r="AG46" s="23">
        <v>2.6107970000000001E-2</v>
      </c>
      <c r="AI46" s="23">
        <f t="shared" ref="AI46:AI55" si="61">F46</f>
        <v>441.6158441312852</v>
      </c>
      <c r="AJ46" s="23">
        <f t="shared" ref="AJ46:AJ55" si="62">J46</f>
        <v>524.57721699000001</v>
      </c>
      <c r="AK46" s="23">
        <f t="shared" ref="AK46:AK55" si="63">N46</f>
        <v>524.577</v>
      </c>
      <c r="AL46" s="23">
        <f t="shared" ref="AL46:AL55" si="64">R46</f>
        <v>2.5999999999999999E-2</v>
      </c>
      <c r="AM46" s="23">
        <f t="shared" ref="AM46:AM55" si="65">V46</f>
        <v>2.586664E-2</v>
      </c>
      <c r="AN46" s="23">
        <f t="shared" ref="AN46:AN55" si="66">Z46</f>
        <v>2.6107970000000001E-2</v>
      </c>
      <c r="AO46" s="23">
        <f t="shared" ref="AO46:AO55" si="67">AD46</f>
        <v>2.6107970000000001E-2</v>
      </c>
    </row>
    <row r="47" spans="1:41" ht="14.25" hidden="1" customHeight="1" outlineLevel="1" x14ac:dyDescent="0.35">
      <c r="A47" s="62"/>
      <c r="B47" s="24" t="s">
        <v>64</v>
      </c>
      <c r="C47" s="23">
        <v>282.57992320588079</v>
      </c>
      <c r="D47" s="23">
        <v>337.13761543588095</v>
      </c>
      <c r="E47" s="23">
        <v>0</v>
      </c>
      <c r="F47" s="23">
        <v>9.73</v>
      </c>
      <c r="G47" s="23">
        <v>9.73</v>
      </c>
      <c r="H47" s="23">
        <v>9.73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2.5867000000000001E-2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I47" s="23">
        <f t="shared" si="61"/>
        <v>9.73</v>
      </c>
      <c r="AJ47" s="23">
        <f t="shared" si="62"/>
        <v>0</v>
      </c>
      <c r="AK47" s="23">
        <f t="shared" si="63"/>
        <v>0</v>
      </c>
      <c r="AL47" s="23">
        <f t="shared" si="64"/>
        <v>0</v>
      </c>
      <c r="AM47" s="23">
        <f t="shared" si="65"/>
        <v>0</v>
      </c>
      <c r="AN47" s="23">
        <f t="shared" si="66"/>
        <v>0</v>
      </c>
      <c r="AO47" s="23">
        <f t="shared" si="67"/>
        <v>0</v>
      </c>
    </row>
    <row r="48" spans="1:41" ht="14.25" hidden="1" customHeight="1" outlineLevel="1" x14ac:dyDescent="0.35">
      <c r="A48" s="62"/>
      <c r="B48" s="24" t="s">
        <v>57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4311.7815289999999</v>
      </c>
      <c r="P48" s="23">
        <v>5577.2862910000003</v>
      </c>
      <c r="Q48" s="23">
        <v>5657.7030000000004</v>
      </c>
      <c r="R48" s="23">
        <v>5688.134</v>
      </c>
      <c r="S48" s="23">
        <v>5704.3970810000001</v>
      </c>
      <c r="T48" s="23">
        <v>5715.8872699999993</v>
      </c>
      <c r="U48" s="23">
        <v>5760.2327533200005</v>
      </c>
      <c r="V48" s="23">
        <v>5781.5028826500002</v>
      </c>
      <c r="W48" s="23">
        <v>5807.8844171400006</v>
      </c>
      <c r="X48" s="23">
        <v>5826.4773584599998</v>
      </c>
      <c r="Y48" s="23">
        <v>5773.1998810799996</v>
      </c>
      <c r="Z48" s="23">
        <v>5784.2880303500006</v>
      </c>
      <c r="AA48" s="23">
        <v>5852.8403630000003</v>
      </c>
      <c r="AB48" s="23">
        <v>5909.9937750500003</v>
      </c>
      <c r="AC48" s="23">
        <v>6035.1096960800005</v>
      </c>
      <c r="AD48" s="23">
        <v>6076.2860099400004</v>
      </c>
      <c r="AE48" s="23">
        <v>6014.2159830399996</v>
      </c>
      <c r="AF48" s="23">
        <v>6054.0134391400006</v>
      </c>
      <c r="AG48" s="23">
        <v>6089.3598179499995</v>
      </c>
      <c r="AI48" s="23">
        <f t="shared" si="61"/>
        <v>0</v>
      </c>
      <c r="AJ48" s="23">
        <f t="shared" si="62"/>
        <v>0</v>
      </c>
      <c r="AK48" s="23">
        <f t="shared" si="63"/>
        <v>0</v>
      </c>
      <c r="AL48" s="23">
        <f t="shared" si="64"/>
        <v>5688.134</v>
      </c>
      <c r="AM48" s="23">
        <f t="shared" si="65"/>
        <v>5781.5028826500002</v>
      </c>
      <c r="AN48" s="23">
        <f t="shared" si="66"/>
        <v>5784.2880303500006</v>
      </c>
      <c r="AO48" s="23">
        <f t="shared" si="67"/>
        <v>6076.2860099400004</v>
      </c>
    </row>
    <row r="49" spans="1:41" ht="14.25" hidden="1" customHeight="1" outlineLevel="1" x14ac:dyDescent="0.35">
      <c r="A49" s="62"/>
      <c r="B49" s="24" t="s">
        <v>103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-0.19</v>
      </c>
      <c r="W49" s="23">
        <v>0.32669924</v>
      </c>
      <c r="X49" s="23">
        <v>0.23578960999999998</v>
      </c>
      <c r="Y49" s="23">
        <v>0.17519113</v>
      </c>
      <c r="Z49" s="23">
        <v>0.49120708000000002</v>
      </c>
      <c r="AA49" s="23">
        <v>0.72620799999999996</v>
      </c>
      <c r="AB49" s="23">
        <v>0.21167598000000001</v>
      </c>
      <c r="AC49" s="23">
        <v>0.57726626000000003</v>
      </c>
      <c r="AD49" s="23">
        <v>0.64543022999999988</v>
      </c>
      <c r="AE49" s="23">
        <v>-2.5934295400000003</v>
      </c>
      <c r="AF49" s="23">
        <v>-11.59567124</v>
      </c>
      <c r="AG49" s="23">
        <v>-8.5431439299999994</v>
      </c>
      <c r="AI49" s="23">
        <f t="shared" si="61"/>
        <v>0</v>
      </c>
      <c r="AJ49" s="23">
        <f t="shared" si="62"/>
        <v>0</v>
      </c>
      <c r="AK49" s="23">
        <f t="shared" si="63"/>
        <v>0</v>
      </c>
      <c r="AL49" s="23">
        <f t="shared" si="64"/>
        <v>0</v>
      </c>
      <c r="AM49" s="23">
        <f t="shared" si="65"/>
        <v>-0.19</v>
      </c>
      <c r="AN49" s="23">
        <f t="shared" si="66"/>
        <v>0.49120708000000002</v>
      </c>
      <c r="AO49" s="23">
        <f t="shared" si="67"/>
        <v>0.64543022999999988</v>
      </c>
    </row>
    <row r="50" spans="1:41" ht="14.25" hidden="1" customHeight="1" outlineLevel="1" x14ac:dyDescent="0.35">
      <c r="A50" s="62"/>
      <c r="B50" s="24" t="s">
        <v>56</v>
      </c>
      <c r="C50" s="23">
        <v>1.6042266200000002</v>
      </c>
      <c r="D50" s="23">
        <v>1.6042266200000002</v>
      </c>
      <c r="E50" s="23">
        <v>1.72346055</v>
      </c>
      <c r="F50" s="23">
        <v>0.75724999999999998</v>
      </c>
      <c r="G50" s="23">
        <v>0.75724999999999998</v>
      </c>
      <c r="H50" s="23">
        <v>0.75724999999999998</v>
      </c>
      <c r="I50" s="23">
        <v>0.75724999999999998</v>
      </c>
      <c r="J50" s="23">
        <v>6.2759999999999998</v>
      </c>
      <c r="K50" s="23">
        <v>6.2770000000000001</v>
      </c>
      <c r="L50" s="23">
        <v>6.2759999999999998</v>
      </c>
      <c r="M50" s="23">
        <v>6.2770000000000001</v>
      </c>
      <c r="N50" s="23">
        <v>30.216000000000001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I50" s="23">
        <f t="shared" si="61"/>
        <v>0.75724999999999998</v>
      </c>
      <c r="AJ50" s="23">
        <f t="shared" si="62"/>
        <v>6.2759999999999998</v>
      </c>
      <c r="AK50" s="23">
        <f t="shared" si="63"/>
        <v>30.216000000000001</v>
      </c>
      <c r="AL50" s="23">
        <f t="shared" si="64"/>
        <v>0</v>
      </c>
      <c r="AM50" s="23">
        <f t="shared" si="65"/>
        <v>0</v>
      </c>
      <c r="AN50" s="23">
        <f t="shared" si="66"/>
        <v>0</v>
      </c>
      <c r="AO50" s="23">
        <f t="shared" si="67"/>
        <v>0</v>
      </c>
    </row>
    <row r="51" spans="1:41" ht="14.25" hidden="1" customHeight="1" outlineLevel="1" x14ac:dyDescent="0.35">
      <c r="A51" s="62"/>
      <c r="B51" s="24" t="s">
        <v>58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5.5E-2</v>
      </c>
      <c r="O51" s="23">
        <v>-6.7011769999999995</v>
      </c>
      <c r="P51" s="23">
        <v>-7.177054</v>
      </c>
      <c r="Q51" s="23">
        <v>-6.8849999999999998</v>
      </c>
      <c r="R51" s="23">
        <v>-7.3250000000000002</v>
      </c>
      <c r="S51" s="23">
        <v>-19.704266000000001</v>
      </c>
      <c r="T51" s="23">
        <v>-22.784509999999997</v>
      </c>
      <c r="U51" s="23">
        <v>-22.637807519999999</v>
      </c>
      <c r="V51" s="23">
        <v>-22.372</v>
      </c>
      <c r="W51" s="23">
        <v>-22.371617750000002</v>
      </c>
      <c r="X51" s="23">
        <v>-22.37261775</v>
      </c>
      <c r="Y51" s="23">
        <v>-22.37261775</v>
      </c>
      <c r="Z51" s="23">
        <v>-22.37261775</v>
      </c>
      <c r="AA51" s="23">
        <v>-22.372617999999999</v>
      </c>
      <c r="AB51" s="23">
        <v>-22.371617750000002</v>
      </c>
      <c r="AC51" s="23">
        <v>-22.372617748</v>
      </c>
      <c r="AD51" s="23">
        <v>-22.371617748000002</v>
      </c>
      <c r="AE51" s="23">
        <v>-22.372617748</v>
      </c>
      <c r="AF51" s="23">
        <v>-22.372617748</v>
      </c>
      <c r="AG51" s="23">
        <v>-22.372617748</v>
      </c>
      <c r="AI51" s="23">
        <f t="shared" si="61"/>
        <v>0</v>
      </c>
      <c r="AJ51" s="23">
        <f t="shared" si="62"/>
        <v>0</v>
      </c>
      <c r="AK51" s="23">
        <f t="shared" si="63"/>
        <v>5.5E-2</v>
      </c>
      <c r="AL51" s="23">
        <f t="shared" si="64"/>
        <v>-7.3250000000000002</v>
      </c>
      <c r="AM51" s="23">
        <f t="shared" si="65"/>
        <v>-22.372</v>
      </c>
      <c r="AN51" s="23">
        <f t="shared" si="66"/>
        <v>-22.37261775</v>
      </c>
      <c r="AO51" s="23">
        <f t="shared" si="67"/>
        <v>-22.371617748000002</v>
      </c>
    </row>
    <row r="52" spans="1:41" ht="14.25" hidden="1" customHeight="1" outlineLevel="1" x14ac:dyDescent="0.35">
      <c r="A52" s="62"/>
      <c r="B52" s="24" t="s">
        <v>59</v>
      </c>
      <c r="C52" s="23">
        <v>34.244866590192395</v>
      </c>
      <c r="D52" s="23">
        <v>39.061474323812398</v>
      </c>
      <c r="E52" s="23">
        <v>43.925060381312413</v>
      </c>
      <c r="F52" s="23">
        <v>7.5882500000000004</v>
      </c>
      <c r="G52" s="23">
        <v>22.333616757635522</v>
      </c>
      <c r="H52" s="23">
        <v>55.870369674976637</v>
      </c>
      <c r="I52" s="23">
        <v>93.185103020999961</v>
      </c>
      <c r="J52" s="23">
        <v>96.008779949899889</v>
      </c>
      <c r="K52" s="23">
        <v>156.63300000000001</v>
      </c>
      <c r="L52" s="23">
        <v>96.009498779999959</v>
      </c>
      <c r="M52" s="23">
        <v>0</v>
      </c>
      <c r="N52" s="23">
        <v>312.04700000000003</v>
      </c>
      <c r="O52" s="23">
        <v>148.37799999999999</v>
      </c>
      <c r="P52" s="23">
        <v>375.54605099999998</v>
      </c>
      <c r="Q52" s="23">
        <v>606.83100000000002</v>
      </c>
      <c r="R52" s="23">
        <v>909.26700000000005</v>
      </c>
      <c r="S52" s="23">
        <v>1218.579033</v>
      </c>
      <c r="T52" s="23">
        <v>1540.978253</v>
      </c>
      <c r="U52" s="23">
        <v>1883.2207897836633</v>
      </c>
      <c r="V52" s="23">
        <v>2274.8621372828047</v>
      </c>
      <c r="W52" s="23">
        <v>2631.5354754197569</v>
      </c>
      <c r="X52" s="23">
        <v>2927.6675665616694</v>
      </c>
      <c r="Y52" s="23">
        <v>3190.9724006107162</v>
      </c>
      <c r="Z52" s="23">
        <v>3566.5192011483414</v>
      </c>
      <c r="AA52" s="23">
        <v>3837.7856400000001</v>
      </c>
      <c r="AB52" s="23">
        <v>4109.8346357673654</v>
      </c>
      <c r="AC52" s="23">
        <v>4431.2257002222204</v>
      </c>
      <c r="AD52" s="23">
        <v>4732.6242846624882</v>
      </c>
      <c r="AE52" s="23">
        <v>5082.5420697934933</v>
      </c>
      <c r="AF52" s="23">
        <v>5449.4635754811825</v>
      </c>
      <c r="AG52" s="23">
        <v>5829.7509467940827</v>
      </c>
      <c r="AI52" s="23">
        <f t="shared" si="61"/>
        <v>7.5882500000000004</v>
      </c>
      <c r="AJ52" s="23">
        <f t="shared" si="62"/>
        <v>96.008779949899889</v>
      </c>
      <c r="AK52" s="23">
        <f t="shared" si="63"/>
        <v>312.04700000000003</v>
      </c>
      <c r="AL52" s="23">
        <f t="shared" si="64"/>
        <v>909.26700000000005</v>
      </c>
      <c r="AM52" s="23">
        <f t="shared" si="65"/>
        <v>2274.8621372828047</v>
      </c>
      <c r="AN52" s="23">
        <f t="shared" si="66"/>
        <v>3566.5192011483414</v>
      </c>
      <c r="AO52" s="23">
        <f t="shared" si="67"/>
        <v>4732.6242846624882</v>
      </c>
    </row>
    <row r="53" spans="1:41" ht="14.25" hidden="1" customHeight="1" outlineLevel="1" x14ac:dyDescent="0.35">
      <c r="A53" s="62"/>
      <c r="B53" s="24" t="s">
        <v>65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142.79447721864767</v>
      </c>
      <c r="M53" s="23">
        <v>147.042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I53" s="23">
        <f t="shared" si="61"/>
        <v>0</v>
      </c>
      <c r="AJ53" s="23">
        <f t="shared" si="62"/>
        <v>0</v>
      </c>
      <c r="AK53" s="23">
        <f t="shared" si="63"/>
        <v>0</v>
      </c>
      <c r="AL53" s="23">
        <f t="shared" si="64"/>
        <v>0</v>
      </c>
      <c r="AM53" s="23">
        <f t="shared" si="65"/>
        <v>0</v>
      </c>
      <c r="AN53" s="23">
        <f t="shared" si="66"/>
        <v>0</v>
      </c>
      <c r="AO53" s="23">
        <f t="shared" si="67"/>
        <v>0</v>
      </c>
    </row>
    <row r="54" spans="1:41" ht="14.25" hidden="1" customHeight="1" outlineLevel="1" x14ac:dyDescent="0.35">
      <c r="A54" s="22"/>
      <c r="B54" s="24" t="s">
        <v>60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-39.531999999999996</v>
      </c>
      <c r="S54" s="23">
        <v>-39.532044999999997</v>
      </c>
      <c r="T54" s="23">
        <v>-39.532044999999997</v>
      </c>
      <c r="U54" s="23">
        <v>-39.532044759999998</v>
      </c>
      <c r="V54" s="23">
        <v>-41.26726541</v>
      </c>
      <c r="W54" s="23">
        <v>-86.041603780000003</v>
      </c>
      <c r="X54" s="23">
        <v>-86.041603780000003</v>
      </c>
      <c r="Y54" s="23">
        <v>-15.598185490000001</v>
      </c>
      <c r="Z54" s="23">
        <v>-13.609000230000001</v>
      </c>
      <c r="AA54" s="23">
        <v>-0.88633299999999993</v>
      </c>
      <c r="AB54" s="23">
        <v>-0.87035431000000008</v>
      </c>
      <c r="AC54" s="23">
        <v>-0.19900730999999999</v>
      </c>
      <c r="AD54" s="23">
        <v>-285.01114998999998</v>
      </c>
      <c r="AE54" s="23">
        <v>-280.55476389</v>
      </c>
      <c r="AF54" s="23">
        <v>-280.20441489000001</v>
      </c>
      <c r="AG54" s="23">
        <v>-376.59753338999997</v>
      </c>
      <c r="AI54" s="23">
        <f t="shared" si="61"/>
        <v>0</v>
      </c>
      <c r="AJ54" s="23">
        <f t="shared" si="62"/>
        <v>0</v>
      </c>
      <c r="AK54" s="23">
        <f t="shared" si="63"/>
        <v>0</v>
      </c>
      <c r="AL54" s="23">
        <f t="shared" si="64"/>
        <v>-39.531999999999996</v>
      </c>
      <c r="AM54" s="23">
        <f t="shared" si="65"/>
        <v>-41.26726541</v>
      </c>
      <c r="AN54" s="23">
        <f t="shared" si="66"/>
        <v>-13.609000230000001</v>
      </c>
      <c r="AO54" s="23">
        <f t="shared" si="67"/>
        <v>-285.01114998999998</v>
      </c>
    </row>
    <row r="55" spans="1:41" ht="14.25" hidden="1" customHeight="1" outlineLevel="1" x14ac:dyDescent="0.35">
      <c r="A55" s="22"/>
      <c r="B55" s="19" t="s">
        <v>34</v>
      </c>
      <c r="C55" s="31">
        <v>2.6640033375000001</v>
      </c>
      <c r="D55" s="31">
        <v>2.3580729049999998</v>
      </c>
      <c r="E55" s="31">
        <v>2.5883888074999994</v>
      </c>
      <c r="F55" s="31">
        <v>2.1863586324999997</v>
      </c>
      <c r="G55" s="31">
        <v>0.54443903749999989</v>
      </c>
      <c r="H55" s="31">
        <v>0</v>
      </c>
      <c r="I55" s="31">
        <v>0</v>
      </c>
      <c r="J55" s="31">
        <v>0</v>
      </c>
      <c r="K55" s="31">
        <v>0</v>
      </c>
      <c r="L55" s="31">
        <v>0.18310674599020002</v>
      </c>
      <c r="M55" s="31">
        <v>0.53500000000000003</v>
      </c>
      <c r="N55" s="31">
        <v>3.496</v>
      </c>
      <c r="O55" s="31">
        <v>23.238208</v>
      </c>
      <c r="P55" s="31">
        <v>23.388406</v>
      </c>
      <c r="Q55" s="31">
        <v>23.855</v>
      </c>
      <c r="R55" s="31">
        <v>23.806000000000001</v>
      </c>
      <c r="S55" s="31">
        <v>21.857289000000002</v>
      </c>
      <c r="T55" s="31">
        <v>22.936783999999999</v>
      </c>
      <c r="U55" s="31">
        <v>23.601196409091902</v>
      </c>
      <c r="V55" s="31">
        <v>22.38381966</v>
      </c>
      <c r="W55" s="31">
        <v>22.288359980000003</v>
      </c>
      <c r="X55" s="31">
        <v>22.492559610000001</v>
      </c>
      <c r="Y55" s="31">
        <v>22.663873500000001</v>
      </c>
      <c r="Z55" s="31">
        <v>12.113405460000001</v>
      </c>
      <c r="AA55" s="31">
        <v>12.173859</v>
      </c>
      <c r="AB55" s="31">
        <v>12.270738710000002</v>
      </c>
      <c r="AC55" s="31">
        <v>12.42351071</v>
      </c>
      <c r="AD55" s="31">
        <v>0</v>
      </c>
      <c r="AE55" s="31">
        <v>0</v>
      </c>
      <c r="AF55" s="31">
        <v>0</v>
      </c>
      <c r="AG55" s="31">
        <v>0</v>
      </c>
      <c r="AI55" s="31">
        <f t="shared" si="61"/>
        <v>2.1863586324999997</v>
      </c>
      <c r="AJ55" s="31">
        <f t="shared" si="62"/>
        <v>0</v>
      </c>
      <c r="AK55" s="31">
        <f t="shared" si="63"/>
        <v>3.496</v>
      </c>
      <c r="AL55" s="31">
        <f t="shared" si="64"/>
        <v>23.806000000000001</v>
      </c>
      <c r="AM55" s="31">
        <f t="shared" si="65"/>
        <v>22.38381966</v>
      </c>
      <c r="AN55" s="31">
        <f t="shared" si="66"/>
        <v>12.113405460000001</v>
      </c>
      <c r="AO55" s="31">
        <f t="shared" si="67"/>
        <v>0</v>
      </c>
    </row>
    <row r="56" spans="1:41" ht="14.25" customHeight="1" collapsed="1" x14ac:dyDescent="0.35">
      <c r="B56" s="110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I56" s="111"/>
      <c r="AJ56" s="111"/>
      <c r="AK56" s="111"/>
      <c r="AL56" s="111"/>
      <c r="AM56" s="111"/>
      <c r="AN56" s="111"/>
      <c r="AO56" s="111"/>
    </row>
    <row r="57" spans="1:41" ht="14.25" customHeight="1" x14ac:dyDescent="0.35">
      <c r="B57" s="27" t="s">
        <v>22</v>
      </c>
      <c r="C57" s="26" t="s">
        <v>21</v>
      </c>
      <c r="D57" s="26" t="s">
        <v>20</v>
      </c>
      <c r="E57" s="26" t="s">
        <v>19</v>
      </c>
      <c r="F57" s="26" t="s">
        <v>18</v>
      </c>
      <c r="G57" s="26" t="s">
        <v>17</v>
      </c>
      <c r="H57" s="26" t="s">
        <v>16</v>
      </c>
      <c r="I57" s="26" t="s">
        <v>15</v>
      </c>
      <c r="J57" s="26" t="s">
        <v>14</v>
      </c>
      <c r="K57" s="26" t="s">
        <v>13</v>
      </c>
      <c r="L57" s="26" t="s">
        <v>12</v>
      </c>
      <c r="M57" s="26" t="s">
        <v>11</v>
      </c>
      <c r="N57" s="26" t="s">
        <v>10</v>
      </c>
      <c r="O57" s="26" t="s">
        <v>9</v>
      </c>
      <c r="P57" s="26" t="s">
        <v>8</v>
      </c>
      <c r="Q57" s="26" t="s">
        <v>7</v>
      </c>
      <c r="R57" s="26" t="s">
        <v>6</v>
      </c>
      <c r="S57" s="26" t="s">
        <v>5</v>
      </c>
      <c r="T57" s="26" t="s">
        <v>4</v>
      </c>
      <c r="U57" s="26" t="s">
        <v>101</v>
      </c>
      <c r="V57" s="26" t="s">
        <v>102</v>
      </c>
      <c r="W57" s="26" t="s">
        <v>104</v>
      </c>
      <c r="X57" s="26" t="s">
        <v>107</v>
      </c>
      <c r="Y57" s="26" t="s">
        <v>112</v>
      </c>
      <c r="Z57" s="26" t="s">
        <v>122</v>
      </c>
      <c r="AA57" s="26" t="s">
        <v>139</v>
      </c>
      <c r="AB57" s="26" t="s">
        <v>149</v>
      </c>
      <c r="AC57" s="26" t="s">
        <v>154</v>
      </c>
      <c r="AD57" s="26" t="s">
        <v>168</v>
      </c>
      <c r="AE57" s="26" t="s">
        <v>187</v>
      </c>
      <c r="AF57" s="26" t="s">
        <v>206</v>
      </c>
      <c r="AG57" s="26" t="s">
        <v>216</v>
      </c>
      <c r="AI57" s="26">
        <v>2015</v>
      </c>
      <c r="AJ57" s="26">
        <v>2016</v>
      </c>
      <c r="AK57" s="26">
        <v>2017</v>
      </c>
      <c r="AL57" s="26">
        <v>2018</v>
      </c>
      <c r="AM57" s="26">
        <v>2019</v>
      </c>
      <c r="AN57" s="26">
        <v>2020</v>
      </c>
      <c r="AO57" s="26">
        <v>2021</v>
      </c>
    </row>
    <row r="58" spans="1:41" ht="14.25" customHeight="1" x14ac:dyDescent="0.35">
      <c r="B58" s="107" t="s">
        <v>213</v>
      </c>
      <c r="C58" s="76">
        <f t="shared" ref="C58:AE58" si="68">IFERROR(SUM(C59:C60),"-")</f>
        <v>273.07481933999964</v>
      </c>
      <c r="D58" s="76">
        <f t="shared" si="68"/>
        <v>367.54534211000004</v>
      </c>
      <c r="E58" s="76">
        <f t="shared" si="68"/>
        <v>461.68075994000009</v>
      </c>
      <c r="F58" s="76">
        <f t="shared" si="68"/>
        <v>433.81530122000004</v>
      </c>
      <c r="G58" s="76">
        <f t="shared" si="68"/>
        <v>467.40159953000011</v>
      </c>
      <c r="H58" s="76">
        <f t="shared" si="68"/>
        <v>428.30772420000028</v>
      </c>
      <c r="I58" s="76">
        <f t="shared" si="68"/>
        <v>360.06247703999952</v>
      </c>
      <c r="J58" s="76">
        <f t="shared" si="68"/>
        <v>410.87426163000009</v>
      </c>
      <c r="K58" s="76">
        <f t="shared" si="68"/>
        <v>460.89391245851152</v>
      </c>
      <c r="L58" s="76">
        <f t="shared" si="68"/>
        <v>571.13277494100089</v>
      </c>
      <c r="M58" s="76">
        <f t="shared" si="68"/>
        <v>761.11900000000014</v>
      </c>
      <c r="N58" s="76">
        <f t="shared" si="68"/>
        <v>718.65000000000009</v>
      </c>
      <c r="O58" s="76">
        <f t="shared" si="68"/>
        <v>4453.4135059999999</v>
      </c>
      <c r="P58" s="76">
        <f t="shared" si="68"/>
        <v>6000.8017219999992</v>
      </c>
      <c r="Q58" s="76">
        <f t="shared" si="68"/>
        <v>6257.1710000000003</v>
      </c>
      <c r="R58" s="76">
        <f t="shared" si="68"/>
        <v>6543.530999999999</v>
      </c>
      <c r="S58" s="76">
        <f t="shared" si="68"/>
        <v>6906.1850579999991</v>
      </c>
      <c r="T58" s="76">
        <f t="shared" si="68"/>
        <v>7306.4947970000012</v>
      </c>
      <c r="U58" s="76">
        <f t="shared" si="68"/>
        <v>7581.2506647533537</v>
      </c>
      <c r="V58" s="76">
        <f t="shared" si="68"/>
        <v>7934.4528286899931</v>
      </c>
      <c r="W58" s="76">
        <f t="shared" si="68"/>
        <v>8143.9756973190297</v>
      </c>
      <c r="X58" s="76">
        <f t="shared" si="68"/>
        <v>8264.3251622398093</v>
      </c>
      <c r="Y58" s="76">
        <f t="shared" si="68"/>
        <v>8169.5616562581217</v>
      </c>
      <c r="Z58" s="76">
        <f t="shared" si="68"/>
        <v>7828.8454906056286</v>
      </c>
      <c r="AA58" s="76">
        <f t="shared" si="68"/>
        <v>7899.5390320000006</v>
      </c>
      <c r="AB58" s="76">
        <f t="shared" si="68"/>
        <v>8296.2496260797998</v>
      </c>
      <c r="AC58" s="76">
        <f t="shared" si="68"/>
        <v>8687.552383830589</v>
      </c>
      <c r="AD58" s="76">
        <v>8863.1616017199958</v>
      </c>
      <c r="AE58" s="76">
        <f t="shared" si="68"/>
        <v>8336.4204708406651</v>
      </c>
      <c r="AF58" s="76">
        <f t="shared" ref="AF58:AG58" si="69">IFERROR(SUM(AF59:AF60),"-")</f>
        <v>8641.9391921098395</v>
      </c>
      <c r="AG58" s="76">
        <f t="shared" si="69"/>
        <v>9049.7593644188419</v>
      </c>
      <c r="AI58" s="76">
        <f t="shared" ref="AI58" si="70">F58</f>
        <v>433.81530122000004</v>
      </c>
      <c r="AJ58" s="76">
        <f t="shared" ref="AJ58" si="71">J58</f>
        <v>410.87426163000009</v>
      </c>
      <c r="AK58" s="76">
        <f t="shared" ref="AK58" si="72">N58</f>
        <v>718.65000000000009</v>
      </c>
      <c r="AL58" s="76">
        <f t="shared" ref="AL58" si="73">R58</f>
        <v>6543.530999999999</v>
      </c>
      <c r="AM58" s="76">
        <f t="shared" ref="AM58" si="74">V58</f>
        <v>7934.4528286899931</v>
      </c>
      <c r="AN58" s="76">
        <f t="shared" ref="AN58" si="75">Z58</f>
        <v>7828.8454906056286</v>
      </c>
      <c r="AO58" s="76">
        <f t="shared" ref="AO58" si="76">AD58</f>
        <v>8863.1616017199958</v>
      </c>
    </row>
    <row r="59" spans="1:41" ht="14.25" customHeight="1" x14ac:dyDescent="0.35">
      <c r="B59" s="108" t="s">
        <v>157</v>
      </c>
      <c r="C59" s="109">
        <f t="shared" ref="C59:AE59" si="77">C8+C9+C10+C18</f>
        <v>634.29224420000003</v>
      </c>
      <c r="D59" s="109">
        <f t="shared" si="77"/>
        <v>796.99220836000029</v>
      </c>
      <c r="E59" s="109">
        <f t="shared" si="77"/>
        <v>966.45291213000007</v>
      </c>
      <c r="F59" s="109">
        <f t="shared" si="77"/>
        <v>1116.90770428</v>
      </c>
      <c r="G59" s="109">
        <f t="shared" si="77"/>
        <v>1143.1311404700002</v>
      </c>
      <c r="H59" s="109">
        <f t="shared" si="77"/>
        <v>1222.5690542500001</v>
      </c>
      <c r="I59" s="109">
        <f t="shared" si="77"/>
        <v>1463.6414071799998</v>
      </c>
      <c r="J59" s="109">
        <f t="shared" si="77"/>
        <v>1926.7222441700001</v>
      </c>
      <c r="K59" s="109">
        <f t="shared" si="77"/>
        <v>1903.6411777285118</v>
      </c>
      <c r="L59" s="109">
        <f t="shared" si="77"/>
        <v>2371.2702881410005</v>
      </c>
      <c r="M59" s="109">
        <f t="shared" si="77"/>
        <v>3022.5910000000003</v>
      </c>
      <c r="N59" s="109">
        <f t="shared" si="77"/>
        <v>3799.2190000000001</v>
      </c>
      <c r="O59" s="109">
        <f t="shared" si="77"/>
        <v>7428.710838</v>
      </c>
      <c r="P59" s="109">
        <f t="shared" si="77"/>
        <v>9085.5881169999993</v>
      </c>
      <c r="Q59" s="109">
        <f t="shared" si="77"/>
        <v>9959.8850000000002</v>
      </c>
      <c r="R59" s="109">
        <f t="shared" si="77"/>
        <v>10867.728999999999</v>
      </c>
      <c r="S59" s="109">
        <f t="shared" si="77"/>
        <v>11274.275057999999</v>
      </c>
      <c r="T59" s="109">
        <f t="shared" si="77"/>
        <v>11887.970000000001</v>
      </c>
      <c r="U59" s="109">
        <f t="shared" si="77"/>
        <v>11989.576809123353</v>
      </c>
      <c r="V59" s="109">
        <f t="shared" si="77"/>
        <v>13260.743037209993</v>
      </c>
      <c r="W59" s="109">
        <f t="shared" si="77"/>
        <v>12835.235997549029</v>
      </c>
      <c r="X59" s="109">
        <f t="shared" si="77"/>
        <v>14232.231578209809</v>
      </c>
      <c r="Y59" s="109">
        <f t="shared" si="77"/>
        <v>16024.892843618121</v>
      </c>
      <c r="Z59" s="109">
        <f t="shared" si="77"/>
        <v>18696.442013605625</v>
      </c>
      <c r="AA59" s="109">
        <f t="shared" si="77"/>
        <v>18093.891172</v>
      </c>
      <c r="AB59" s="109">
        <f t="shared" si="77"/>
        <v>19902.807348849798</v>
      </c>
      <c r="AC59" s="109">
        <f t="shared" si="77"/>
        <v>22425.812115810586</v>
      </c>
      <c r="AD59" s="109">
        <v>26234.410993999998</v>
      </c>
      <c r="AE59" s="109">
        <f t="shared" si="77"/>
        <v>28534.236367578684</v>
      </c>
      <c r="AF59" s="109">
        <f>AF8+AF9+AF10+AF18</f>
        <v>33774.926918465746</v>
      </c>
      <c r="AG59" s="109">
        <f>AG8+AG9+AG10+AG18</f>
        <v>37779.468064922461</v>
      </c>
      <c r="AI59" s="109">
        <f t="shared" ref="AI59:AI60" si="78">F59</f>
        <v>1116.90770428</v>
      </c>
      <c r="AJ59" s="109">
        <f t="shared" ref="AJ59:AJ60" si="79">J59</f>
        <v>1926.7222441700001</v>
      </c>
      <c r="AK59" s="109">
        <f t="shared" ref="AK59:AK60" si="80">N59</f>
        <v>3799.2190000000001</v>
      </c>
      <c r="AL59" s="109">
        <f t="shared" ref="AL59:AL60" si="81">R59</f>
        <v>10867.728999999999</v>
      </c>
      <c r="AM59" s="109">
        <f t="shared" ref="AM59:AM60" si="82">V59</f>
        <v>13260.743037209993</v>
      </c>
      <c r="AN59" s="109">
        <f t="shared" ref="AN59:AN60" si="83">Z59</f>
        <v>18696.442013605625</v>
      </c>
      <c r="AO59" s="109">
        <f t="shared" ref="AO59:AO60" si="84">AD59</f>
        <v>26234.410993999998</v>
      </c>
    </row>
    <row r="60" spans="1:41" ht="14.25" customHeight="1" x14ac:dyDescent="0.35">
      <c r="B60" s="108" t="s">
        <v>214</v>
      </c>
      <c r="C60" s="109">
        <f t="shared" ref="C60:AE60" si="85">-(C27+C30+C31+C32+C42)</f>
        <v>-361.21742486000039</v>
      </c>
      <c r="D60" s="109">
        <f t="shared" si="85"/>
        <v>-429.44686625000026</v>
      </c>
      <c r="E60" s="109">
        <f t="shared" si="85"/>
        <v>-504.77215218999999</v>
      </c>
      <c r="F60" s="109">
        <f t="shared" si="85"/>
        <v>-683.09240305999992</v>
      </c>
      <c r="G60" s="109">
        <f t="shared" si="85"/>
        <v>-675.72954094000011</v>
      </c>
      <c r="H60" s="109">
        <f t="shared" si="85"/>
        <v>-794.26133004999986</v>
      </c>
      <c r="I60" s="109">
        <f t="shared" si="85"/>
        <v>-1103.5789301400002</v>
      </c>
      <c r="J60" s="109">
        <f t="shared" si="85"/>
        <v>-1515.84798254</v>
      </c>
      <c r="K60" s="109">
        <f t="shared" si="85"/>
        <v>-1442.7472652700003</v>
      </c>
      <c r="L60" s="109">
        <f t="shared" si="85"/>
        <v>-1800.1375131999996</v>
      </c>
      <c r="M60" s="109">
        <f t="shared" si="85"/>
        <v>-2261.4720000000002</v>
      </c>
      <c r="N60" s="109">
        <f t="shared" si="85"/>
        <v>-3080.569</v>
      </c>
      <c r="O60" s="109">
        <f t="shared" si="85"/>
        <v>-2975.2973320000001</v>
      </c>
      <c r="P60" s="109">
        <f t="shared" si="85"/>
        <v>-3084.7863950000001</v>
      </c>
      <c r="Q60" s="109">
        <f t="shared" si="85"/>
        <v>-3702.7139999999999</v>
      </c>
      <c r="R60" s="109">
        <f t="shared" si="85"/>
        <v>-4324.1980000000003</v>
      </c>
      <c r="S60" s="109">
        <f t="shared" si="85"/>
        <v>-4368.09</v>
      </c>
      <c r="T60" s="109">
        <f t="shared" si="85"/>
        <v>-4581.475203</v>
      </c>
      <c r="U60" s="109">
        <f t="shared" si="85"/>
        <v>-4408.3261443699994</v>
      </c>
      <c r="V60" s="109">
        <f t="shared" si="85"/>
        <v>-5326.2902085200003</v>
      </c>
      <c r="W60" s="109">
        <f t="shared" si="85"/>
        <v>-4691.2603002299993</v>
      </c>
      <c r="X60" s="109">
        <f t="shared" si="85"/>
        <v>-5967.9064159700001</v>
      </c>
      <c r="Y60" s="109">
        <f t="shared" si="85"/>
        <v>-7855.3311873599996</v>
      </c>
      <c r="Z60" s="109">
        <f t="shared" si="85"/>
        <v>-10867.596522999997</v>
      </c>
      <c r="AA60" s="109">
        <f t="shared" si="85"/>
        <v>-10194.352139999999</v>
      </c>
      <c r="AB60" s="109">
        <f t="shared" si="85"/>
        <v>-11606.557722769998</v>
      </c>
      <c r="AC60" s="109">
        <f t="shared" si="85"/>
        <v>-13738.259731979997</v>
      </c>
      <c r="AD60" s="109">
        <v>-17371.249392280002</v>
      </c>
      <c r="AE60" s="109">
        <f t="shared" si="85"/>
        <v>-20197.815896738019</v>
      </c>
      <c r="AF60" s="109">
        <f>-(AF27+AF30+AF31+AF32+AF42)</f>
        <v>-25132.987726355906</v>
      </c>
      <c r="AG60" s="109">
        <f>-(AG27+AG30+AG31+AG32+AG42)</f>
        <v>-28729.708700503619</v>
      </c>
      <c r="AI60" s="109">
        <f t="shared" si="78"/>
        <v>-683.09240305999992</v>
      </c>
      <c r="AJ60" s="109">
        <f t="shared" si="79"/>
        <v>-1515.84798254</v>
      </c>
      <c r="AK60" s="109">
        <f t="shared" si="80"/>
        <v>-3080.569</v>
      </c>
      <c r="AL60" s="109">
        <f t="shared" si="81"/>
        <v>-4324.1980000000003</v>
      </c>
      <c r="AM60" s="109">
        <f t="shared" si="82"/>
        <v>-5326.2902085200003</v>
      </c>
      <c r="AN60" s="109">
        <f t="shared" si="83"/>
        <v>-10867.596522999997</v>
      </c>
      <c r="AO60" s="109">
        <f t="shared" si="84"/>
        <v>-17371.249392280002</v>
      </c>
    </row>
    <row r="61" spans="1:41" ht="14.25" customHeight="1" x14ac:dyDescent="0.35"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I61" s="112"/>
      <c r="AJ61" s="112"/>
      <c r="AK61" s="112"/>
      <c r="AL61" s="112"/>
      <c r="AM61" s="112"/>
      <c r="AN61" s="112"/>
      <c r="AO61" s="112"/>
    </row>
  </sheetData>
  <phoneticPr fontId="13" type="noConversion"/>
  <hyperlinks>
    <hyperlink ref="B3" r:id="rId1" xr:uid="{3DBA7DEB-9134-4D39-9D6C-C1B5F7528480}"/>
  </hyperlinks>
  <pageMargins left="0.511811024" right="0.511811024" top="0.78740157499999996" bottom="0.78740157499999996" header="0.31496062000000002" footer="0.31496062000000002"/>
  <pageSetup paperSize="9" orientation="portrait" r:id="rId2"/>
  <ignoredErrors>
    <ignoredError sqref="AI32:AO55 AI16:AO29 AI30:AO30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2A8E-397D-418A-942F-73AFE5138A99}">
  <dimension ref="A1:AP11"/>
  <sheetViews>
    <sheetView showGridLines="0" zoomScaleNormal="100" workbookViewId="0">
      <pane xSplit="2" ySplit="5" topLeftCell="G6" activePane="bottomRight" state="frozen"/>
      <selection activeCell="B6" sqref="B6"/>
      <selection pane="topRight" activeCell="B6" sqref="B6"/>
      <selection pane="bottomLeft" activeCell="B6" sqref="B6"/>
      <selection pane="bottomRight"/>
    </sheetView>
  </sheetViews>
  <sheetFormatPr defaultColWidth="0" defaultRowHeight="14.25" customHeight="1" zeroHeight="1" outlineLevelRow="1" outlineLevelCol="1" x14ac:dyDescent="0.35"/>
  <cols>
    <col min="1" max="1" width="2.54296875" customWidth="1"/>
    <col min="2" max="2" width="60.54296875" customWidth="1"/>
    <col min="3" max="6" width="10.54296875" hidden="1" customWidth="1" outlineLevel="1"/>
    <col min="7" max="7" width="10.54296875" customWidth="1" collapsed="1"/>
    <col min="8" max="13" width="10.54296875" customWidth="1"/>
    <col min="14" max="14" width="2.54296875" customWidth="1"/>
    <col min="15" max="16" width="10.54296875" customWidth="1"/>
    <col min="17" max="17" width="2.54296875" customWidth="1"/>
    <col min="18" max="20" width="10.54296875" hidden="1" customWidth="1"/>
    <col min="21" max="29" width="0" hidden="1" customWidth="1"/>
    <col min="30" max="34" width="10.54296875" hidden="1" customWidth="1"/>
    <col min="35" max="37" width="0" hidden="1" customWidth="1"/>
    <col min="38" max="39" width="10.54296875" hidden="1" customWidth="1"/>
    <col min="40" max="42" width="0" hidden="1" customWidth="1"/>
    <col min="43" max="16384" width="10.54296875" hidden="1"/>
  </cols>
  <sheetData>
    <row r="1" spans="2:16" ht="14.25" customHeight="1" x14ac:dyDescent="0.35">
      <c r="K1" s="96"/>
      <c r="L1" s="96"/>
      <c r="M1" s="96"/>
    </row>
    <row r="2" spans="2:16" ht="14.25" customHeight="1" x14ac:dyDescent="0.35">
      <c r="B2" s="8" t="s">
        <v>202</v>
      </c>
    </row>
    <row r="3" spans="2:16" ht="14.25" customHeight="1" x14ac:dyDescent="0.35">
      <c r="B3" s="11" t="s">
        <v>32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</row>
    <row r="4" spans="2:16" ht="14.25" customHeight="1" x14ac:dyDescent="0.35"/>
    <row r="5" spans="2:16" ht="14.25" customHeight="1" x14ac:dyDescent="0.35">
      <c r="B5" s="70" t="s">
        <v>184</v>
      </c>
      <c r="C5" s="26" t="s">
        <v>104</v>
      </c>
      <c r="D5" s="26" t="s">
        <v>107</v>
      </c>
      <c r="E5" s="26" t="s">
        <v>112</v>
      </c>
      <c r="F5" s="26" t="s">
        <v>122</v>
      </c>
      <c r="G5" s="26" t="s">
        <v>139</v>
      </c>
      <c r="H5" s="26" t="s">
        <v>149</v>
      </c>
      <c r="I5" s="26" t="s">
        <v>154</v>
      </c>
      <c r="J5" s="26" t="s">
        <v>168</v>
      </c>
      <c r="K5" s="26" t="s">
        <v>187</v>
      </c>
      <c r="L5" s="102" t="s">
        <v>206</v>
      </c>
      <c r="M5" s="102" t="s">
        <v>216</v>
      </c>
      <c r="O5" s="26">
        <v>2020</v>
      </c>
      <c r="P5" s="26">
        <v>2021</v>
      </c>
    </row>
    <row r="6" spans="2:16" ht="14.25" customHeight="1" x14ac:dyDescent="0.35">
      <c r="B6" s="58" t="s">
        <v>183</v>
      </c>
      <c r="C6" s="72">
        <v>158.61419751244841</v>
      </c>
      <c r="D6" s="72">
        <v>84.888900714777151</v>
      </c>
      <c r="E6" s="72">
        <v>144.36077130879934</v>
      </c>
      <c r="F6" s="72">
        <v>176.37086814193302</v>
      </c>
      <c r="G6" s="72">
        <v>156.11249543642109</v>
      </c>
      <c r="H6" s="72">
        <v>193.67563673077342</v>
      </c>
      <c r="I6" s="72">
        <v>258.61796397675482</v>
      </c>
      <c r="J6" s="72">
        <v>308.51423074707048</v>
      </c>
      <c r="K6" s="72">
        <v>304.57011187797934</v>
      </c>
      <c r="L6" s="72">
        <v>314.47920064391752</v>
      </c>
      <c r="M6" s="72">
        <v>339.42378127694138</v>
      </c>
      <c r="O6" s="72">
        <f t="shared" ref="O6" si="0">SUM(C6:F6)</f>
        <v>564.23473767795792</v>
      </c>
      <c r="P6" s="72">
        <f t="shared" ref="P6" si="1">SUM(G6:J6)</f>
        <v>916.92032689101984</v>
      </c>
    </row>
    <row r="7" spans="2:16" ht="14.25" hidden="1" customHeight="1" outlineLevel="1" x14ac:dyDescent="0.35">
      <c r="B7" s="25" t="s">
        <v>174</v>
      </c>
      <c r="C7" s="74">
        <v>63.497340432797451</v>
      </c>
      <c r="D7" s="74">
        <v>22.853825050270061</v>
      </c>
      <c r="E7" s="74">
        <v>34.909417697515394</v>
      </c>
      <c r="F7" s="74">
        <v>41.772653314468485</v>
      </c>
      <c r="G7" s="74">
        <v>53.877894867759309</v>
      </c>
      <c r="H7" s="74">
        <v>76.081141101005997</v>
      </c>
      <c r="I7" s="74">
        <v>122.26442015396904</v>
      </c>
      <c r="J7" s="74">
        <v>142.28778944446478</v>
      </c>
      <c r="K7" s="74">
        <v>142.40693126884713</v>
      </c>
      <c r="L7" s="74">
        <v>142.66777547875563</v>
      </c>
      <c r="M7" s="74">
        <v>139.58145081647132</v>
      </c>
      <c r="O7" s="74">
        <f t="shared" ref="O7:O9" si="2">SUM(C7:F7)</f>
        <v>163.0332364950514</v>
      </c>
      <c r="P7" s="74">
        <f t="shared" ref="P7:P9" si="3">SUM(G7:J7)</f>
        <v>394.51124556719913</v>
      </c>
    </row>
    <row r="8" spans="2:16" ht="14.25" hidden="1" customHeight="1" outlineLevel="1" x14ac:dyDescent="0.35">
      <c r="B8" s="25" t="s">
        <v>171</v>
      </c>
      <c r="C8" s="74">
        <v>80.522555634518909</v>
      </c>
      <c r="D8" s="74">
        <v>11.04946516724965</v>
      </c>
      <c r="E8" s="74">
        <v>13.101284362117383</v>
      </c>
      <c r="F8" s="74">
        <v>97.841130490879763</v>
      </c>
      <c r="G8" s="74">
        <v>-26.573735482885269</v>
      </c>
      <c r="H8" s="74">
        <v>44.321761350725822</v>
      </c>
      <c r="I8" s="74">
        <v>103.83962350440807</v>
      </c>
      <c r="J8" s="74">
        <v>76.426347798483036</v>
      </c>
      <c r="K8" s="74">
        <v>19.952802605105035</v>
      </c>
      <c r="L8" s="74">
        <v>41.181488228788467</v>
      </c>
      <c r="M8" s="74">
        <v>76.17926632899534</v>
      </c>
      <c r="O8" s="74">
        <f t="shared" si="2"/>
        <v>202.51443565476569</v>
      </c>
      <c r="P8" s="74">
        <f t="shared" si="3"/>
        <v>198.01399717073167</v>
      </c>
    </row>
    <row r="9" spans="2:16" ht="14.25" customHeight="1" collapsed="1" x14ac:dyDescent="0.35">
      <c r="B9" s="71" t="s">
        <v>143</v>
      </c>
      <c r="C9" s="73">
        <v>-6.7794680781150731</v>
      </c>
      <c r="D9" s="73">
        <v>-64.129143978974454</v>
      </c>
      <c r="E9" s="73">
        <v>-66.154488622641566</v>
      </c>
      <c r="F9" s="73">
        <v>-14.661413679872751</v>
      </c>
      <c r="G9" s="73">
        <v>-140.21619112384326</v>
      </c>
      <c r="H9" s="73">
        <v>-78.559840049172081</v>
      </c>
      <c r="I9" s="73">
        <v>-36.290162918029793</v>
      </c>
      <c r="J9" s="73">
        <v>-70.278474907233331</v>
      </c>
      <c r="K9" s="73">
        <v>-104.37100101976003</v>
      </c>
      <c r="L9" s="73">
        <v>-95.783634161961672</v>
      </c>
      <c r="M9" s="73">
        <v>-98.621744390384976</v>
      </c>
      <c r="O9" s="73">
        <f t="shared" si="2"/>
        <v>-151.72451435960386</v>
      </c>
      <c r="P9" s="73">
        <f t="shared" si="3"/>
        <v>-325.34466899827845</v>
      </c>
    </row>
    <row r="10" spans="2:16" ht="14.25" customHeight="1" x14ac:dyDescent="0.35"/>
    <row r="11" spans="2:16" ht="14.5" hidden="1" x14ac:dyDescent="0.35"/>
  </sheetData>
  <hyperlinks>
    <hyperlink ref="B3" r:id="rId1" xr:uid="{EF57CCD2-187D-4566-A006-73A9C347973F}"/>
  </hyperlinks>
  <pageMargins left="0.7" right="0.7" top="0.75" bottom="0.75" header="0.3" footer="0.3"/>
  <pageSetup paperSize="9" orientation="portrait" verticalDpi="0" r:id="rId2"/>
  <ignoredErrors>
    <ignoredError sqref="O5:P5 O7:P9 O6:P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C7BD-3A37-409B-9963-C227FB354DA8}">
  <sheetPr codeName="Planilha7"/>
  <dimension ref="A1:AP189"/>
  <sheetViews>
    <sheetView showGridLines="0" zoomScaleNormal="100" workbookViewId="0">
      <pane xSplit="2" ySplit="5" topLeftCell="AA6" activePane="bottomRight" state="frozen"/>
      <selection activeCell="B6" sqref="B6"/>
      <selection pane="topRight" activeCell="B6" sqref="B6"/>
      <selection pane="bottomLeft" activeCell="B6" sqref="B6"/>
      <selection pane="bottomRight"/>
    </sheetView>
  </sheetViews>
  <sheetFormatPr defaultColWidth="0" defaultRowHeight="14.25" customHeight="1" zeroHeight="1" outlineLevelRow="1" outlineLevelCol="1" x14ac:dyDescent="0.35"/>
  <cols>
    <col min="1" max="1" width="2.54296875" style="22" customWidth="1"/>
    <col min="2" max="2" width="60.54296875" style="1" customWidth="1"/>
    <col min="3" max="22" width="10.54296875" style="1" hidden="1" customWidth="1" outlineLevel="1"/>
    <col min="23" max="23" width="10.54296875" style="1" hidden="1" customWidth="1" outlineLevel="1" collapsed="1"/>
    <col min="24" max="26" width="10.54296875" style="1" hidden="1" customWidth="1" outlineLevel="1"/>
    <col min="27" max="27" width="10.54296875" style="1" customWidth="1" collapsed="1"/>
    <col min="28" max="33" width="10.54296875" style="1" customWidth="1"/>
    <col min="34" max="34" width="2.54296875" style="1" customWidth="1"/>
    <col min="35" max="39" width="10.54296875" style="1" hidden="1" customWidth="1" outlineLevel="1"/>
    <col min="40" max="40" width="10.54296875" style="1" customWidth="1" collapsed="1"/>
    <col min="41" max="41" width="10.54296875" style="1" customWidth="1"/>
    <col min="42" max="42" width="2.54296875" style="1" customWidth="1"/>
    <col min="43" max="16384" width="10.54296875" style="1" hidden="1"/>
  </cols>
  <sheetData>
    <row r="1" spans="2:41" ht="14.25" customHeight="1" x14ac:dyDescent="0.35"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</row>
    <row r="2" spans="2:41" ht="14.25" customHeight="1" x14ac:dyDescent="0.35">
      <c r="B2" s="8" t="s">
        <v>72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 spans="2:41" ht="14.25" customHeight="1" x14ac:dyDescent="0.35">
      <c r="B3" s="11" t="s">
        <v>32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53"/>
      <c r="X3" s="53"/>
      <c r="Y3" s="53"/>
      <c r="Z3" s="53"/>
      <c r="AA3" s="53"/>
      <c r="AB3" s="45"/>
      <c r="AC3" s="45"/>
      <c r="AD3" s="45"/>
    </row>
    <row r="4" spans="2:41" ht="14.25" customHeight="1" x14ac:dyDescent="0.35">
      <c r="B4" s="97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53"/>
      <c r="X4" s="53"/>
      <c r="Y4" s="53"/>
      <c r="Z4" s="53"/>
      <c r="AA4" s="53"/>
      <c r="AB4" s="45"/>
      <c r="AC4" s="45"/>
      <c r="AD4" s="45"/>
      <c r="AG4" s="101"/>
      <c r="AN4" s="17"/>
    </row>
    <row r="5" spans="2:41" ht="14.25" customHeight="1" x14ac:dyDescent="0.35">
      <c r="B5" s="27" t="s">
        <v>189</v>
      </c>
      <c r="C5" s="26" t="s">
        <v>21</v>
      </c>
      <c r="D5" s="26" t="s">
        <v>20</v>
      </c>
      <c r="E5" s="26" t="s">
        <v>19</v>
      </c>
      <c r="F5" s="26" t="s">
        <v>18</v>
      </c>
      <c r="G5" s="26" t="s">
        <v>17</v>
      </c>
      <c r="H5" s="26" t="s">
        <v>16</v>
      </c>
      <c r="I5" s="26" t="s">
        <v>15</v>
      </c>
      <c r="J5" s="26" t="s">
        <v>14</v>
      </c>
      <c r="K5" s="26" t="s">
        <v>13</v>
      </c>
      <c r="L5" s="26" t="s">
        <v>12</v>
      </c>
      <c r="M5" s="26" t="s">
        <v>11</v>
      </c>
      <c r="N5" s="26" t="s">
        <v>10</v>
      </c>
      <c r="O5" s="26" t="s">
        <v>9</v>
      </c>
      <c r="P5" s="26" t="s">
        <v>8</v>
      </c>
      <c r="Q5" s="26" t="s">
        <v>7</v>
      </c>
      <c r="R5" s="26" t="s">
        <v>6</v>
      </c>
      <c r="S5" s="26" t="s">
        <v>5</v>
      </c>
      <c r="T5" s="26" t="s">
        <v>4</v>
      </c>
      <c r="U5" s="26" t="s">
        <v>101</v>
      </c>
      <c r="V5" s="26" t="s">
        <v>102</v>
      </c>
      <c r="W5" s="26" t="s">
        <v>104</v>
      </c>
      <c r="X5" s="26" t="s">
        <v>107</v>
      </c>
      <c r="Y5" s="26" t="s">
        <v>112</v>
      </c>
      <c r="Z5" s="26" t="s">
        <v>122</v>
      </c>
      <c r="AA5" s="26" t="s">
        <v>139</v>
      </c>
      <c r="AB5" s="26" t="s">
        <v>149</v>
      </c>
      <c r="AC5" s="26" t="s">
        <v>154</v>
      </c>
      <c r="AD5" s="26" t="s">
        <v>168</v>
      </c>
      <c r="AE5" s="26" t="s">
        <v>187</v>
      </c>
      <c r="AF5" s="26" t="s">
        <v>206</v>
      </c>
      <c r="AG5" s="26" t="s">
        <v>216</v>
      </c>
      <c r="AI5" s="26">
        <v>2015</v>
      </c>
      <c r="AJ5" s="26">
        <v>2016</v>
      </c>
      <c r="AK5" s="26">
        <v>2017</v>
      </c>
      <c r="AL5" s="26">
        <v>2018</v>
      </c>
      <c r="AM5" s="26">
        <v>2019</v>
      </c>
      <c r="AN5" s="26">
        <v>2020</v>
      </c>
      <c r="AO5" s="26">
        <v>2021</v>
      </c>
    </row>
    <row r="6" spans="2:41" ht="14.25" customHeight="1" x14ac:dyDescent="0.35">
      <c r="B6" s="41" t="s">
        <v>172</v>
      </c>
      <c r="C6" s="42">
        <f t="shared" ref="C6:Z6" si="0">(SUM(C7:C8))</f>
        <v>0.8</v>
      </c>
      <c r="D6" s="42">
        <f t="shared" si="0"/>
        <v>1.1000000000000001</v>
      </c>
      <c r="E6" s="42">
        <f t="shared" si="0"/>
        <v>1.4</v>
      </c>
      <c r="F6" s="42">
        <f t="shared" si="0"/>
        <v>1.7</v>
      </c>
      <c r="G6" s="42">
        <f t="shared" si="0"/>
        <v>2.5</v>
      </c>
      <c r="H6" s="42">
        <f t="shared" si="0"/>
        <v>3</v>
      </c>
      <c r="I6" s="42">
        <f t="shared" si="0"/>
        <v>3.7</v>
      </c>
      <c r="J6" s="42">
        <f t="shared" si="0"/>
        <v>4.8</v>
      </c>
      <c r="K6" s="42">
        <f t="shared" si="0"/>
        <v>6</v>
      </c>
      <c r="L6" s="42">
        <f t="shared" si="0"/>
        <v>8.1</v>
      </c>
      <c r="M6" s="42">
        <f t="shared" si="0"/>
        <v>10.7</v>
      </c>
      <c r="N6" s="42">
        <f t="shared" si="0"/>
        <v>13.6</v>
      </c>
      <c r="O6" s="42">
        <f t="shared" si="0"/>
        <v>14.4</v>
      </c>
      <c r="P6" s="42">
        <f t="shared" si="0"/>
        <v>16.899999999999999</v>
      </c>
      <c r="Q6" s="42">
        <f t="shared" si="0"/>
        <v>20.3</v>
      </c>
      <c r="R6" s="42">
        <f t="shared" si="0"/>
        <v>24.6</v>
      </c>
      <c r="S6" s="42">
        <f t="shared" si="0"/>
        <v>27.4</v>
      </c>
      <c r="T6" s="42">
        <f t="shared" si="0"/>
        <v>30.7</v>
      </c>
      <c r="U6" s="42">
        <f t="shared" si="0"/>
        <v>34.9</v>
      </c>
      <c r="V6" s="42">
        <f t="shared" si="0"/>
        <v>42.099999999999994</v>
      </c>
      <c r="W6" s="42">
        <f t="shared" si="0"/>
        <v>40.299999999999997</v>
      </c>
      <c r="X6" s="42">
        <f t="shared" si="0"/>
        <v>40.299999999999997</v>
      </c>
      <c r="Y6" s="42">
        <f t="shared" si="0"/>
        <v>67.599999999999994</v>
      </c>
      <c r="Z6" s="42">
        <f t="shared" si="0"/>
        <v>83.4</v>
      </c>
      <c r="AA6" s="42">
        <v>81.400000000000006</v>
      </c>
      <c r="AB6" s="42">
        <v>101.9</v>
      </c>
      <c r="AC6" s="42">
        <v>125.6</v>
      </c>
      <c r="AD6" s="42">
        <v>147.10000000000002</v>
      </c>
      <c r="AE6" s="42">
        <f t="shared" ref="AE6" si="1">SUM(AE7:AE8)</f>
        <v>152.19999999999999</v>
      </c>
      <c r="AF6" s="42">
        <f t="shared" ref="AF6:AG6" si="2">SUM(AF7:AF8)</f>
        <v>174.7</v>
      </c>
      <c r="AG6" s="42">
        <f t="shared" si="2"/>
        <v>195.39999999999998</v>
      </c>
      <c r="AI6" s="42">
        <f t="shared" ref="AI6:AO6" si="3">SUM(AI7:AI8)</f>
        <v>5</v>
      </c>
      <c r="AJ6" s="42">
        <f t="shared" si="3"/>
        <v>14</v>
      </c>
      <c r="AK6" s="42">
        <f t="shared" si="3"/>
        <v>38.4</v>
      </c>
      <c r="AL6" s="42">
        <f t="shared" si="3"/>
        <v>76.199999999999989</v>
      </c>
      <c r="AM6" s="42">
        <f t="shared" si="3"/>
        <v>135.1</v>
      </c>
      <c r="AN6" s="42">
        <f t="shared" si="3"/>
        <v>231.6</v>
      </c>
      <c r="AO6" s="42">
        <f t="shared" si="3"/>
        <v>456</v>
      </c>
    </row>
    <row r="7" spans="2:41" ht="14.25" hidden="1" customHeight="1" outlineLevel="1" x14ac:dyDescent="0.35">
      <c r="B7" s="9" t="s">
        <v>176</v>
      </c>
      <c r="C7" s="4">
        <v>0.8</v>
      </c>
      <c r="D7" s="4">
        <v>1.1000000000000001</v>
      </c>
      <c r="E7" s="4">
        <v>1.4</v>
      </c>
      <c r="F7" s="4">
        <v>1.7</v>
      </c>
      <c r="G7" s="4">
        <v>2.5</v>
      </c>
      <c r="H7" s="4">
        <v>3</v>
      </c>
      <c r="I7" s="4">
        <v>3.7</v>
      </c>
      <c r="J7" s="4">
        <v>4.8</v>
      </c>
      <c r="K7" s="4">
        <v>6</v>
      </c>
      <c r="L7" s="4">
        <v>8.1</v>
      </c>
      <c r="M7" s="4">
        <v>10.7</v>
      </c>
      <c r="N7" s="4">
        <v>13.6</v>
      </c>
      <c r="O7" s="4">
        <v>14.4</v>
      </c>
      <c r="P7" s="4">
        <v>16.899999999999999</v>
      </c>
      <c r="Q7" s="4">
        <v>20.3</v>
      </c>
      <c r="R7" s="4">
        <v>24.6</v>
      </c>
      <c r="S7" s="4">
        <v>24.4</v>
      </c>
      <c r="T7" s="4">
        <v>26.8</v>
      </c>
      <c r="U7" s="4">
        <v>29.4</v>
      </c>
      <c r="V7" s="4">
        <v>34.299999999999997</v>
      </c>
      <c r="W7" s="4">
        <v>31.7</v>
      </c>
      <c r="X7" s="4">
        <v>29.8</v>
      </c>
      <c r="Y7" s="4">
        <v>44.8</v>
      </c>
      <c r="Z7" s="4">
        <v>55.3</v>
      </c>
      <c r="AA7" s="4">
        <v>50</v>
      </c>
      <c r="AB7" s="4">
        <v>56.3</v>
      </c>
      <c r="AC7" s="4">
        <v>66.8</v>
      </c>
      <c r="AD7" s="4">
        <v>78.900000000000006</v>
      </c>
      <c r="AE7" s="4">
        <v>80.099999999999994</v>
      </c>
      <c r="AF7" s="4">
        <v>89.2</v>
      </c>
      <c r="AG7" s="4">
        <v>90.3</v>
      </c>
      <c r="AI7" s="4">
        <f t="shared" ref="AI7" si="4">SUM(C7:F7)</f>
        <v>5</v>
      </c>
      <c r="AJ7" s="4">
        <f t="shared" ref="AJ7" si="5">SUM(G7:J7)</f>
        <v>14</v>
      </c>
      <c r="AK7" s="4">
        <f t="shared" ref="AK7" si="6">SUM(K7:N7)</f>
        <v>38.4</v>
      </c>
      <c r="AL7" s="4">
        <f t="shared" ref="AL7" si="7">SUM(O7:R7)</f>
        <v>76.199999999999989</v>
      </c>
      <c r="AM7" s="4">
        <f t="shared" ref="AM7:AM8" si="8">SUM(S7:V7)</f>
        <v>114.89999999999999</v>
      </c>
      <c r="AN7" s="4">
        <f t="shared" ref="AN7:AN8" si="9">SUM(W7:Z7)</f>
        <v>161.6</v>
      </c>
      <c r="AO7" s="4">
        <f t="shared" ref="AO7:AO8" si="10">SUM(AA7:AD7)</f>
        <v>252</v>
      </c>
    </row>
    <row r="8" spans="2:41" ht="14.25" hidden="1" customHeight="1" outlineLevel="1" x14ac:dyDescent="0.35">
      <c r="B8" s="51" t="s">
        <v>177</v>
      </c>
      <c r="C8" s="77" t="s">
        <v>186</v>
      </c>
      <c r="D8" s="77" t="s">
        <v>186</v>
      </c>
      <c r="E8" s="77" t="s">
        <v>186</v>
      </c>
      <c r="F8" s="77" t="s">
        <v>186</v>
      </c>
      <c r="G8" s="77" t="s">
        <v>186</v>
      </c>
      <c r="H8" s="77" t="s">
        <v>186</v>
      </c>
      <c r="I8" s="77" t="s">
        <v>186</v>
      </c>
      <c r="J8" s="77" t="s">
        <v>186</v>
      </c>
      <c r="K8" s="77" t="s">
        <v>186</v>
      </c>
      <c r="L8" s="77" t="s">
        <v>186</v>
      </c>
      <c r="M8" s="77" t="s">
        <v>186</v>
      </c>
      <c r="N8" s="77" t="s">
        <v>186</v>
      </c>
      <c r="O8" s="77" t="s">
        <v>186</v>
      </c>
      <c r="P8" s="77" t="s">
        <v>186</v>
      </c>
      <c r="Q8" s="77" t="s">
        <v>186</v>
      </c>
      <c r="R8" s="77" t="s">
        <v>186</v>
      </c>
      <c r="S8" s="52">
        <v>3</v>
      </c>
      <c r="T8" s="52">
        <v>3.9</v>
      </c>
      <c r="U8" s="52">
        <v>5.5</v>
      </c>
      <c r="V8" s="52">
        <v>7.8</v>
      </c>
      <c r="W8" s="52">
        <v>8.6</v>
      </c>
      <c r="X8" s="52">
        <v>10.5</v>
      </c>
      <c r="Y8" s="52">
        <v>22.8</v>
      </c>
      <c r="Z8" s="52">
        <v>28.1</v>
      </c>
      <c r="AA8" s="52">
        <v>31.4</v>
      </c>
      <c r="AB8" s="52">
        <v>45.6</v>
      </c>
      <c r="AC8" s="52">
        <v>58.8</v>
      </c>
      <c r="AD8" s="52">
        <v>68.2</v>
      </c>
      <c r="AE8" s="52">
        <v>72.099999999999994</v>
      </c>
      <c r="AF8" s="52">
        <v>85.5</v>
      </c>
      <c r="AG8" s="52">
        <v>105.1</v>
      </c>
      <c r="AI8" s="52" t="s">
        <v>186</v>
      </c>
      <c r="AJ8" s="52" t="s">
        <v>186</v>
      </c>
      <c r="AK8" s="52" t="s">
        <v>186</v>
      </c>
      <c r="AL8" s="52" t="s">
        <v>186</v>
      </c>
      <c r="AM8" s="52">
        <f t="shared" si="8"/>
        <v>20.2</v>
      </c>
      <c r="AN8" s="52">
        <f t="shared" si="9"/>
        <v>70</v>
      </c>
      <c r="AO8" s="52">
        <f t="shared" si="10"/>
        <v>204</v>
      </c>
    </row>
    <row r="9" spans="2:41" ht="14.25" customHeight="1" collapsed="1" x14ac:dyDescent="0.35">
      <c r="B9" s="9"/>
      <c r="C9" s="9"/>
      <c r="D9" s="9"/>
      <c r="E9" s="9"/>
      <c r="F9" s="9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67"/>
      <c r="AI9" s="4"/>
      <c r="AJ9" s="4"/>
      <c r="AK9" s="4"/>
      <c r="AL9" s="4"/>
      <c r="AM9" s="4"/>
      <c r="AN9" s="4"/>
      <c r="AO9" s="4"/>
    </row>
    <row r="10" spans="2:41" ht="14.25" customHeight="1" x14ac:dyDescent="0.35">
      <c r="B10" s="27" t="s">
        <v>190</v>
      </c>
      <c r="C10" s="26" t="s">
        <v>21</v>
      </c>
      <c r="D10" s="26" t="s">
        <v>20</v>
      </c>
      <c r="E10" s="26" t="s">
        <v>19</v>
      </c>
      <c r="F10" s="26" t="s">
        <v>18</v>
      </c>
      <c r="G10" s="26" t="s">
        <v>17</v>
      </c>
      <c r="H10" s="26" t="s">
        <v>16</v>
      </c>
      <c r="I10" s="26" t="s">
        <v>15</v>
      </c>
      <c r="J10" s="26" t="s">
        <v>14</v>
      </c>
      <c r="K10" s="26" t="s">
        <v>13</v>
      </c>
      <c r="L10" s="26" t="s">
        <v>12</v>
      </c>
      <c r="M10" s="26" t="s">
        <v>11</v>
      </c>
      <c r="N10" s="26" t="s">
        <v>10</v>
      </c>
      <c r="O10" s="26" t="s">
        <v>9</v>
      </c>
      <c r="P10" s="26" t="s">
        <v>8</v>
      </c>
      <c r="Q10" s="26" t="s">
        <v>7</v>
      </c>
      <c r="R10" s="26" t="s">
        <v>6</v>
      </c>
      <c r="S10" s="26" t="s">
        <v>5</v>
      </c>
      <c r="T10" s="26" t="s">
        <v>4</v>
      </c>
      <c r="U10" s="26" t="s">
        <v>101</v>
      </c>
      <c r="V10" s="26" t="s">
        <v>102</v>
      </c>
      <c r="W10" s="26" t="s">
        <v>104</v>
      </c>
      <c r="X10" s="26" t="s">
        <v>107</v>
      </c>
      <c r="Y10" s="26" t="s">
        <v>112</v>
      </c>
      <c r="Z10" s="26" t="s">
        <v>122</v>
      </c>
      <c r="AA10" s="26" t="s">
        <v>139</v>
      </c>
      <c r="AB10" s="26" t="s">
        <v>149</v>
      </c>
      <c r="AC10" s="26" t="s">
        <v>154</v>
      </c>
      <c r="AD10" s="26" t="s">
        <v>168</v>
      </c>
      <c r="AE10" s="26" t="s">
        <v>187</v>
      </c>
      <c r="AF10" s="26" t="s">
        <v>206</v>
      </c>
      <c r="AG10" s="26" t="s">
        <v>216</v>
      </c>
      <c r="AI10" s="26">
        <v>2015</v>
      </c>
      <c r="AJ10" s="26">
        <v>2016</v>
      </c>
      <c r="AK10" s="26">
        <v>2017</v>
      </c>
      <c r="AL10" s="26">
        <v>2018</v>
      </c>
      <c r="AM10" s="26">
        <v>2019</v>
      </c>
      <c r="AN10" s="26">
        <v>2020</v>
      </c>
      <c r="AO10" s="26">
        <v>2021</v>
      </c>
    </row>
    <row r="11" spans="2:41" ht="14.25" customHeight="1" x14ac:dyDescent="0.35">
      <c r="B11" s="41" t="s">
        <v>209</v>
      </c>
      <c r="C11" s="76"/>
      <c r="D11" s="76"/>
      <c r="E11" s="76"/>
      <c r="F11" s="76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>
        <v>12.986222</v>
      </c>
      <c r="AA11" s="75">
        <v>14.8</v>
      </c>
      <c r="AB11" s="75">
        <v>17.600000000000001</v>
      </c>
      <c r="AC11" s="75">
        <v>19.600000000000001</v>
      </c>
      <c r="AD11" s="75">
        <v>21.9</v>
      </c>
      <c r="AE11" s="75">
        <v>23.2</v>
      </c>
      <c r="AF11" s="75">
        <v>24.8</v>
      </c>
      <c r="AG11" s="75">
        <v>25.9</v>
      </c>
      <c r="AI11" s="75">
        <f>F11</f>
        <v>0</v>
      </c>
      <c r="AJ11" s="75">
        <f>J11</f>
        <v>0</v>
      </c>
      <c r="AK11" s="75">
        <f>N11</f>
        <v>0</v>
      </c>
      <c r="AL11" s="75">
        <f>R11</f>
        <v>0</v>
      </c>
      <c r="AM11" s="75">
        <f>V11</f>
        <v>0</v>
      </c>
      <c r="AN11" s="75">
        <f>Z11</f>
        <v>12.986222</v>
      </c>
      <c r="AO11" s="75">
        <f>AD11</f>
        <v>21.9</v>
      </c>
    </row>
    <row r="12" spans="2:41" ht="14.25" customHeight="1" x14ac:dyDescent="0.35">
      <c r="B12" s="32" t="s">
        <v>210</v>
      </c>
      <c r="C12" s="2">
        <f t="shared" ref="C12:G12" si="11">SUM(C13:C14)</f>
        <v>0</v>
      </c>
      <c r="D12" s="2">
        <f t="shared" si="11"/>
        <v>0</v>
      </c>
      <c r="E12" s="2">
        <f t="shared" si="11"/>
        <v>0</v>
      </c>
      <c r="F12" s="2">
        <f t="shared" si="11"/>
        <v>0</v>
      </c>
      <c r="G12" s="2">
        <f t="shared" si="11"/>
        <v>0</v>
      </c>
      <c r="H12" s="2">
        <f t="shared" ref="H12" si="12">SUM(H13:H14)</f>
        <v>0</v>
      </c>
      <c r="I12" s="2">
        <f t="shared" ref="I12" si="13">SUM(I13:I14)</f>
        <v>0</v>
      </c>
      <c r="J12" s="2">
        <f t="shared" ref="J12" si="14">SUM(J13:J14)</f>
        <v>0</v>
      </c>
      <c r="K12" s="2">
        <f t="shared" ref="K12" si="15">SUM(K13:K14)</f>
        <v>0</v>
      </c>
      <c r="L12" s="2">
        <f t="shared" ref="L12" si="16">SUM(L13:L14)</f>
        <v>0</v>
      </c>
      <c r="M12" s="2">
        <f t="shared" ref="M12" si="17">SUM(M13:M14)</f>
        <v>0</v>
      </c>
      <c r="N12" s="2">
        <f t="shared" ref="N12" si="18">SUM(N13:N14)</f>
        <v>0</v>
      </c>
      <c r="O12" s="2">
        <f t="shared" ref="O12" si="19">SUM(O13:O14)</f>
        <v>0</v>
      </c>
      <c r="P12" s="2">
        <f t="shared" ref="P12" si="20">SUM(P13:P14)</f>
        <v>0</v>
      </c>
      <c r="Q12" s="2">
        <f t="shared" ref="Q12" si="21">SUM(Q13:Q14)</f>
        <v>0</v>
      </c>
      <c r="R12" s="2">
        <f t="shared" ref="R12" si="22">SUM(R13:R14)</f>
        <v>0</v>
      </c>
      <c r="S12" s="2">
        <f t="shared" ref="S12" si="23">SUM(S13:S14)</f>
        <v>1.2000000000000002</v>
      </c>
      <c r="T12" s="2">
        <f t="shared" ref="T12" si="24">SUM(T13:T14)</f>
        <v>1.4000000000000001</v>
      </c>
      <c r="U12" s="2">
        <f t="shared" ref="U12" si="25">SUM(U13:U14)</f>
        <v>1.8</v>
      </c>
      <c r="V12" s="2">
        <f t="shared" ref="V12" si="26">SUM(V13:V14)</f>
        <v>2.8</v>
      </c>
      <c r="W12" s="2">
        <f t="shared" ref="W12" si="27">SUM(W13:W14)</f>
        <v>3.8000000000000003</v>
      </c>
      <c r="X12" s="2">
        <f t="shared" ref="X12" si="28">SUM(X13:X14)</f>
        <v>4.9000000000000004</v>
      </c>
      <c r="Y12" s="2">
        <f t="shared" ref="Y12" si="29">SUM(Y13:Y14)</f>
        <v>6.7</v>
      </c>
      <c r="Z12" s="2">
        <f t="shared" ref="Z12" si="30">SUM(Z13:Z14)</f>
        <v>7.8</v>
      </c>
      <c r="AA12" s="2">
        <f t="shared" ref="AA12" si="31">SUM(AA13:AA14)</f>
        <v>9.1999999999999993</v>
      </c>
      <c r="AB12" s="2">
        <f t="shared" ref="AB12" si="32">SUM(AB13:AB14)</f>
        <v>11.3</v>
      </c>
      <c r="AC12" s="2">
        <f t="shared" ref="AC12" si="33">SUM(AC13:AC14)</f>
        <v>12.2</v>
      </c>
      <c r="AD12" s="2">
        <f t="shared" ref="AD12" si="34">SUM(AD13:AD14)</f>
        <v>13.1</v>
      </c>
      <c r="AE12" s="2">
        <f t="shared" ref="AE12" si="35">SUM(AE13:AE14)</f>
        <v>14.3</v>
      </c>
      <c r="AF12" s="2">
        <f t="shared" ref="AF12" si="36">SUM(AF13:AF14)</f>
        <v>15.1</v>
      </c>
      <c r="AG12" s="2">
        <f t="shared" ref="AG12" si="37">SUM(AG13:AG14)</f>
        <v>15.799999999999999</v>
      </c>
      <c r="AI12" s="2" t="s">
        <v>186</v>
      </c>
      <c r="AJ12" s="2" t="s">
        <v>186</v>
      </c>
      <c r="AK12" s="2" t="s">
        <v>186</v>
      </c>
      <c r="AL12" s="2" t="s">
        <v>186</v>
      </c>
      <c r="AM12" s="2">
        <f t="shared" ref="AM12:AO12" si="38">SUM(AM13:AM14)</f>
        <v>2.8</v>
      </c>
      <c r="AN12" s="2">
        <f t="shared" si="38"/>
        <v>7.8</v>
      </c>
      <c r="AO12" s="2">
        <f t="shared" si="38"/>
        <v>13.1</v>
      </c>
    </row>
    <row r="13" spans="2:41" ht="14.25" hidden="1" customHeight="1" outlineLevel="1" x14ac:dyDescent="0.35">
      <c r="B13" s="9" t="s">
        <v>144</v>
      </c>
      <c r="C13" s="78" t="s">
        <v>186</v>
      </c>
      <c r="D13" s="78" t="s">
        <v>186</v>
      </c>
      <c r="E13" s="78" t="s">
        <v>186</v>
      </c>
      <c r="F13" s="78" t="s">
        <v>186</v>
      </c>
      <c r="G13" s="4" t="s">
        <v>186</v>
      </c>
      <c r="H13" s="4" t="s">
        <v>186</v>
      </c>
      <c r="I13" s="4" t="s">
        <v>186</v>
      </c>
      <c r="J13" s="4" t="s">
        <v>186</v>
      </c>
      <c r="K13" s="4" t="s">
        <v>186</v>
      </c>
      <c r="L13" s="4" t="s">
        <v>186</v>
      </c>
      <c r="M13" s="4" t="s">
        <v>186</v>
      </c>
      <c r="N13" s="4" t="s">
        <v>186</v>
      </c>
      <c r="O13" s="4" t="s">
        <v>186</v>
      </c>
      <c r="P13" s="4" t="s">
        <v>186</v>
      </c>
      <c r="Q13" s="4" t="s">
        <v>186</v>
      </c>
      <c r="R13" s="4" t="s">
        <v>186</v>
      </c>
      <c r="S13" s="4">
        <v>1.1000000000000001</v>
      </c>
      <c r="T13" s="4">
        <v>1.3</v>
      </c>
      <c r="U13" s="4">
        <v>1.6</v>
      </c>
      <c r="V13" s="4">
        <v>2.4</v>
      </c>
      <c r="W13" s="4">
        <v>3.2</v>
      </c>
      <c r="X13" s="4">
        <v>3.7</v>
      </c>
      <c r="Y13" s="4">
        <v>4.5</v>
      </c>
      <c r="Z13" s="4">
        <v>5.0999999999999996</v>
      </c>
      <c r="AA13" s="4">
        <v>5.7</v>
      </c>
      <c r="AB13" s="4">
        <v>6.2</v>
      </c>
      <c r="AC13" s="4">
        <v>6.4</v>
      </c>
      <c r="AD13" s="4">
        <v>6.6</v>
      </c>
      <c r="AE13" s="4">
        <v>6.7</v>
      </c>
      <c r="AF13" s="4">
        <v>6.6</v>
      </c>
      <c r="AG13" s="4">
        <v>6.6999999999999993</v>
      </c>
      <c r="AI13" s="4" t="str">
        <f>F13</f>
        <v>-</v>
      </c>
      <c r="AJ13" s="4" t="str">
        <f>J13</f>
        <v>-</v>
      </c>
      <c r="AK13" s="4" t="str">
        <f>N13</f>
        <v>-</v>
      </c>
      <c r="AL13" s="4" t="str">
        <f>R13</f>
        <v>-</v>
      </c>
      <c r="AM13" s="4">
        <f>V13</f>
        <v>2.4</v>
      </c>
      <c r="AN13" s="4">
        <f>Z13</f>
        <v>5.0999999999999996</v>
      </c>
      <c r="AO13" s="4">
        <f>AD13</f>
        <v>6.6</v>
      </c>
    </row>
    <row r="14" spans="2:41" ht="14.25" hidden="1" customHeight="1" outlineLevel="1" x14ac:dyDescent="0.35">
      <c r="B14" s="9" t="s">
        <v>145</v>
      </c>
      <c r="C14" s="78" t="s">
        <v>186</v>
      </c>
      <c r="D14" s="78" t="s">
        <v>186</v>
      </c>
      <c r="E14" s="78" t="s">
        <v>186</v>
      </c>
      <c r="F14" s="78" t="s">
        <v>186</v>
      </c>
      <c r="G14" s="4" t="s">
        <v>186</v>
      </c>
      <c r="H14" s="4" t="s">
        <v>186</v>
      </c>
      <c r="I14" s="4" t="s">
        <v>186</v>
      </c>
      <c r="J14" s="4" t="s">
        <v>186</v>
      </c>
      <c r="K14" s="4" t="s">
        <v>186</v>
      </c>
      <c r="L14" s="4" t="s">
        <v>186</v>
      </c>
      <c r="M14" s="4" t="s">
        <v>186</v>
      </c>
      <c r="N14" s="4" t="s">
        <v>186</v>
      </c>
      <c r="O14" s="4" t="s">
        <v>186</v>
      </c>
      <c r="P14" s="4" t="s">
        <v>186</v>
      </c>
      <c r="Q14" s="4" t="s">
        <v>186</v>
      </c>
      <c r="R14" s="4" t="s">
        <v>186</v>
      </c>
      <c r="S14" s="4">
        <v>0.1</v>
      </c>
      <c r="T14" s="4">
        <v>0.1</v>
      </c>
      <c r="U14" s="4">
        <v>0.2</v>
      </c>
      <c r="V14" s="4">
        <v>0.4</v>
      </c>
      <c r="W14" s="4">
        <v>0.6</v>
      </c>
      <c r="X14" s="4">
        <v>1.2</v>
      </c>
      <c r="Y14" s="4">
        <v>2.2000000000000002</v>
      </c>
      <c r="Z14" s="4">
        <v>2.7</v>
      </c>
      <c r="AA14" s="4">
        <v>3.5</v>
      </c>
      <c r="AB14" s="4">
        <v>5.0999999999999996</v>
      </c>
      <c r="AC14" s="4">
        <v>5.8</v>
      </c>
      <c r="AD14" s="4">
        <v>6.5</v>
      </c>
      <c r="AE14" s="4">
        <v>7.6</v>
      </c>
      <c r="AF14" s="4">
        <v>8.5</v>
      </c>
      <c r="AG14" s="4">
        <v>9.1</v>
      </c>
      <c r="AH14" s="5"/>
      <c r="AI14" s="4" t="str">
        <f>F14</f>
        <v>-</v>
      </c>
      <c r="AJ14" s="4" t="str">
        <f>J14</f>
        <v>-</v>
      </c>
      <c r="AK14" s="4" t="str">
        <f>N14</f>
        <v>-</v>
      </c>
      <c r="AL14" s="4" t="str">
        <f>R14</f>
        <v>-</v>
      </c>
      <c r="AM14" s="4">
        <f>V14</f>
        <v>0.4</v>
      </c>
      <c r="AN14" s="4">
        <f>Z14</f>
        <v>2.7</v>
      </c>
      <c r="AO14" s="4">
        <f>AD14</f>
        <v>6.5</v>
      </c>
    </row>
    <row r="15" spans="2:41" ht="14.25" customHeight="1" collapsed="1" x14ac:dyDescent="0.35">
      <c r="B15" s="89" t="s">
        <v>165</v>
      </c>
      <c r="C15" s="90" t="s">
        <v>186</v>
      </c>
      <c r="D15" s="90" t="s">
        <v>186</v>
      </c>
      <c r="E15" s="90" t="s">
        <v>186</v>
      </c>
      <c r="F15" s="90" t="s">
        <v>186</v>
      </c>
      <c r="G15" s="15">
        <v>1</v>
      </c>
      <c r="H15" s="15">
        <v>1.1000000000000001</v>
      </c>
      <c r="I15" s="15">
        <v>1.2</v>
      </c>
      <c r="J15" s="15">
        <v>1.4</v>
      </c>
      <c r="K15" s="15">
        <v>1.7</v>
      </c>
      <c r="L15" s="15">
        <v>2.1</v>
      </c>
      <c r="M15" s="15">
        <v>2.5</v>
      </c>
      <c r="N15" s="15">
        <v>2.8</v>
      </c>
      <c r="O15" s="15">
        <v>3.1</v>
      </c>
      <c r="P15" s="15">
        <v>3.5</v>
      </c>
      <c r="Q15" s="15">
        <v>3.8</v>
      </c>
      <c r="R15" s="15">
        <v>4.0999999999999996</v>
      </c>
      <c r="S15" s="15">
        <v>4.4000000000000004</v>
      </c>
      <c r="T15" s="15">
        <v>4.7</v>
      </c>
      <c r="U15" s="15">
        <v>5</v>
      </c>
      <c r="V15" s="15">
        <v>5.3</v>
      </c>
      <c r="W15" s="15">
        <v>5.5</v>
      </c>
      <c r="X15" s="15">
        <v>5.8</v>
      </c>
      <c r="Y15" s="15">
        <v>6.3</v>
      </c>
      <c r="Z15" s="15">
        <v>7</v>
      </c>
      <c r="AA15" s="15">
        <v>7.3</v>
      </c>
      <c r="AB15" s="15">
        <v>7.6</v>
      </c>
      <c r="AC15" s="15">
        <v>7.7</v>
      </c>
      <c r="AD15" s="15">
        <v>7.7</v>
      </c>
      <c r="AE15" s="15">
        <v>7.7</v>
      </c>
      <c r="AF15" s="15">
        <v>7.5</v>
      </c>
      <c r="AG15" s="15">
        <v>7.3</v>
      </c>
      <c r="AI15" s="15" t="str">
        <f>F15</f>
        <v>-</v>
      </c>
      <c r="AJ15" s="15">
        <f>J15</f>
        <v>1.4</v>
      </c>
      <c r="AK15" s="15">
        <f>N15</f>
        <v>2.8</v>
      </c>
      <c r="AL15" s="15">
        <f>R15</f>
        <v>4.0999999999999996</v>
      </c>
      <c r="AM15" s="15">
        <f>V15</f>
        <v>5.3</v>
      </c>
      <c r="AN15" s="15">
        <f>Z15</f>
        <v>7</v>
      </c>
      <c r="AO15" s="15">
        <f>AD15</f>
        <v>7.7</v>
      </c>
    </row>
    <row r="16" spans="2:41" ht="14.25" customHeight="1" x14ac:dyDescent="0.35"/>
    <row r="17" spans="1:41" ht="14.25" customHeight="1" x14ac:dyDescent="0.35">
      <c r="B17" s="27" t="s">
        <v>189</v>
      </c>
      <c r="C17" s="26" t="s">
        <v>21</v>
      </c>
      <c r="D17" s="26" t="s">
        <v>20</v>
      </c>
      <c r="E17" s="26" t="s">
        <v>19</v>
      </c>
      <c r="F17" s="26" t="s">
        <v>18</v>
      </c>
      <c r="G17" s="26" t="s">
        <v>17</v>
      </c>
      <c r="H17" s="26" t="s">
        <v>16</v>
      </c>
      <c r="I17" s="26" t="s">
        <v>15</v>
      </c>
      <c r="J17" s="26" t="s">
        <v>14</v>
      </c>
      <c r="K17" s="26" t="s">
        <v>13</v>
      </c>
      <c r="L17" s="26" t="s">
        <v>12</v>
      </c>
      <c r="M17" s="26" t="s">
        <v>11</v>
      </c>
      <c r="N17" s="26" t="s">
        <v>10</v>
      </c>
      <c r="O17" s="26" t="s">
        <v>9</v>
      </c>
      <c r="P17" s="26" t="s">
        <v>8</v>
      </c>
      <c r="Q17" s="26" t="s">
        <v>7</v>
      </c>
      <c r="R17" s="26" t="s">
        <v>6</v>
      </c>
      <c r="S17" s="26" t="s">
        <v>5</v>
      </c>
      <c r="T17" s="26" t="s">
        <v>4</v>
      </c>
      <c r="U17" s="26" t="s">
        <v>101</v>
      </c>
      <c r="V17" s="26" t="s">
        <v>102</v>
      </c>
      <c r="W17" s="26" t="s">
        <v>104</v>
      </c>
      <c r="X17" s="26" t="s">
        <v>107</v>
      </c>
      <c r="Y17" s="26" t="s">
        <v>112</v>
      </c>
      <c r="Z17" s="26" t="s">
        <v>122</v>
      </c>
      <c r="AA17" s="26" t="s">
        <v>139</v>
      </c>
      <c r="AB17" s="26" t="s">
        <v>149</v>
      </c>
      <c r="AC17" s="26" t="s">
        <v>154</v>
      </c>
      <c r="AD17" s="26" t="s">
        <v>168</v>
      </c>
      <c r="AE17" s="26" t="s">
        <v>187</v>
      </c>
      <c r="AF17" s="26" t="s">
        <v>206</v>
      </c>
      <c r="AG17" s="26" t="s">
        <v>216</v>
      </c>
      <c r="AH17" s="79"/>
      <c r="AI17" s="26">
        <v>2015</v>
      </c>
      <c r="AJ17" s="26">
        <v>2016</v>
      </c>
      <c r="AK17" s="26">
        <v>2017</v>
      </c>
      <c r="AL17" s="26">
        <v>2018</v>
      </c>
      <c r="AM17" s="26">
        <v>2019</v>
      </c>
      <c r="AN17" s="26">
        <v>2020</v>
      </c>
      <c r="AO17" s="26">
        <v>2021</v>
      </c>
    </row>
    <row r="18" spans="1:41" ht="14.25" customHeight="1" x14ac:dyDescent="0.35">
      <c r="B18" s="41" t="s">
        <v>192</v>
      </c>
      <c r="C18" s="42">
        <f t="shared" ref="C18:R18" si="39">SUM(C19:C20)</f>
        <v>0</v>
      </c>
      <c r="D18" s="42">
        <f t="shared" si="39"/>
        <v>0</v>
      </c>
      <c r="E18" s="42">
        <f t="shared" si="39"/>
        <v>0</v>
      </c>
      <c r="F18" s="42">
        <f t="shared" si="39"/>
        <v>0</v>
      </c>
      <c r="G18" s="42">
        <f t="shared" si="39"/>
        <v>0</v>
      </c>
      <c r="H18" s="42">
        <f t="shared" si="39"/>
        <v>0</v>
      </c>
      <c r="I18" s="42">
        <f t="shared" si="39"/>
        <v>0</v>
      </c>
      <c r="J18" s="42">
        <f t="shared" si="39"/>
        <v>0</v>
      </c>
      <c r="K18" s="42">
        <f t="shared" si="39"/>
        <v>0</v>
      </c>
      <c r="L18" s="42">
        <f t="shared" si="39"/>
        <v>0</v>
      </c>
      <c r="M18" s="42">
        <f t="shared" si="39"/>
        <v>0</v>
      </c>
      <c r="N18" s="42">
        <f t="shared" si="39"/>
        <v>0</v>
      </c>
      <c r="O18" s="42">
        <f t="shared" si="39"/>
        <v>0</v>
      </c>
      <c r="P18" s="42">
        <f t="shared" si="39"/>
        <v>0</v>
      </c>
      <c r="Q18" s="42">
        <f t="shared" si="39"/>
        <v>0</v>
      </c>
      <c r="R18" s="42">
        <f t="shared" si="39"/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5.0728556552599997</v>
      </c>
      <c r="AA18" s="42">
        <v>4.9804644536900007</v>
      </c>
      <c r="AB18" s="42">
        <v>5.8913383797300005</v>
      </c>
      <c r="AC18" s="42">
        <v>7.1634346129899997</v>
      </c>
      <c r="AD18" s="42">
        <v>8.8350086231299993</v>
      </c>
      <c r="AE18" s="42">
        <f t="shared" ref="AE18" si="40">SUM(AE19:AE20)</f>
        <v>11.182577102340002</v>
      </c>
      <c r="AF18" s="42">
        <f t="shared" ref="AF18:AG18" si="41">SUM(AF19:AF20)</f>
        <v>15.492738614380002</v>
      </c>
      <c r="AG18" s="42">
        <f t="shared" si="41"/>
        <v>19.401679182679999</v>
      </c>
      <c r="AH18" s="79"/>
      <c r="AI18" s="42">
        <f t="shared" ref="AI18:AO18" si="42">SUM(AI19:AI20)</f>
        <v>0</v>
      </c>
      <c r="AJ18" s="42">
        <f t="shared" si="42"/>
        <v>0</v>
      </c>
      <c r="AK18" s="42">
        <f t="shared" si="42"/>
        <v>0</v>
      </c>
      <c r="AL18" s="42">
        <f t="shared" si="42"/>
        <v>0</v>
      </c>
      <c r="AM18" s="42">
        <f t="shared" si="42"/>
        <v>0</v>
      </c>
      <c r="AN18" s="42">
        <f t="shared" si="42"/>
        <v>5.0728556552599997</v>
      </c>
      <c r="AO18" s="42">
        <f t="shared" si="42"/>
        <v>8.8350086231299993</v>
      </c>
    </row>
    <row r="19" spans="1:41" s="12" customFormat="1" ht="14.25" hidden="1" customHeight="1" outlineLevel="1" x14ac:dyDescent="0.35">
      <c r="A19" s="22"/>
      <c r="B19" s="9" t="s">
        <v>211</v>
      </c>
      <c r="C19" s="4" t="s">
        <v>186</v>
      </c>
      <c r="D19" s="4" t="s">
        <v>186</v>
      </c>
      <c r="E19" s="4" t="s">
        <v>186</v>
      </c>
      <c r="F19" s="4" t="s">
        <v>186</v>
      </c>
      <c r="G19" s="4" t="s">
        <v>186</v>
      </c>
      <c r="H19" s="4" t="s">
        <v>186</v>
      </c>
      <c r="I19" s="4" t="s">
        <v>186</v>
      </c>
      <c r="J19" s="4" t="s">
        <v>186</v>
      </c>
      <c r="K19" s="4" t="s">
        <v>186</v>
      </c>
      <c r="L19" s="4" t="s">
        <v>186</v>
      </c>
      <c r="M19" s="4" t="s">
        <v>186</v>
      </c>
      <c r="N19" s="4" t="s">
        <v>186</v>
      </c>
      <c r="O19" s="4" t="s">
        <v>186</v>
      </c>
      <c r="P19" s="4" t="s">
        <v>186</v>
      </c>
      <c r="Q19" s="4" t="s">
        <v>186</v>
      </c>
      <c r="R19" s="4" t="s">
        <v>186</v>
      </c>
      <c r="S19" s="4" t="s">
        <v>186</v>
      </c>
      <c r="T19" s="4" t="s">
        <v>186</v>
      </c>
      <c r="U19" s="4" t="s">
        <v>186</v>
      </c>
      <c r="V19" s="4" t="s">
        <v>186</v>
      </c>
      <c r="W19" s="4" t="s">
        <v>186</v>
      </c>
      <c r="X19" s="4" t="s">
        <v>186</v>
      </c>
      <c r="Y19" s="4" t="s">
        <v>186</v>
      </c>
      <c r="Z19" s="4">
        <v>4.3067696552600001</v>
      </c>
      <c r="AA19" s="4">
        <v>3.5364316050200002</v>
      </c>
      <c r="AB19" s="4">
        <v>4.1018175257900005</v>
      </c>
      <c r="AC19" s="4">
        <v>4.4933348318099995</v>
      </c>
      <c r="AD19" s="4">
        <v>5.7010129543399994</v>
      </c>
      <c r="AE19" s="4">
        <v>5.4681977186799999</v>
      </c>
      <c r="AF19" s="4">
        <v>6.0813752777000003</v>
      </c>
      <c r="AG19" s="4">
        <v>6.7335663018399998</v>
      </c>
      <c r="AH19" s="98"/>
      <c r="AI19" s="4"/>
      <c r="AJ19" s="4"/>
      <c r="AK19" s="4"/>
      <c r="AL19" s="4"/>
      <c r="AM19" s="4"/>
      <c r="AN19" s="4">
        <f>Z19</f>
        <v>4.3067696552600001</v>
      </c>
      <c r="AO19" s="4">
        <f>AD19</f>
        <v>5.7010129543399994</v>
      </c>
    </row>
    <row r="20" spans="1:41" ht="14.25" hidden="1" customHeight="1" outlineLevel="1" x14ac:dyDescent="0.35">
      <c r="B20" s="51" t="s">
        <v>212</v>
      </c>
      <c r="C20" s="52" t="s">
        <v>186</v>
      </c>
      <c r="D20" s="52" t="s">
        <v>186</v>
      </c>
      <c r="E20" s="52" t="s">
        <v>186</v>
      </c>
      <c r="F20" s="52" t="s">
        <v>186</v>
      </c>
      <c r="G20" s="52" t="s">
        <v>186</v>
      </c>
      <c r="H20" s="52" t="s">
        <v>186</v>
      </c>
      <c r="I20" s="52" t="s">
        <v>186</v>
      </c>
      <c r="J20" s="52" t="s">
        <v>186</v>
      </c>
      <c r="K20" s="52" t="s">
        <v>186</v>
      </c>
      <c r="L20" s="52" t="s">
        <v>186</v>
      </c>
      <c r="M20" s="52" t="s">
        <v>186</v>
      </c>
      <c r="N20" s="52" t="s">
        <v>186</v>
      </c>
      <c r="O20" s="52" t="s">
        <v>186</v>
      </c>
      <c r="P20" s="52" t="s">
        <v>186</v>
      </c>
      <c r="Q20" s="52" t="s">
        <v>186</v>
      </c>
      <c r="R20" s="52" t="s">
        <v>186</v>
      </c>
      <c r="S20" s="52" t="s">
        <v>186</v>
      </c>
      <c r="T20" s="52" t="s">
        <v>186</v>
      </c>
      <c r="U20" s="52" t="s">
        <v>186</v>
      </c>
      <c r="V20" s="52" t="s">
        <v>186</v>
      </c>
      <c r="W20" s="52" t="s">
        <v>186</v>
      </c>
      <c r="X20" s="52" t="s">
        <v>186</v>
      </c>
      <c r="Y20" s="52" t="s">
        <v>186</v>
      </c>
      <c r="Z20" s="52">
        <v>0.76608600000000004</v>
      </c>
      <c r="AA20" s="52">
        <v>1.44403284867</v>
      </c>
      <c r="AB20" s="52">
        <v>1.78952085394</v>
      </c>
      <c r="AC20" s="52">
        <v>2.6700997811800002</v>
      </c>
      <c r="AD20" s="52">
        <v>3.1339956687899999</v>
      </c>
      <c r="AE20" s="52">
        <v>5.7143793836600008</v>
      </c>
      <c r="AF20" s="52">
        <v>9.4113633366800027</v>
      </c>
      <c r="AG20" s="52">
        <v>12.668112880839999</v>
      </c>
      <c r="AH20" s="79"/>
      <c r="AI20" s="52"/>
      <c r="AJ20" s="52"/>
      <c r="AK20" s="52"/>
      <c r="AL20" s="52"/>
      <c r="AM20" s="52"/>
      <c r="AN20" s="52">
        <f>Z20</f>
        <v>0.76608600000000004</v>
      </c>
      <c r="AO20" s="52">
        <f>AD20</f>
        <v>3.1339956687899999</v>
      </c>
    </row>
    <row r="21" spans="1:41" ht="14.25" customHeight="1" collapsed="1" x14ac:dyDescent="0.35">
      <c r="AF21" s="101"/>
      <c r="AG21" s="101"/>
    </row>
    <row r="22" spans="1:41" ht="14.25" customHeight="1" x14ac:dyDescent="0.35">
      <c r="B22" s="27" t="s">
        <v>189</v>
      </c>
      <c r="C22" s="26" t="s">
        <v>21</v>
      </c>
      <c r="D22" s="26" t="s">
        <v>20</v>
      </c>
      <c r="E22" s="26" t="s">
        <v>19</v>
      </c>
      <c r="F22" s="26" t="s">
        <v>18</v>
      </c>
      <c r="G22" s="26" t="s">
        <v>17</v>
      </c>
      <c r="H22" s="26" t="s">
        <v>16</v>
      </c>
      <c r="I22" s="26" t="s">
        <v>15</v>
      </c>
      <c r="J22" s="26" t="s">
        <v>14</v>
      </c>
      <c r="K22" s="26" t="s">
        <v>13</v>
      </c>
      <c r="L22" s="26" t="s">
        <v>12</v>
      </c>
      <c r="M22" s="26" t="s">
        <v>11</v>
      </c>
      <c r="N22" s="26" t="s">
        <v>10</v>
      </c>
      <c r="O22" s="26" t="s">
        <v>9</v>
      </c>
      <c r="P22" s="26" t="s">
        <v>8</v>
      </c>
      <c r="Q22" s="26" t="s">
        <v>7</v>
      </c>
      <c r="R22" s="26" t="s">
        <v>6</v>
      </c>
      <c r="S22" s="26" t="s">
        <v>5</v>
      </c>
      <c r="T22" s="26" t="s">
        <v>4</v>
      </c>
      <c r="U22" s="26" t="s">
        <v>101</v>
      </c>
      <c r="V22" s="26" t="s">
        <v>102</v>
      </c>
      <c r="W22" s="26" t="s">
        <v>104</v>
      </c>
      <c r="X22" s="26" t="s">
        <v>107</v>
      </c>
      <c r="Y22" s="26" t="s">
        <v>112</v>
      </c>
      <c r="Z22" s="26" t="s">
        <v>122</v>
      </c>
      <c r="AA22" s="26" t="s">
        <v>139</v>
      </c>
      <c r="AB22" s="26" t="s">
        <v>149</v>
      </c>
      <c r="AC22" s="26" t="s">
        <v>154</v>
      </c>
      <c r="AD22" s="26" t="s">
        <v>168</v>
      </c>
      <c r="AE22" s="26" t="s">
        <v>187</v>
      </c>
      <c r="AF22" s="26" t="s">
        <v>206</v>
      </c>
      <c r="AG22" s="26" t="s">
        <v>216</v>
      </c>
      <c r="AH22" s="79"/>
      <c r="AI22" s="26">
        <v>2015</v>
      </c>
      <c r="AJ22" s="26">
        <v>2016</v>
      </c>
      <c r="AK22" s="26">
        <v>2017</v>
      </c>
      <c r="AL22" s="26">
        <v>2018</v>
      </c>
      <c r="AM22" s="26">
        <v>2019</v>
      </c>
      <c r="AN22" s="26">
        <v>2020</v>
      </c>
      <c r="AO22" s="26">
        <v>2021</v>
      </c>
    </row>
    <row r="23" spans="1:41" ht="14.25" customHeight="1" x14ac:dyDescent="0.35">
      <c r="B23" s="41" t="s">
        <v>166</v>
      </c>
      <c r="C23" s="42">
        <f t="shared" ref="C23" si="43">SUM(C24:C26)</f>
        <v>0</v>
      </c>
      <c r="D23" s="42">
        <f t="shared" ref="D23" si="44">SUM(D24:D26)</f>
        <v>0</v>
      </c>
      <c r="E23" s="42">
        <f t="shared" ref="E23" si="45">SUM(E24:E26)</f>
        <v>0</v>
      </c>
      <c r="F23" s="42">
        <f t="shared" ref="F23" si="46">SUM(F24:F26)</f>
        <v>0</v>
      </c>
      <c r="G23" s="42">
        <f t="shared" ref="G23" si="47">SUM(G24:G26)</f>
        <v>0</v>
      </c>
      <c r="H23" s="42">
        <f t="shared" ref="H23" si="48">SUM(H24:H26)</f>
        <v>0</v>
      </c>
      <c r="I23" s="42">
        <f t="shared" ref="I23" si="49">SUM(I24:I26)</f>
        <v>0</v>
      </c>
      <c r="J23" s="42">
        <f t="shared" ref="J23" si="50">SUM(J24:J26)</f>
        <v>0</v>
      </c>
      <c r="K23" s="42">
        <f t="shared" ref="K23" si="51">SUM(K24:K26)</f>
        <v>0</v>
      </c>
      <c r="L23" s="42">
        <f t="shared" ref="L23" si="52">SUM(L24:L26)</f>
        <v>0</v>
      </c>
      <c r="M23" s="42">
        <f t="shared" ref="M23" si="53">SUM(M24:M26)</f>
        <v>0</v>
      </c>
      <c r="N23" s="42">
        <f t="shared" ref="N23" si="54">SUM(N24:N26)</f>
        <v>0</v>
      </c>
      <c r="O23" s="42">
        <f t="shared" ref="O23" si="55">SUM(O24:O26)</f>
        <v>0</v>
      </c>
      <c r="P23" s="42">
        <f t="shared" ref="P23" si="56">SUM(P24:P26)</f>
        <v>0</v>
      </c>
      <c r="Q23" s="42">
        <f t="shared" ref="Q23" si="57">SUM(Q24:Q26)</f>
        <v>0</v>
      </c>
      <c r="R23" s="42">
        <f t="shared" ref="R23" si="58">SUM(R24:R26)</f>
        <v>0</v>
      </c>
      <c r="S23" s="42">
        <f t="shared" ref="S23" si="59">SUM(S24:S26)</f>
        <v>0</v>
      </c>
      <c r="T23" s="42">
        <f t="shared" ref="T23" si="60">SUM(T24:T26)</f>
        <v>0</v>
      </c>
      <c r="U23" s="42">
        <f t="shared" ref="U23" si="61">SUM(U24:U26)</f>
        <v>0</v>
      </c>
      <c r="V23" s="42">
        <f t="shared" ref="V23" si="62">SUM(V24:V26)</f>
        <v>0</v>
      </c>
      <c r="W23" s="42">
        <f t="shared" ref="W23" si="63">SUM(W24:W26)</f>
        <v>0.50404090740000007</v>
      </c>
      <c r="X23" s="42">
        <f t="shared" ref="X23" si="64">SUM(X24:X26)</f>
        <v>0.47923918463999998</v>
      </c>
      <c r="Y23" s="42">
        <f t="shared" ref="Y23" si="65">SUM(Y24:Y26)</f>
        <v>0.48587377291</v>
      </c>
      <c r="Z23" s="42">
        <f t="shared" ref="Z23" si="66">SUM(Z24:Z26)</f>
        <v>0.61164998270999993</v>
      </c>
      <c r="AA23" s="42">
        <v>0.77135686380000001</v>
      </c>
      <c r="AB23" s="42">
        <v>1.1161025651699998</v>
      </c>
      <c r="AC23" s="42">
        <v>1.5531804901499999</v>
      </c>
      <c r="AD23" s="42">
        <v>1.9069698957400001</v>
      </c>
      <c r="AE23" s="42">
        <f t="shared" ref="AE23" si="67">SUM(AE24:AE26)</f>
        <v>2.0547854452799998</v>
      </c>
      <c r="AF23" s="42">
        <f t="shared" ref="AF23:AG23" si="68">SUM(AF24:AF26)</f>
        <v>2.2750159656799998</v>
      </c>
      <c r="AG23" s="42">
        <f t="shared" si="68"/>
        <v>2.6532649304199998</v>
      </c>
      <c r="AH23" s="79"/>
      <c r="AI23" s="42">
        <f t="shared" ref="AI23" si="69">SUM(AI24:AI26)</f>
        <v>0</v>
      </c>
      <c r="AJ23" s="42">
        <f t="shared" ref="AJ23" si="70">SUM(AJ24:AJ26)</f>
        <v>0</v>
      </c>
      <c r="AK23" s="42">
        <f t="shared" ref="AK23" si="71">SUM(AK24:AK26)</f>
        <v>0</v>
      </c>
      <c r="AL23" s="42">
        <f t="shared" ref="AL23" si="72">SUM(AL24:AL26)</f>
        <v>0</v>
      </c>
      <c r="AM23" s="42">
        <f t="shared" ref="AM23" si="73">SUM(AM24:AM26)</f>
        <v>0</v>
      </c>
      <c r="AN23" s="42">
        <f t="shared" ref="AN23" si="74">SUM(AN24:AN26)</f>
        <v>0.61164998270999993</v>
      </c>
      <c r="AO23" s="42">
        <f t="shared" ref="AO23" si="75">SUM(AO24:AO26)</f>
        <v>1.9069698957400001</v>
      </c>
    </row>
    <row r="24" spans="1:41" ht="14.25" hidden="1" customHeight="1" outlineLevel="1" x14ac:dyDescent="0.35">
      <c r="B24" s="9" t="s">
        <v>193</v>
      </c>
      <c r="C24" s="80" t="s">
        <v>186</v>
      </c>
      <c r="D24" s="80" t="s">
        <v>186</v>
      </c>
      <c r="E24" s="80" t="s">
        <v>186</v>
      </c>
      <c r="F24" s="80" t="s">
        <v>186</v>
      </c>
      <c r="G24" s="115" t="s">
        <v>186</v>
      </c>
      <c r="H24" s="115" t="s">
        <v>186</v>
      </c>
      <c r="I24" s="115" t="s">
        <v>186</v>
      </c>
      <c r="J24" s="115" t="s">
        <v>186</v>
      </c>
      <c r="K24" s="115" t="s">
        <v>186</v>
      </c>
      <c r="L24" s="4" t="s">
        <v>186</v>
      </c>
      <c r="M24" s="4" t="s">
        <v>186</v>
      </c>
      <c r="N24" s="4" t="s">
        <v>186</v>
      </c>
      <c r="O24" s="4" t="s">
        <v>186</v>
      </c>
      <c r="P24" s="4" t="s">
        <v>186</v>
      </c>
      <c r="Q24" s="4" t="s">
        <v>186</v>
      </c>
      <c r="R24" s="4" t="s">
        <v>186</v>
      </c>
      <c r="S24" s="4" t="s">
        <v>186</v>
      </c>
      <c r="T24" s="4" t="s">
        <v>186</v>
      </c>
      <c r="U24" s="4" t="s">
        <v>186</v>
      </c>
      <c r="V24" s="4" t="s">
        <v>186</v>
      </c>
      <c r="W24" s="4">
        <v>0.33765230183</v>
      </c>
      <c r="X24" s="4">
        <v>0.29383810225999996</v>
      </c>
      <c r="Y24" s="4">
        <v>0.27699847007</v>
      </c>
      <c r="Z24" s="4">
        <v>0.33084785019999996</v>
      </c>
      <c r="AA24" s="4">
        <v>0.41267778549</v>
      </c>
      <c r="AB24" s="4">
        <v>0.62729188580999995</v>
      </c>
      <c r="AC24" s="4">
        <v>0.88266328397000005</v>
      </c>
      <c r="AD24" s="4">
        <v>1.06967057764</v>
      </c>
      <c r="AE24" s="4">
        <v>1.0087420700399998</v>
      </c>
      <c r="AF24" s="4">
        <v>0.9186036368199999</v>
      </c>
      <c r="AG24" s="4">
        <v>0.81328235338999999</v>
      </c>
      <c r="AH24" s="79"/>
      <c r="AI24" s="4" t="s">
        <v>186</v>
      </c>
      <c r="AJ24" s="4" t="s">
        <v>186</v>
      </c>
      <c r="AK24" s="4" t="s">
        <v>186</v>
      </c>
      <c r="AL24" s="4" t="s">
        <v>186</v>
      </c>
      <c r="AM24" s="4" t="s">
        <v>186</v>
      </c>
      <c r="AN24" s="4">
        <f>Z24</f>
        <v>0.33084785019999996</v>
      </c>
      <c r="AO24" s="4">
        <f>AD24</f>
        <v>1.06967057764</v>
      </c>
    </row>
    <row r="25" spans="1:41" ht="14.25" hidden="1" customHeight="1" outlineLevel="1" x14ac:dyDescent="0.35">
      <c r="B25" s="9" t="s">
        <v>167</v>
      </c>
      <c r="C25" s="80" t="s">
        <v>186</v>
      </c>
      <c r="D25" s="80" t="s">
        <v>186</v>
      </c>
      <c r="E25" s="80" t="s">
        <v>186</v>
      </c>
      <c r="F25" s="80" t="s">
        <v>186</v>
      </c>
      <c r="G25" s="115" t="s">
        <v>186</v>
      </c>
      <c r="H25" s="115" t="s">
        <v>186</v>
      </c>
      <c r="I25" s="115" t="s">
        <v>186</v>
      </c>
      <c r="J25" s="115" t="s">
        <v>186</v>
      </c>
      <c r="K25" s="115" t="s">
        <v>186</v>
      </c>
      <c r="L25" s="4" t="s">
        <v>186</v>
      </c>
      <c r="M25" s="4" t="s">
        <v>186</v>
      </c>
      <c r="N25" s="4" t="s">
        <v>186</v>
      </c>
      <c r="O25" s="4" t="s">
        <v>186</v>
      </c>
      <c r="P25" s="4" t="s">
        <v>186</v>
      </c>
      <c r="Q25" s="4" t="s">
        <v>186</v>
      </c>
      <c r="R25" s="4" t="s">
        <v>186</v>
      </c>
      <c r="S25" s="4" t="s">
        <v>186</v>
      </c>
      <c r="T25" s="4" t="s">
        <v>186</v>
      </c>
      <c r="U25" s="4" t="s">
        <v>186</v>
      </c>
      <c r="V25" s="4" t="s">
        <v>186</v>
      </c>
      <c r="W25" s="4">
        <v>0.15558873563</v>
      </c>
      <c r="X25" s="4">
        <v>0.17093922379000001</v>
      </c>
      <c r="Y25" s="4">
        <v>0.18914503212999997</v>
      </c>
      <c r="Z25" s="4">
        <v>0.25733752817000005</v>
      </c>
      <c r="AA25" s="4">
        <v>0.33388552074</v>
      </c>
      <c r="AB25" s="4">
        <v>0.45888023469</v>
      </c>
      <c r="AC25" s="4">
        <v>0.60408902654999996</v>
      </c>
      <c r="AD25" s="4">
        <v>0.72609477298000002</v>
      </c>
      <c r="AE25" s="4">
        <v>0.85244543726999999</v>
      </c>
      <c r="AF25" s="4">
        <v>0.91904727357000005</v>
      </c>
      <c r="AG25" s="4">
        <v>1.0141261052999999</v>
      </c>
      <c r="AH25" s="79"/>
      <c r="AI25" s="4" t="s">
        <v>186</v>
      </c>
      <c r="AJ25" s="4" t="s">
        <v>186</v>
      </c>
      <c r="AK25" s="4" t="s">
        <v>186</v>
      </c>
      <c r="AL25" s="4" t="s">
        <v>186</v>
      </c>
      <c r="AM25" s="4" t="s">
        <v>186</v>
      </c>
      <c r="AN25" s="4">
        <f>Z25</f>
        <v>0.25733752817000005</v>
      </c>
      <c r="AO25" s="4">
        <f>AD25</f>
        <v>0.72609477298000002</v>
      </c>
    </row>
    <row r="26" spans="1:41" ht="14.25" hidden="1" customHeight="1" outlineLevel="1" x14ac:dyDescent="0.35">
      <c r="B26" s="51" t="s">
        <v>219</v>
      </c>
      <c r="C26" s="77" t="s">
        <v>186</v>
      </c>
      <c r="D26" s="77" t="s">
        <v>186</v>
      </c>
      <c r="E26" s="77" t="s">
        <v>186</v>
      </c>
      <c r="F26" s="77" t="s">
        <v>186</v>
      </c>
      <c r="G26" s="116" t="s">
        <v>186</v>
      </c>
      <c r="H26" s="116" t="s">
        <v>186</v>
      </c>
      <c r="I26" s="116" t="s">
        <v>186</v>
      </c>
      <c r="J26" s="116" t="s">
        <v>186</v>
      </c>
      <c r="K26" s="116" t="s">
        <v>186</v>
      </c>
      <c r="L26" s="52" t="s">
        <v>186</v>
      </c>
      <c r="M26" s="52" t="s">
        <v>186</v>
      </c>
      <c r="N26" s="52" t="s">
        <v>186</v>
      </c>
      <c r="O26" s="52" t="s">
        <v>186</v>
      </c>
      <c r="P26" s="52" t="s">
        <v>186</v>
      </c>
      <c r="Q26" s="52" t="s">
        <v>186</v>
      </c>
      <c r="R26" s="52" t="s">
        <v>186</v>
      </c>
      <c r="S26" s="52" t="s">
        <v>186</v>
      </c>
      <c r="T26" s="52" t="s">
        <v>186</v>
      </c>
      <c r="U26" s="52" t="s">
        <v>186</v>
      </c>
      <c r="V26" s="52" t="s">
        <v>186</v>
      </c>
      <c r="W26" s="52">
        <v>1.079986994E-2</v>
      </c>
      <c r="X26" s="52">
        <v>1.4461858589999998E-2</v>
      </c>
      <c r="Y26" s="52">
        <v>1.9730270710000001E-2</v>
      </c>
      <c r="Z26" s="52">
        <v>2.346460434E-2</v>
      </c>
      <c r="AA26" s="52">
        <v>2.4793557569999999E-2</v>
      </c>
      <c r="AB26" s="52">
        <v>2.993044467E-2</v>
      </c>
      <c r="AC26" s="52">
        <v>6.642817963E-2</v>
      </c>
      <c r="AD26" s="52">
        <v>0.11120454512</v>
      </c>
      <c r="AE26" s="52">
        <v>0.19359793796999999</v>
      </c>
      <c r="AF26" s="52">
        <v>0.43736505529000003</v>
      </c>
      <c r="AG26" s="52">
        <v>0.8258564717300001</v>
      </c>
      <c r="AH26" s="79"/>
      <c r="AI26" s="52" t="s">
        <v>186</v>
      </c>
      <c r="AJ26" s="52" t="s">
        <v>186</v>
      </c>
      <c r="AK26" s="52" t="s">
        <v>186</v>
      </c>
      <c r="AL26" s="52" t="s">
        <v>186</v>
      </c>
      <c r="AM26" s="52" t="s">
        <v>186</v>
      </c>
      <c r="AN26" s="52">
        <f>Z26</f>
        <v>2.346460434E-2</v>
      </c>
      <c r="AO26" s="52">
        <f>AD26</f>
        <v>0.11120454512</v>
      </c>
    </row>
    <row r="27" spans="1:41" ht="14.25" customHeight="1" collapsed="1" x14ac:dyDescent="0.35"/>
    <row r="189" ht="14.15" hidden="1" customHeight="1" x14ac:dyDescent="0.35"/>
  </sheetData>
  <phoneticPr fontId="13" type="noConversion"/>
  <hyperlinks>
    <hyperlink ref="B3" r:id="rId1" xr:uid="{37DC13C7-8530-4259-AFC7-79E40391D675}"/>
  </hyperlinks>
  <pageMargins left="0.511811024" right="0.511811024" top="0.78740157499999996" bottom="0.78740157499999996" header="0.31496062000000002" footer="0.31496062000000002"/>
  <pageSetup paperSize="9" orientation="portrait" r:id="rId2"/>
  <ignoredErrors>
    <ignoredError sqref="AI22:AO22 AM12:AO12 AN24:AO26 AI16:AO16 AI13:AO14" formula="1"/>
    <ignoredError sqref="AN7:AO8 AI7:AM8 W13:Z15 S12:AG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24B1-81F0-4CAE-8814-FC77BDDC83D7}">
  <sheetPr codeName="Planilha2"/>
  <dimension ref="A1:AP38"/>
  <sheetViews>
    <sheetView showGridLines="0" zoomScaleNormal="100" workbookViewId="0">
      <pane xSplit="2" ySplit="5" topLeftCell="AE11" activePane="bottomRight" state="frozen"/>
      <selection activeCell="B6" sqref="B6"/>
      <selection pane="topRight" activeCell="B6" sqref="B6"/>
      <selection pane="bottomLeft" activeCell="B6" sqref="B6"/>
      <selection pane="bottomRight"/>
    </sheetView>
  </sheetViews>
  <sheetFormatPr defaultColWidth="0" defaultRowHeight="14.25" customHeight="1" zeroHeight="1" outlineLevelRow="1" outlineLevelCol="1" x14ac:dyDescent="0.35"/>
  <cols>
    <col min="1" max="1" width="2.54296875" style="1" customWidth="1"/>
    <col min="2" max="2" width="60.54296875" style="1" customWidth="1"/>
    <col min="3" max="22" width="10.54296875" style="1" hidden="1" customWidth="1" outlineLevel="1"/>
    <col min="23" max="23" width="10.54296875" style="1" hidden="1" customWidth="1" outlineLevel="1" collapsed="1"/>
    <col min="24" max="26" width="10.54296875" style="1" hidden="1" customWidth="1" outlineLevel="1"/>
    <col min="27" max="27" width="10.54296875" style="1" customWidth="1" collapsed="1"/>
    <col min="28" max="33" width="10.54296875" style="1" customWidth="1"/>
    <col min="34" max="34" width="2.54296875" style="1" customWidth="1"/>
    <col min="35" max="39" width="10.54296875" style="1" hidden="1" customWidth="1" outlineLevel="1"/>
    <col min="40" max="40" width="10.54296875" style="1" customWidth="1" collapsed="1"/>
    <col min="41" max="41" width="10.54296875" style="1" customWidth="1"/>
    <col min="42" max="42" width="2.54296875" style="1" customWidth="1"/>
    <col min="43" max="16384" width="10.54296875" style="1" hidden="1"/>
  </cols>
  <sheetData>
    <row r="1" spans="1:41" ht="14.25" customHeight="1" x14ac:dyDescent="0.35"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41" ht="14.25" customHeight="1" x14ac:dyDescent="0.35">
      <c r="B2" s="8" t="s">
        <v>37</v>
      </c>
      <c r="C2" s="8"/>
      <c r="D2" s="8"/>
      <c r="E2" s="8"/>
      <c r="F2" s="8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01"/>
    </row>
    <row r="3" spans="1:41" ht="14.25" customHeight="1" x14ac:dyDescent="0.35">
      <c r="B3" s="11" t="s">
        <v>32</v>
      </c>
      <c r="C3" s="11"/>
      <c r="D3" s="11"/>
      <c r="E3" s="11"/>
      <c r="F3" s="11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01"/>
    </row>
    <row r="4" spans="1:41" ht="14.25" customHeight="1" x14ac:dyDescent="0.35"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01"/>
    </row>
    <row r="5" spans="1:41" ht="14.25" customHeight="1" collapsed="1" x14ac:dyDescent="0.35">
      <c r="B5" s="27" t="s">
        <v>22</v>
      </c>
      <c r="C5" s="26" t="s">
        <v>21</v>
      </c>
      <c r="D5" s="26" t="s">
        <v>20</v>
      </c>
      <c r="E5" s="26" t="s">
        <v>19</v>
      </c>
      <c r="F5" s="26" t="s">
        <v>18</v>
      </c>
      <c r="G5" s="26" t="s">
        <v>17</v>
      </c>
      <c r="H5" s="26" t="s">
        <v>16</v>
      </c>
      <c r="I5" s="26" t="s">
        <v>15</v>
      </c>
      <c r="J5" s="26" t="s">
        <v>14</v>
      </c>
      <c r="K5" s="26" t="s">
        <v>13</v>
      </c>
      <c r="L5" s="26" t="s">
        <v>12</v>
      </c>
      <c r="M5" s="26" t="s">
        <v>11</v>
      </c>
      <c r="N5" s="26" t="s">
        <v>10</v>
      </c>
      <c r="O5" s="26" t="s">
        <v>9</v>
      </c>
      <c r="P5" s="26" t="s">
        <v>8</v>
      </c>
      <c r="Q5" s="26" t="s">
        <v>7</v>
      </c>
      <c r="R5" s="26" t="s">
        <v>6</v>
      </c>
      <c r="S5" s="26" t="s">
        <v>5</v>
      </c>
      <c r="T5" s="26" t="s">
        <v>4</v>
      </c>
      <c r="U5" s="26" t="s">
        <v>101</v>
      </c>
      <c r="V5" s="26" t="s">
        <v>102</v>
      </c>
      <c r="W5" s="26" t="s">
        <v>104</v>
      </c>
      <c r="X5" s="26" t="s">
        <v>107</v>
      </c>
      <c r="Y5" s="26" t="s">
        <v>112</v>
      </c>
      <c r="Z5" s="26" t="s">
        <v>122</v>
      </c>
      <c r="AA5" s="26" t="s">
        <v>139</v>
      </c>
      <c r="AB5" s="26" t="s">
        <v>149</v>
      </c>
      <c r="AC5" s="26" t="s">
        <v>154</v>
      </c>
      <c r="AD5" s="26" t="s">
        <v>168</v>
      </c>
      <c r="AE5" s="26" t="s">
        <v>187</v>
      </c>
      <c r="AF5" s="26" t="s">
        <v>206</v>
      </c>
      <c r="AG5" s="102" t="s">
        <v>216</v>
      </c>
      <c r="AI5" s="26">
        <v>2015</v>
      </c>
      <c r="AJ5" s="26">
        <v>2016</v>
      </c>
      <c r="AK5" s="26">
        <v>2017</v>
      </c>
      <c r="AL5" s="26">
        <v>2018</v>
      </c>
      <c r="AM5" s="26">
        <v>2019</v>
      </c>
      <c r="AN5" s="26">
        <v>2020</v>
      </c>
      <c r="AO5" s="26">
        <v>2021</v>
      </c>
    </row>
    <row r="6" spans="1:41" ht="14.25" hidden="1" customHeight="1" outlineLevel="1" x14ac:dyDescent="0.35">
      <c r="A6" s="22"/>
      <c r="B6" s="7" t="s">
        <v>3</v>
      </c>
      <c r="C6" s="23">
        <v>49.581470186539995</v>
      </c>
      <c r="D6" s="23">
        <v>58.241517991350001</v>
      </c>
      <c r="E6" s="23">
        <v>71.979082286739995</v>
      </c>
      <c r="F6" s="23">
        <v>88.395689060000109</v>
      </c>
      <c r="G6" s="4">
        <v>90.613145780000011</v>
      </c>
      <c r="H6" s="4">
        <v>105.80866744999999</v>
      </c>
      <c r="I6" s="4">
        <v>123.3718386700001</v>
      </c>
      <c r="J6" s="4">
        <v>160.23474202999981</v>
      </c>
      <c r="K6" s="4">
        <v>190.42500000000001</v>
      </c>
      <c r="L6" s="4">
        <v>256.39500000000004</v>
      </c>
      <c r="M6" s="4">
        <v>344.39500000000004</v>
      </c>
      <c r="N6" s="4">
        <v>433.04600000000005</v>
      </c>
      <c r="O6" s="4">
        <v>442.84799999999996</v>
      </c>
      <c r="P6" s="4">
        <v>515.24900000000002</v>
      </c>
      <c r="Q6" s="4">
        <v>598.93200000000002</v>
      </c>
      <c r="R6" s="4">
        <v>710.07399999999984</v>
      </c>
      <c r="S6" s="4">
        <v>712.995</v>
      </c>
      <c r="T6" s="4">
        <v>798.94899999999996</v>
      </c>
      <c r="U6" s="4">
        <v>879.3</v>
      </c>
      <c r="V6" s="4">
        <v>984.79912533000049</v>
      </c>
      <c r="W6" s="4">
        <v>966.80399999999997</v>
      </c>
      <c r="X6" s="4">
        <v>856.46195540999997</v>
      </c>
      <c r="Y6" s="4">
        <v>1211.9705374</v>
      </c>
      <c r="Z6" s="4">
        <v>1473.4825925</v>
      </c>
      <c r="AA6" s="4">
        <v>1384.9701471299998</v>
      </c>
      <c r="AB6" s="4">
        <v>1548.1279999999999</v>
      </c>
      <c r="AC6" s="4">
        <v>1792.1644711700003</v>
      </c>
      <c r="AD6" s="4">
        <v>2059.54919642</v>
      </c>
      <c r="AE6" s="4">
        <v>2054.5835353347502</v>
      </c>
      <c r="AF6" s="4">
        <v>2255.6887042754479</v>
      </c>
      <c r="AG6" s="4">
        <v>2292.0781641628746</v>
      </c>
      <c r="AI6" s="4">
        <f>SUM(C6:F6)</f>
        <v>268.1977595246301</v>
      </c>
      <c r="AJ6" s="4">
        <f>SUM(G6:J6)</f>
        <v>480.02839392999988</v>
      </c>
      <c r="AK6" s="4">
        <f>SUM(K6:N6)</f>
        <v>1224.2610000000002</v>
      </c>
      <c r="AL6" s="4">
        <f>SUM(O6:R6)</f>
        <v>2267.1030000000001</v>
      </c>
      <c r="AM6" s="4">
        <f>SUM(S6:V6)</f>
        <v>3376.0431253300003</v>
      </c>
      <c r="AN6" s="4">
        <f>SUM(W6:Z6)</f>
        <v>4508.7190853100001</v>
      </c>
      <c r="AO6" s="4">
        <f>SUM(AA6:AD6)</f>
        <v>6784.8118147200003</v>
      </c>
    </row>
    <row r="7" spans="1:41" ht="14.25" hidden="1" customHeight="1" outlineLevel="1" x14ac:dyDescent="0.35">
      <c r="A7" s="22"/>
      <c r="B7" s="7" t="s">
        <v>2</v>
      </c>
      <c r="C7" s="23">
        <v>13.91026568</v>
      </c>
      <c r="D7" s="23">
        <v>54.197047700000006</v>
      </c>
      <c r="E7" s="23">
        <v>65.836929839999996</v>
      </c>
      <c r="F7" s="23">
        <v>42.572002719999901</v>
      </c>
      <c r="G7" s="4">
        <v>43.703074489999999</v>
      </c>
      <c r="H7" s="4">
        <v>52.136641259999998</v>
      </c>
      <c r="I7" s="4">
        <v>68.38315987</v>
      </c>
      <c r="J7" s="4">
        <v>96.371432220000003</v>
      </c>
      <c r="K7" s="4">
        <v>118.438</v>
      </c>
      <c r="L7" s="4">
        <v>125.64200000000001</v>
      </c>
      <c r="M7" s="4">
        <v>117.43899999999999</v>
      </c>
      <c r="N7" s="4">
        <v>110.405</v>
      </c>
      <c r="O7" s="4">
        <v>93.98599999999999</v>
      </c>
      <c r="P7" s="4">
        <v>89.408999999999992</v>
      </c>
      <c r="Q7" s="4">
        <v>94.641000000000005</v>
      </c>
      <c r="R7" s="4">
        <v>96.575999999999965</v>
      </c>
      <c r="S7" s="4">
        <v>67.588999999999999</v>
      </c>
      <c r="T7" s="4">
        <v>63.454000000000001</v>
      </c>
      <c r="U7" s="4">
        <v>14.9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I7" s="4">
        <f t="shared" ref="AI7:AI10" si="0">SUM(C7:F7)</f>
        <v>176.51624593999992</v>
      </c>
      <c r="AJ7" s="4">
        <f t="shared" ref="AJ7:AJ10" si="1">SUM(G7:J7)</f>
        <v>260.59430784</v>
      </c>
      <c r="AK7" s="4">
        <f t="shared" ref="AK7:AK10" si="2">SUM(K7:N7)</f>
        <v>471.92399999999998</v>
      </c>
      <c r="AL7" s="4">
        <f t="shared" ref="AL7:AL10" si="3">SUM(O7:R7)</f>
        <v>374.61199999999997</v>
      </c>
      <c r="AM7" s="4">
        <f t="shared" ref="AM7:AM10" si="4">SUM(S7:V7)</f>
        <v>145.94300000000001</v>
      </c>
      <c r="AN7" s="4">
        <f t="shared" ref="AN7:AN10" si="5">SUM(W7:Z7)</f>
        <v>0</v>
      </c>
      <c r="AO7" s="4">
        <f t="shared" ref="AO7:AO10" si="6">SUM(AA7:AD7)</f>
        <v>0</v>
      </c>
    </row>
    <row r="8" spans="1:41" ht="14.25" hidden="1" customHeight="1" outlineLevel="1" x14ac:dyDescent="0.35">
      <c r="A8" s="22"/>
      <c r="B8" s="7" t="s">
        <v>1</v>
      </c>
      <c r="C8" s="23">
        <v>42.634930750000009</v>
      </c>
      <c r="D8" s="23">
        <v>47.453970449999993</v>
      </c>
      <c r="E8" s="23">
        <v>62.074962615335004</v>
      </c>
      <c r="F8" s="23">
        <v>67.29810418000001</v>
      </c>
      <c r="G8" s="4">
        <v>74.569612243494987</v>
      </c>
      <c r="H8" s="4">
        <v>93.526493696504986</v>
      </c>
      <c r="I8" s="4">
        <v>102.42858172000007</v>
      </c>
      <c r="J8" s="4">
        <v>121.90465665999997</v>
      </c>
      <c r="K8" s="4">
        <v>138.809</v>
      </c>
      <c r="L8" s="4">
        <v>172.626</v>
      </c>
      <c r="M8" s="4">
        <v>224.23100000000002</v>
      </c>
      <c r="N8" s="4">
        <v>282.95799999999997</v>
      </c>
      <c r="O8" s="4">
        <v>274.83799999999997</v>
      </c>
      <c r="P8" s="4">
        <v>332.59499999999997</v>
      </c>
      <c r="Q8" s="4">
        <v>387.26400000000001</v>
      </c>
      <c r="R8" s="4">
        <v>419.83500000000004</v>
      </c>
      <c r="S8" s="4">
        <v>430.50400000000002</v>
      </c>
      <c r="T8" s="4">
        <v>497.16699999999997</v>
      </c>
      <c r="U8" s="4">
        <v>537.83199999999999</v>
      </c>
      <c r="V8" s="4">
        <v>565.01890767000032</v>
      </c>
      <c r="W8" s="4">
        <v>562.26800000000003</v>
      </c>
      <c r="X8" s="4">
        <v>459.24682897999998</v>
      </c>
      <c r="Y8" s="4">
        <v>544.75552987000003</v>
      </c>
      <c r="Z8" s="4">
        <v>611.08949536</v>
      </c>
      <c r="AA8" s="4">
        <v>656.98271183999998</v>
      </c>
      <c r="AB8" s="4">
        <v>786.61</v>
      </c>
      <c r="AC8" s="4">
        <v>937.74035872000002</v>
      </c>
      <c r="AD8" s="4">
        <v>1133.08032026</v>
      </c>
      <c r="AE8" s="4">
        <v>1330.7924400299999</v>
      </c>
      <c r="AF8" s="4">
        <v>1610.1014512699999</v>
      </c>
      <c r="AG8" s="4">
        <v>1697.2224831200001</v>
      </c>
      <c r="AI8" s="4">
        <f t="shared" si="0"/>
        <v>219.46196799533504</v>
      </c>
      <c r="AJ8" s="4">
        <f t="shared" si="1"/>
        <v>392.42934432000004</v>
      </c>
      <c r="AK8" s="4">
        <f t="shared" si="2"/>
        <v>818.62400000000002</v>
      </c>
      <c r="AL8" s="4">
        <f t="shared" si="3"/>
        <v>1414.5320000000002</v>
      </c>
      <c r="AM8" s="4">
        <f t="shared" si="4"/>
        <v>2030.5219076700005</v>
      </c>
      <c r="AN8" s="4">
        <f t="shared" si="5"/>
        <v>2177.3598542099999</v>
      </c>
      <c r="AO8" s="4">
        <f t="shared" si="6"/>
        <v>3514.4133908200001</v>
      </c>
    </row>
    <row r="9" spans="1:41" ht="14.25" hidden="1" customHeight="1" outlineLevel="1" x14ac:dyDescent="0.35">
      <c r="A9" s="22"/>
      <c r="B9" s="7" t="s">
        <v>0</v>
      </c>
      <c r="C9" s="23">
        <v>0.8477101600000001</v>
      </c>
      <c r="D9" s="23">
        <v>1.2589204200000002</v>
      </c>
      <c r="E9" s="23">
        <v>3.9606268799999995</v>
      </c>
      <c r="F9" s="23">
        <v>4.6762449899999998</v>
      </c>
      <c r="G9" s="4">
        <v>1.5326167965050099</v>
      </c>
      <c r="H9" s="4">
        <v>0.283837593494985</v>
      </c>
      <c r="I9" s="4">
        <v>1.033630829999882</v>
      </c>
      <c r="J9" s="4">
        <v>2.4862875300000797</v>
      </c>
      <c r="K9" s="4">
        <v>0.83599999999999997</v>
      </c>
      <c r="L9" s="4">
        <v>2.528</v>
      </c>
      <c r="M9" s="4">
        <v>0.57199999999999995</v>
      </c>
      <c r="N9" s="4">
        <v>4.6400000000000006</v>
      </c>
      <c r="O9" s="4">
        <v>116.36</v>
      </c>
      <c r="P9" s="4">
        <v>64.531999999999996</v>
      </c>
      <c r="Q9" s="4">
        <v>56.503999999999998</v>
      </c>
      <c r="R9" s="4">
        <v>41.049000000000007</v>
      </c>
      <c r="S9" s="4">
        <v>40.247999999999998</v>
      </c>
      <c r="T9" s="4">
        <v>30.175999999999998</v>
      </c>
      <c r="U9" s="4">
        <v>30.832999999999998</v>
      </c>
      <c r="V9" s="4">
        <v>25.1</v>
      </c>
      <c r="W9" s="4">
        <v>58.222999999999999</v>
      </c>
      <c r="X9" s="4">
        <v>41.73529061</v>
      </c>
      <c r="Y9" s="4">
        <v>24.747167540000003</v>
      </c>
      <c r="Z9" s="4">
        <v>3.8891552300000019</v>
      </c>
      <c r="AA9" s="4">
        <v>25.247820869999998</v>
      </c>
      <c r="AB9" s="4">
        <v>34.831000000000003</v>
      </c>
      <c r="AC9" s="4">
        <v>45.860542630000005</v>
      </c>
      <c r="AD9" s="4">
        <v>43.527518220000005</v>
      </c>
      <c r="AE9" s="4">
        <v>41.575661348273591</v>
      </c>
      <c r="AF9" s="4">
        <v>44.767461206920004</v>
      </c>
      <c r="AG9" s="4">
        <v>46.125531217340701</v>
      </c>
      <c r="AI9" s="4">
        <f t="shared" si="0"/>
        <v>10.743502449999999</v>
      </c>
      <c r="AJ9" s="4">
        <f t="shared" si="1"/>
        <v>5.3363727499999563</v>
      </c>
      <c r="AK9" s="4">
        <f t="shared" si="2"/>
        <v>8.5760000000000005</v>
      </c>
      <c r="AL9" s="4">
        <f t="shared" si="3"/>
        <v>278.44499999999999</v>
      </c>
      <c r="AM9" s="4">
        <f t="shared" si="4"/>
        <v>126.357</v>
      </c>
      <c r="AN9" s="4">
        <f t="shared" si="5"/>
        <v>128.59461338000003</v>
      </c>
      <c r="AO9" s="4">
        <f t="shared" si="6"/>
        <v>149.46688172</v>
      </c>
    </row>
    <row r="10" spans="1:41" ht="14.25" customHeight="1" collapsed="1" x14ac:dyDescent="0.35">
      <c r="A10" s="22"/>
      <c r="B10" s="3" t="s">
        <v>123</v>
      </c>
      <c r="C10" s="2">
        <v>106.97437677654001</v>
      </c>
      <c r="D10" s="2">
        <v>161.15145656135002</v>
      </c>
      <c r="E10" s="2">
        <v>203.85160162207501</v>
      </c>
      <c r="F10" s="2">
        <v>202.94204094999998</v>
      </c>
      <c r="G10" s="2">
        <f t="shared" ref="G10:J10" si="7">SUM(G6:G9)</f>
        <v>210.41844931</v>
      </c>
      <c r="H10" s="2">
        <f t="shared" si="7"/>
        <v>251.75563999999994</v>
      </c>
      <c r="I10" s="2">
        <f t="shared" si="7"/>
        <v>295.21721109000003</v>
      </c>
      <c r="J10" s="2">
        <f t="shared" si="7"/>
        <v>380.99711843999984</v>
      </c>
      <c r="K10" s="2">
        <f t="shared" ref="K10:L10" si="8">SUM(K6:K9)</f>
        <v>448.50800000000004</v>
      </c>
      <c r="L10" s="2">
        <f t="shared" si="8"/>
        <v>557.19100000000003</v>
      </c>
      <c r="M10" s="2">
        <f t="shared" ref="M10" si="9">SUM(M6:M9)</f>
        <v>686.63700000000006</v>
      </c>
      <c r="N10" s="2">
        <f t="shared" ref="N10" si="10">SUM(N6:N9)</f>
        <v>831.04899999999998</v>
      </c>
      <c r="O10" s="2">
        <f t="shared" ref="O10" si="11">SUM(O6:O9)</f>
        <v>928.03199999999993</v>
      </c>
      <c r="P10" s="2">
        <f t="shared" ref="P10" si="12">SUM(P6:P9)</f>
        <v>1001.785</v>
      </c>
      <c r="Q10" s="2">
        <f t="shared" ref="Q10:Z10" si="13">SUM(Q6:Q9)</f>
        <v>1137.3409999999999</v>
      </c>
      <c r="R10" s="2">
        <f t="shared" si="13"/>
        <v>1267.5339999999999</v>
      </c>
      <c r="S10" s="2">
        <f t="shared" si="13"/>
        <v>1251.3360000000002</v>
      </c>
      <c r="T10" s="2">
        <f t="shared" si="13"/>
        <v>1389.7459999999999</v>
      </c>
      <c r="U10" s="2">
        <f t="shared" si="13"/>
        <v>1462.865</v>
      </c>
      <c r="V10" s="2">
        <f t="shared" si="13"/>
        <v>1574.9180330000008</v>
      </c>
      <c r="W10" s="2">
        <f t="shared" si="13"/>
        <v>1587.2950000000001</v>
      </c>
      <c r="X10" s="2">
        <f t="shared" si="13"/>
        <v>1357.4440749999999</v>
      </c>
      <c r="Y10" s="2">
        <f t="shared" si="13"/>
        <v>1781.4732348099999</v>
      </c>
      <c r="Z10" s="2">
        <f t="shared" si="13"/>
        <v>2088.4612430900002</v>
      </c>
      <c r="AA10" s="2">
        <v>2067.2006798399998</v>
      </c>
      <c r="AB10" s="2">
        <v>2369.569</v>
      </c>
      <c r="AC10" s="2">
        <v>2775.7653725200003</v>
      </c>
      <c r="AD10" s="2">
        <v>3236.1570348999999</v>
      </c>
      <c r="AE10" s="2">
        <f t="shared" ref="AE10" si="14">SUM(AE6:AE9)</f>
        <v>3426.9516367130236</v>
      </c>
      <c r="AF10" s="2">
        <f t="shared" ref="AF10:AG10" si="15">SUM(AF6:AF9)</f>
        <v>3910.5576167523677</v>
      </c>
      <c r="AG10" s="2">
        <f t="shared" si="15"/>
        <v>4035.4261785002154</v>
      </c>
      <c r="AI10" s="2">
        <f t="shared" si="0"/>
        <v>674.91947590996506</v>
      </c>
      <c r="AJ10" s="2">
        <f t="shared" si="1"/>
        <v>1138.3884188399998</v>
      </c>
      <c r="AK10" s="2">
        <f t="shared" si="2"/>
        <v>2523.3850000000002</v>
      </c>
      <c r="AL10" s="2">
        <f t="shared" si="3"/>
        <v>4334.692</v>
      </c>
      <c r="AM10" s="2">
        <f t="shared" si="4"/>
        <v>5678.8650330000009</v>
      </c>
      <c r="AN10" s="2">
        <f t="shared" si="5"/>
        <v>6814.6735528999998</v>
      </c>
      <c r="AO10" s="2">
        <f t="shared" si="6"/>
        <v>10448.692087259999</v>
      </c>
    </row>
    <row r="11" spans="1:41" ht="14.25" hidden="1" customHeight="1" outlineLevel="1" x14ac:dyDescent="0.35">
      <c r="A11" s="22"/>
      <c r="B11" s="7" t="s">
        <v>109</v>
      </c>
      <c r="C11" s="4" t="s">
        <v>186</v>
      </c>
      <c r="D11" s="4" t="s">
        <v>186</v>
      </c>
      <c r="E11" s="4" t="s">
        <v>186</v>
      </c>
      <c r="F11" s="4" t="s">
        <v>186</v>
      </c>
      <c r="G11" s="4" t="s">
        <v>186</v>
      </c>
      <c r="H11" s="4" t="s">
        <v>186</v>
      </c>
      <c r="I11" s="4" t="s">
        <v>186</v>
      </c>
      <c r="J11" s="4" t="s">
        <v>186</v>
      </c>
      <c r="K11" s="4">
        <f>SUM('PAGS | Total Costs and Expenses'!K7:K8)</f>
        <v>-90.561301520000015</v>
      </c>
      <c r="L11" s="4">
        <f>SUM('PAGS | Total Costs and Expenses'!L7:L8)</f>
        <v>-121.69771897000001</v>
      </c>
      <c r="M11" s="4">
        <f>SUM('PAGS | Total Costs and Expenses'!M7:M8)</f>
        <v>-161.48711366000003</v>
      </c>
      <c r="N11" s="4">
        <f>SUM('PAGS | Total Costs and Expenses'!N7:N8)</f>
        <v>-213.56948463000003</v>
      </c>
      <c r="O11" s="4">
        <f>SUM('PAGS | Total Costs and Expenses'!O7:O8)</f>
        <v>-226.46537230000001</v>
      </c>
      <c r="P11" s="4">
        <f>SUM('PAGS | Total Costs and Expenses'!P7:P8)</f>
        <v>-265.68257070000004</v>
      </c>
      <c r="Q11" s="4">
        <f>SUM('PAGS | Total Costs and Expenses'!Q7:Q8)</f>
        <v>-309.72155623999998</v>
      </c>
      <c r="R11" s="4">
        <f>SUM('PAGS | Total Costs and Expenses'!R7:R8)</f>
        <v>-360.87286975000001</v>
      </c>
      <c r="S11" s="4">
        <f>SUM('PAGS | Total Costs and Expenses'!S7:S8)</f>
        <v>-354.03634832</v>
      </c>
      <c r="T11" s="4">
        <f>SUM('PAGS | Total Costs and Expenses'!T7:T8)</f>
        <v>-399.81202990999998</v>
      </c>
      <c r="U11" s="4">
        <f>SUM('PAGS | Total Costs and Expenses'!U7:U8)</f>
        <v>-436.95274562999998</v>
      </c>
      <c r="V11" s="4">
        <f>SUM('PAGS | Total Costs and Expenses'!V7:V8)</f>
        <v>-489.19480744999998</v>
      </c>
      <c r="W11" s="4">
        <f>SUM('PAGS | Total Costs and Expenses'!W7:W8)</f>
        <v>-432.66913864000003</v>
      </c>
      <c r="X11" s="4">
        <f>SUM('PAGS | Total Costs and Expenses'!X7:X8)</f>
        <v>-419.30907051000003</v>
      </c>
      <c r="Y11" s="4">
        <f>SUM('PAGS | Total Costs and Expenses'!Y7:Y8)</f>
        <v>-597.68101764000005</v>
      </c>
      <c r="Z11" s="4">
        <f>SUM('PAGS | Total Costs and Expenses'!Z7:Z8)</f>
        <v>-668.18102446</v>
      </c>
      <c r="AA11" s="4">
        <v>-705.72533735999991</v>
      </c>
      <c r="AB11" s="4">
        <v>-828.1497832199999</v>
      </c>
      <c r="AC11" s="4">
        <v>-985.19428348000008</v>
      </c>
      <c r="AD11" s="4">
        <v>-1177.9458189100001</v>
      </c>
      <c r="AE11" s="4">
        <v>-1230.2487821199998</v>
      </c>
      <c r="AF11" s="4">
        <v>-1365.0646223700001</v>
      </c>
      <c r="AG11" s="4">
        <v>-1379.5255140400004</v>
      </c>
      <c r="AI11" s="4" t="s">
        <v>186</v>
      </c>
      <c r="AJ11" s="4" t="s">
        <v>186</v>
      </c>
      <c r="AK11" s="4">
        <f t="shared" ref="AK11" si="16">SUM(K11:N11)</f>
        <v>-587.31561878000002</v>
      </c>
      <c r="AL11" s="4">
        <f>SUM(O11:R11)</f>
        <v>-1162.7423689900002</v>
      </c>
      <c r="AM11" s="4">
        <f t="shared" ref="AM11" si="17">SUM(S11:V11)</f>
        <v>-1679.9959313099998</v>
      </c>
      <c r="AN11" s="4">
        <f t="shared" ref="AN11" si="18">SUM(W11:Z11)</f>
        <v>-2117.8402512500002</v>
      </c>
      <c r="AO11" s="4">
        <f t="shared" ref="AO11" si="19">SUM(AA11:AD11)</f>
        <v>-3697.0152229700002</v>
      </c>
    </row>
    <row r="12" spans="1:41" ht="14.25" customHeight="1" collapsed="1" x14ac:dyDescent="0.35">
      <c r="A12" s="22"/>
      <c r="B12" s="37" t="s">
        <v>124</v>
      </c>
      <c r="C12" s="38" t="s">
        <v>186</v>
      </c>
      <c r="D12" s="38" t="s">
        <v>186</v>
      </c>
      <c r="E12" s="38" t="s">
        <v>186</v>
      </c>
      <c r="F12" s="38" t="s">
        <v>186</v>
      </c>
      <c r="G12" s="38" t="s">
        <v>186</v>
      </c>
      <c r="H12" s="38" t="s">
        <v>186</v>
      </c>
      <c r="I12" s="38" t="s">
        <v>186</v>
      </c>
      <c r="J12" s="38" t="s">
        <v>186</v>
      </c>
      <c r="K12" s="38">
        <f t="shared" ref="K12:Z12" si="20">K10+K11</f>
        <v>357.94669848000001</v>
      </c>
      <c r="L12" s="38">
        <f t="shared" si="20"/>
        <v>435.49328103000005</v>
      </c>
      <c r="M12" s="38">
        <f t="shared" si="20"/>
        <v>525.14988633999997</v>
      </c>
      <c r="N12" s="38">
        <f t="shared" si="20"/>
        <v>617.47951536999994</v>
      </c>
      <c r="O12" s="38">
        <f t="shared" si="20"/>
        <v>701.56662769999991</v>
      </c>
      <c r="P12" s="38">
        <f t="shared" si="20"/>
        <v>736.10242929999993</v>
      </c>
      <c r="Q12" s="38">
        <f t="shared" si="20"/>
        <v>827.61944375999997</v>
      </c>
      <c r="R12" s="38">
        <f t="shared" si="20"/>
        <v>906.66113024999981</v>
      </c>
      <c r="S12" s="38">
        <f t="shared" si="20"/>
        <v>897.29965168000024</v>
      </c>
      <c r="T12" s="38">
        <f t="shared" si="20"/>
        <v>989.93397008999989</v>
      </c>
      <c r="U12" s="38">
        <f t="shared" si="20"/>
        <v>1025.91225437</v>
      </c>
      <c r="V12" s="38">
        <f t="shared" si="20"/>
        <v>1085.7232255500007</v>
      </c>
      <c r="W12" s="38">
        <f t="shared" si="20"/>
        <v>1154.62586136</v>
      </c>
      <c r="X12" s="38">
        <f t="shared" si="20"/>
        <v>938.1350044899998</v>
      </c>
      <c r="Y12" s="38">
        <f t="shared" si="20"/>
        <v>1183.7922171699997</v>
      </c>
      <c r="Z12" s="38">
        <f t="shared" si="20"/>
        <v>1420.28021863</v>
      </c>
      <c r="AA12" s="38">
        <v>1361.4753424799999</v>
      </c>
      <c r="AB12" s="38">
        <v>1541.4192167800002</v>
      </c>
      <c r="AC12" s="38">
        <v>1790.5710890400001</v>
      </c>
      <c r="AD12" s="38">
        <v>2058.2112159899998</v>
      </c>
      <c r="AE12" s="38">
        <f t="shared" ref="AE12" si="21">AE10+AE11</f>
        <v>2196.7028545930239</v>
      </c>
      <c r="AF12" s="38">
        <f t="shared" ref="AF12:AG12" si="22">AF10+AF11</f>
        <v>2545.4929943823677</v>
      </c>
      <c r="AG12" s="38">
        <f t="shared" si="22"/>
        <v>2655.900664460215</v>
      </c>
      <c r="AI12" s="38" t="s">
        <v>186</v>
      </c>
      <c r="AJ12" s="38" t="s">
        <v>186</v>
      </c>
      <c r="AK12" s="38">
        <f t="shared" ref="AK12:AO12" si="23">AK10+AK11</f>
        <v>1936.0693812200002</v>
      </c>
      <c r="AL12" s="38">
        <f t="shared" si="23"/>
        <v>3171.9496310099998</v>
      </c>
      <c r="AM12" s="38">
        <f t="shared" si="23"/>
        <v>3998.8691016900011</v>
      </c>
      <c r="AN12" s="38">
        <f t="shared" si="23"/>
        <v>4696.8333016500001</v>
      </c>
      <c r="AO12" s="38">
        <f t="shared" si="23"/>
        <v>6751.6768642899988</v>
      </c>
    </row>
    <row r="13" spans="1:41" ht="14.25" hidden="1" customHeight="1" outlineLevel="1" x14ac:dyDescent="0.35">
      <c r="A13" s="22"/>
      <c r="B13" s="7" t="s">
        <v>23</v>
      </c>
      <c r="C13" s="4">
        <v>-46.886981641287491</v>
      </c>
      <c r="D13" s="4">
        <v>-98.812228924046991</v>
      </c>
      <c r="E13" s="4">
        <v>-126.7818063115169</v>
      </c>
      <c r="F13" s="4">
        <v>-110.00206759639946</v>
      </c>
      <c r="G13" s="4">
        <v>-115.41594878000001</v>
      </c>
      <c r="H13" s="4">
        <v>-148.03168943999998</v>
      </c>
      <c r="I13" s="4">
        <v>-171.68515238000001</v>
      </c>
      <c r="J13" s="4">
        <v>-188.53342814999999</v>
      </c>
      <c r="K13" s="4">
        <v>-242.89264449000001</v>
      </c>
      <c r="L13" s="4">
        <v>-326.97673901999997</v>
      </c>
      <c r="M13" s="4">
        <v>-348.54561648999999</v>
      </c>
      <c r="N13" s="4">
        <v>-405.9650000000002</v>
      </c>
      <c r="O13" s="4">
        <v>-444.762</v>
      </c>
      <c r="P13" s="4">
        <v>-482.75299999999999</v>
      </c>
      <c r="Q13" s="4">
        <v>-550.64099999999996</v>
      </c>
      <c r="R13" s="4">
        <v>-666.54300000000001</v>
      </c>
      <c r="S13" s="4">
        <v>-617.779</v>
      </c>
      <c r="T13" s="4">
        <v>-684.39300000000003</v>
      </c>
      <c r="U13" s="4">
        <v>-684.40499999999997</v>
      </c>
      <c r="V13" s="4">
        <v>-747.40922157510397</v>
      </c>
      <c r="W13" s="4">
        <v>-768.63599999999997</v>
      </c>
      <c r="X13" s="4">
        <v>-793.275706745854</v>
      </c>
      <c r="Y13" s="4">
        <v>-1057.2326499259796</v>
      </c>
      <c r="Z13" s="4">
        <v>-1153.139697821076</v>
      </c>
      <c r="AA13" s="4">
        <v>-1146.0852809399998</v>
      </c>
      <c r="AB13" s="4">
        <v>-1295.0174035599994</v>
      </c>
      <c r="AC13" s="4">
        <v>-1502.0180153599993</v>
      </c>
      <c r="AD13" s="4">
        <v>-1832.77396282</v>
      </c>
      <c r="AE13" s="4">
        <v>-1739.3785539554285</v>
      </c>
      <c r="AF13" s="4">
        <v>-1900.3008336178989</v>
      </c>
      <c r="AG13" s="4">
        <v>-1862.1637023966687</v>
      </c>
      <c r="AI13" s="4">
        <f t="shared" ref="AI13:AI17" si="24">SUM(C13:F13)</f>
        <v>-382.48308447325087</v>
      </c>
      <c r="AJ13" s="4">
        <f t="shared" ref="AJ13:AJ17" si="25">SUM(G13:J13)</f>
        <v>-623.66621874999998</v>
      </c>
      <c r="AK13" s="4">
        <f t="shared" ref="AK13:AK17" si="26">SUM(K13:N13)</f>
        <v>-1324.38</v>
      </c>
      <c r="AL13" s="4">
        <f t="shared" ref="AL13:AL17" si="27">SUM(O13:R13)</f>
        <v>-2144.6990000000001</v>
      </c>
      <c r="AM13" s="4">
        <f t="shared" ref="AM13:AM17" si="28">SUM(S13:V13)</f>
        <v>-2733.9862215751041</v>
      </c>
      <c r="AN13" s="4">
        <f t="shared" ref="AN13:AN17" si="29">SUM(W13:Z13)</f>
        <v>-3772.2840544929095</v>
      </c>
      <c r="AO13" s="4">
        <f t="shared" ref="AO13:AO17" si="30">SUM(AA13:AD13)</f>
        <v>-5775.894662679998</v>
      </c>
    </row>
    <row r="14" spans="1:41" ht="14.25" hidden="1" customHeight="1" outlineLevel="1" x14ac:dyDescent="0.35">
      <c r="A14" s="22"/>
      <c r="B14" s="7" t="s">
        <v>24</v>
      </c>
      <c r="C14" s="4">
        <v>-27.653849070809127</v>
      </c>
      <c r="D14" s="4">
        <v>-36.648821031906976</v>
      </c>
      <c r="E14" s="4">
        <v>-39.533032560933428</v>
      </c>
      <c r="F14" s="4">
        <v>-58.806376650114586</v>
      </c>
      <c r="G14" s="4">
        <v>-33.422658409999997</v>
      </c>
      <c r="H14" s="4">
        <v>-39.436504630000002</v>
      </c>
      <c r="I14" s="4">
        <v>-26.954078339999999</v>
      </c>
      <c r="J14" s="4">
        <v>-100.12402272</v>
      </c>
      <c r="K14" s="4">
        <v>-71.105593980000009</v>
      </c>
      <c r="L14" s="4">
        <v>-54.630611870000003</v>
      </c>
      <c r="M14" s="4">
        <v>-58.369794149999898</v>
      </c>
      <c r="N14" s="4">
        <v>-61.653000000000077</v>
      </c>
      <c r="O14" s="4">
        <v>-83.614000000000004</v>
      </c>
      <c r="P14" s="4">
        <v>-94.403999999999996</v>
      </c>
      <c r="Q14" s="4">
        <v>-90.299000000000007</v>
      </c>
      <c r="R14" s="4">
        <v>-83.123000000000005</v>
      </c>
      <c r="S14" s="4">
        <v>-82.378</v>
      </c>
      <c r="T14" s="4">
        <v>-131.679</v>
      </c>
      <c r="U14" s="4">
        <v>-164.55600000000001</v>
      </c>
      <c r="V14" s="4">
        <v>-186.55699999999999</v>
      </c>
      <c r="W14" s="4">
        <v>-189.02199999999999</v>
      </c>
      <c r="X14" s="4">
        <v>-111.2020689</v>
      </c>
      <c r="Y14" s="4">
        <v>-151.62616696074818</v>
      </c>
      <c r="Z14" s="4">
        <v>-165.61280537999997</v>
      </c>
      <c r="AA14" s="4">
        <v>-368.11199949999991</v>
      </c>
      <c r="AB14" s="4">
        <v>-363.77044010000009</v>
      </c>
      <c r="AC14" s="4">
        <v>-367.89301949999998</v>
      </c>
      <c r="AD14" s="4">
        <v>-424.13240623000019</v>
      </c>
      <c r="AE14" s="4">
        <v>-480.64997776000018</v>
      </c>
      <c r="AF14" s="4">
        <v>-499.10095529792</v>
      </c>
      <c r="AG14" s="4">
        <v>-530.83918260208009</v>
      </c>
      <c r="AI14" s="4">
        <f t="shared" si="24"/>
        <v>-162.6420793137641</v>
      </c>
      <c r="AJ14" s="4">
        <f t="shared" si="25"/>
        <v>-199.93726409999999</v>
      </c>
      <c r="AK14" s="4">
        <f t="shared" si="26"/>
        <v>-245.75899999999999</v>
      </c>
      <c r="AL14" s="4">
        <f t="shared" si="27"/>
        <v>-351.44</v>
      </c>
      <c r="AM14" s="4">
        <f t="shared" si="28"/>
        <v>-565.17000000000007</v>
      </c>
      <c r="AN14" s="4">
        <f t="shared" si="29"/>
        <v>-617.46304124074811</v>
      </c>
      <c r="AO14" s="4">
        <f t="shared" si="30"/>
        <v>-1523.9078653300003</v>
      </c>
    </row>
    <row r="15" spans="1:41" ht="14.25" hidden="1" customHeight="1" outlineLevel="1" x14ac:dyDescent="0.35">
      <c r="A15" s="22"/>
      <c r="B15" s="7" t="s">
        <v>25</v>
      </c>
      <c r="C15" s="4">
        <v>-10.6974032642648</v>
      </c>
      <c r="D15" s="4">
        <v>-12.897641220776013</v>
      </c>
      <c r="E15" s="4">
        <v>-18.357380319899519</v>
      </c>
      <c r="F15" s="4">
        <v>-19.177010053961631</v>
      </c>
      <c r="G15" s="4">
        <v>-18.52175806</v>
      </c>
      <c r="H15" s="4">
        <v>-21.164732479999991</v>
      </c>
      <c r="I15" s="4">
        <v>-21.00201198000001</v>
      </c>
      <c r="J15" s="4">
        <v>-23.77299618999999</v>
      </c>
      <c r="K15" s="4">
        <v>-32.519741409253001</v>
      </c>
      <c r="L15" s="4">
        <v>-33.506898309621015</v>
      </c>
      <c r="M15" s="4">
        <v>-41.704360281125993</v>
      </c>
      <c r="N15" s="4">
        <v>-45.445999999999984</v>
      </c>
      <c r="O15" s="4">
        <v>-219.024</v>
      </c>
      <c r="P15" s="4">
        <v>-109.17400000000001</v>
      </c>
      <c r="Q15" s="4">
        <v>-164.49100000000001</v>
      </c>
      <c r="R15" s="4">
        <v>-88.977999999999994</v>
      </c>
      <c r="S15" s="4">
        <v>-92.381</v>
      </c>
      <c r="T15" s="4">
        <v>-109.85599999999999</v>
      </c>
      <c r="U15" s="4">
        <v>-134.58500000000001</v>
      </c>
      <c r="V15" s="4">
        <v>-90.543999999999997</v>
      </c>
      <c r="W15" s="4">
        <v>-85.784999999999997</v>
      </c>
      <c r="X15" s="4">
        <v>-94.2653731359636</v>
      </c>
      <c r="Y15" s="4">
        <v>-197.10860408853841</v>
      </c>
      <c r="Z15" s="4">
        <v>-186.7470001316091</v>
      </c>
      <c r="AA15" s="4">
        <v>-189.06962739451865</v>
      </c>
      <c r="AB15" s="4">
        <v>-225.89857968964139</v>
      </c>
      <c r="AC15" s="4">
        <v>-273.02817257699814</v>
      </c>
      <c r="AD15" s="4">
        <v>-189.56143256299384</v>
      </c>
      <c r="AE15" s="4">
        <v>-165.33059341563174</v>
      </c>
      <c r="AF15" s="4">
        <v>-203.93728882015253</v>
      </c>
      <c r="AG15" s="4">
        <v>-185.3439003004502</v>
      </c>
      <c r="AI15" s="4">
        <f t="shared" si="24"/>
        <v>-61.129434858901966</v>
      </c>
      <c r="AJ15" s="4">
        <f t="shared" si="25"/>
        <v>-84.461498709999987</v>
      </c>
      <c r="AK15" s="4">
        <f t="shared" si="26"/>
        <v>-153.17699999999996</v>
      </c>
      <c r="AL15" s="4">
        <f t="shared" si="27"/>
        <v>-581.66699999999992</v>
      </c>
      <c r="AM15" s="4">
        <f t="shared" si="28"/>
        <v>-427.36599999999999</v>
      </c>
      <c r="AN15" s="4">
        <f t="shared" si="29"/>
        <v>-563.90597735611107</v>
      </c>
      <c r="AO15" s="4">
        <f t="shared" si="30"/>
        <v>-877.55781222415203</v>
      </c>
    </row>
    <row r="16" spans="1:41" ht="14.25" hidden="1" customHeight="1" outlineLevel="1" x14ac:dyDescent="0.35">
      <c r="A16" s="22"/>
      <c r="B16" s="7" t="s">
        <v>26</v>
      </c>
      <c r="C16" s="4">
        <v>-2.5886584299999993</v>
      </c>
      <c r="D16" s="4">
        <v>-5.1831069999999997</v>
      </c>
      <c r="E16" s="4">
        <v>-10.284615729999999</v>
      </c>
      <c r="F16" s="4">
        <v>-11.639744739999999</v>
      </c>
      <c r="G16" s="4">
        <v>-6.6107146500000011</v>
      </c>
      <c r="H16" s="4">
        <v>-8.109387589999999</v>
      </c>
      <c r="I16" s="4">
        <v>-24.820313980000005</v>
      </c>
      <c r="J16" s="4">
        <v>-28.760700239999998</v>
      </c>
      <c r="K16" s="4">
        <v>-19.218084329999996</v>
      </c>
      <c r="L16" s="4">
        <v>-23.540114429999999</v>
      </c>
      <c r="M16" s="4">
        <v>-21.033999999999999</v>
      </c>
      <c r="N16" s="4">
        <v>-40.751801239999992</v>
      </c>
      <c r="O16" s="4">
        <v>-16.524000000000001</v>
      </c>
      <c r="P16" s="4">
        <v>-2.8039999999999998</v>
      </c>
      <c r="Q16" s="4">
        <v>-7.226</v>
      </c>
      <c r="R16" s="4">
        <v>-4.6559999999999997</v>
      </c>
      <c r="S16" s="4">
        <v>-5.8390000000000004</v>
      </c>
      <c r="T16" s="4">
        <v>-2.2040000000000002</v>
      </c>
      <c r="U16" s="4">
        <v>-6.51</v>
      </c>
      <c r="V16" s="4">
        <v>-23.585000000000001</v>
      </c>
      <c r="W16" s="4">
        <v>-45.561999999999998</v>
      </c>
      <c r="X16" s="4">
        <v>-17.872832000000002</v>
      </c>
      <c r="Y16" s="4">
        <v>-16.255824969999999</v>
      </c>
      <c r="Z16" s="4">
        <v>-29.542062089999998</v>
      </c>
      <c r="AA16" s="4">
        <v>-44.387658880000004</v>
      </c>
      <c r="AB16" s="4">
        <v>-133.78472766000002</v>
      </c>
      <c r="AC16" s="4">
        <v>-209.82270677</v>
      </c>
      <c r="AD16" s="4">
        <v>-402.64024504000008</v>
      </c>
      <c r="AE16" s="4">
        <v>-620.62783420999995</v>
      </c>
      <c r="AF16" s="4">
        <v>-755.55951044419521</v>
      </c>
      <c r="AG16" s="4">
        <v>-920.65559389805787</v>
      </c>
      <c r="AI16" s="4">
        <f t="shared" si="24"/>
        <v>-29.696125899999998</v>
      </c>
      <c r="AJ16" s="4">
        <f t="shared" si="25"/>
        <v>-68.301116460000003</v>
      </c>
      <c r="AK16" s="4">
        <f t="shared" si="26"/>
        <v>-104.54399999999998</v>
      </c>
      <c r="AL16" s="4">
        <f t="shared" si="27"/>
        <v>-31.209999999999997</v>
      </c>
      <c r="AM16" s="4">
        <f t="shared" si="28"/>
        <v>-38.138000000000005</v>
      </c>
      <c r="AN16" s="4">
        <f t="shared" si="29"/>
        <v>-109.23271905999999</v>
      </c>
      <c r="AO16" s="4">
        <f t="shared" si="30"/>
        <v>-790.6353383500001</v>
      </c>
    </row>
    <row r="17" spans="1:41" ht="14.25" hidden="1" customHeight="1" outlineLevel="1" x14ac:dyDescent="0.35">
      <c r="A17" s="22"/>
      <c r="B17" s="7" t="s">
        <v>27</v>
      </c>
      <c r="C17" s="4">
        <v>-1.2063841399999999</v>
      </c>
      <c r="D17" s="4">
        <v>-1.2549863917499997</v>
      </c>
      <c r="E17" s="4">
        <v>-0.6501950099999998</v>
      </c>
      <c r="F17" s="4">
        <v>4.4561998700000007</v>
      </c>
      <c r="G17" s="4">
        <v>-1.6279648799999995</v>
      </c>
      <c r="H17" s="4">
        <v>-2.7153901799999982</v>
      </c>
      <c r="I17" s="4">
        <v>-1.7011752400000009</v>
      </c>
      <c r="J17" s="4">
        <v>-0.61302855000000001</v>
      </c>
      <c r="K17" s="4">
        <v>-0.5943621241760001</v>
      </c>
      <c r="L17" s="4">
        <v>-2.1314232089120009</v>
      </c>
      <c r="M17" s="4">
        <v>-2.3092146669119988</v>
      </c>
      <c r="N17" s="4">
        <v>-6.9860000000000015</v>
      </c>
      <c r="O17" s="4">
        <v>-1.109</v>
      </c>
      <c r="P17" s="4">
        <v>9.8000000000000004E-2</v>
      </c>
      <c r="Q17" s="4">
        <v>-4.1500000000000004</v>
      </c>
      <c r="R17" s="4">
        <v>-2.8940000000000001</v>
      </c>
      <c r="S17" s="4">
        <v>-3.5819999999999999</v>
      </c>
      <c r="T17" s="4">
        <v>-0.49099999999999999</v>
      </c>
      <c r="U17" s="4">
        <v>-4.91</v>
      </c>
      <c r="V17" s="4">
        <v>7.0739999999999998</v>
      </c>
      <c r="W17" s="4">
        <v>-2.1360000000000001</v>
      </c>
      <c r="X17" s="4">
        <v>71.608477285768799</v>
      </c>
      <c r="Y17" s="4">
        <v>-7.0594669231116995</v>
      </c>
      <c r="Z17" s="4">
        <v>-39.65</v>
      </c>
      <c r="AA17" s="4">
        <v>40.805913145522908</v>
      </c>
      <c r="AB17" s="4">
        <v>-12.9524024263029</v>
      </c>
      <c r="AC17" s="4">
        <v>-1.8207161852889984</v>
      </c>
      <c r="AD17" s="4">
        <v>-18.731709350132988</v>
      </c>
      <c r="AE17" s="4">
        <v>-4.4909407399715988</v>
      </c>
      <c r="AF17" s="4">
        <v>-108.95051018351148</v>
      </c>
      <c r="AG17" s="4">
        <v>-111.1229638930633</v>
      </c>
      <c r="AI17" s="4">
        <f t="shared" si="24"/>
        <v>1.3446343282500015</v>
      </c>
      <c r="AJ17" s="4">
        <f t="shared" si="25"/>
        <v>-6.6575588499999983</v>
      </c>
      <c r="AK17" s="4">
        <f t="shared" si="26"/>
        <v>-12.021000000000001</v>
      </c>
      <c r="AL17" s="4">
        <f t="shared" si="27"/>
        <v>-8.0549999999999997</v>
      </c>
      <c r="AM17" s="4">
        <f t="shared" si="28"/>
        <v>-1.9090000000000007</v>
      </c>
      <c r="AN17" s="4">
        <f t="shared" si="29"/>
        <v>22.763010362657106</v>
      </c>
      <c r="AO17" s="4">
        <f t="shared" si="30"/>
        <v>7.3010851837980226</v>
      </c>
    </row>
    <row r="18" spans="1:41" ht="14.25" customHeight="1" collapsed="1" x14ac:dyDescent="0.35">
      <c r="A18" s="22"/>
      <c r="B18" s="3" t="s">
        <v>125</v>
      </c>
      <c r="C18" s="2">
        <f t="shared" ref="C18:F18" si="31">SUM(C13:C17)</f>
        <v>-89.033276546361407</v>
      </c>
      <c r="D18" s="2">
        <f t="shared" si="31"/>
        <v>-154.79678456848001</v>
      </c>
      <c r="E18" s="2">
        <f t="shared" si="31"/>
        <v>-195.60702993234986</v>
      </c>
      <c r="F18" s="2">
        <f t="shared" si="31"/>
        <v>-195.16899917047567</v>
      </c>
      <c r="G18" s="2">
        <f t="shared" ref="G18:Z18" si="32">SUM(G13:G17)</f>
        <v>-175.59904478000001</v>
      </c>
      <c r="H18" s="2">
        <f t="shared" si="32"/>
        <v>-219.45770431999998</v>
      </c>
      <c r="I18" s="2">
        <f t="shared" si="32"/>
        <v>-246.16273192000003</v>
      </c>
      <c r="J18" s="2">
        <f t="shared" si="32"/>
        <v>-341.80417585000004</v>
      </c>
      <c r="K18" s="2">
        <f t="shared" si="32"/>
        <v>-366.33042633342905</v>
      </c>
      <c r="L18" s="2">
        <f t="shared" si="32"/>
        <v>-440.785786838533</v>
      </c>
      <c r="M18" s="2">
        <f t="shared" si="32"/>
        <v>-471.9629855880379</v>
      </c>
      <c r="N18" s="2">
        <f t="shared" si="32"/>
        <v>-560.80180124000026</v>
      </c>
      <c r="O18" s="2">
        <f t="shared" si="32"/>
        <v>-765.03300000000002</v>
      </c>
      <c r="P18" s="2">
        <f t="shared" si="32"/>
        <v>-689.03699999999992</v>
      </c>
      <c r="Q18" s="2">
        <f t="shared" si="32"/>
        <v>-816.8069999999999</v>
      </c>
      <c r="R18" s="2">
        <f t="shared" si="32"/>
        <v>-846.19399999999996</v>
      </c>
      <c r="S18" s="2">
        <f t="shared" si="32"/>
        <v>-801.95900000000006</v>
      </c>
      <c r="T18" s="2">
        <f t="shared" si="32"/>
        <v>-928.62299999999993</v>
      </c>
      <c r="U18" s="2">
        <f t="shared" si="32"/>
        <v>-994.96600000000001</v>
      </c>
      <c r="V18" s="2">
        <f t="shared" si="32"/>
        <v>-1041.0212215751039</v>
      </c>
      <c r="W18" s="2">
        <f t="shared" si="32"/>
        <v>-1091.1409999999998</v>
      </c>
      <c r="X18" s="2">
        <f t="shared" si="32"/>
        <v>-945.0075034960488</v>
      </c>
      <c r="Y18" s="2">
        <f t="shared" si="32"/>
        <v>-1429.282712868378</v>
      </c>
      <c r="Z18" s="2">
        <f t="shared" si="32"/>
        <v>-1574.6915654226852</v>
      </c>
      <c r="AA18" s="2">
        <v>-1706.8486535689954</v>
      </c>
      <c r="AB18" s="2">
        <v>-2031.4235534359436</v>
      </c>
      <c r="AC18" s="2">
        <v>-2354.5826303922863</v>
      </c>
      <c r="AD18" s="2">
        <v>-2867.8397560031271</v>
      </c>
      <c r="AE18" s="2">
        <f t="shared" ref="AE18" si="33">SUM(AE13:AE17)</f>
        <v>-3010.4779000810317</v>
      </c>
      <c r="AF18" s="2">
        <f t="shared" ref="AF18:AG18" si="34">SUM(AF13:AF17)</f>
        <v>-3467.849098363678</v>
      </c>
      <c r="AG18" s="2">
        <f t="shared" si="34"/>
        <v>-3610.1253430903198</v>
      </c>
      <c r="AI18" s="2">
        <f>SUM(AI13:AI17)</f>
        <v>-634.60609021766697</v>
      </c>
      <c r="AJ18" s="2">
        <f t="shared" ref="AJ18:AO18" si="35">SUM(AJ13:AJ17)</f>
        <v>-983.02365686999997</v>
      </c>
      <c r="AK18" s="2">
        <f t="shared" si="35"/>
        <v>-1839.8810000000001</v>
      </c>
      <c r="AL18" s="2">
        <f t="shared" si="35"/>
        <v>-3117.0709999999999</v>
      </c>
      <c r="AM18" s="2">
        <f t="shared" si="35"/>
        <v>-3766.5692215751042</v>
      </c>
      <c r="AN18" s="2">
        <f t="shared" si="35"/>
        <v>-5040.1227817871113</v>
      </c>
      <c r="AO18" s="2">
        <f t="shared" si="35"/>
        <v>-8960.6945934003525</v>
      </c>
    </row>
    <row r="19" spans="1:41" ht="14.25" customHeight="1" collapsed="1" x14ac:dyDescent="0.35">
      <c r="A19" s="22"/>
      <c r="B19" s="37" t="s">
        <v>126</v>
      </c>
      <c r="C19" s="38" t="s">
        <v>186</v>
      </c>
      <c r="D19" s="38" t="s">
        <v>186</v>
      </c>
      <c r="E19" s="38" t="s">
        <v>186</v>
      </c>
      <c r="F19" s="38" t="s">
        <v>186</v>
      </c>
      <c r="G19" s="38" t="s">
        <v>186</v>
      </c>
      <c r="H19" s="38" t="s">
        <v>186</v>
      </c>
      <c r="I19" s="38" t="s">
        <v>186</v>
      </c>
      <c r="J19" s="38" t="s">
        <v>186</v>
      </c>
      <c r="K19" s="38">
        <f t="shared" ref="K19" si="36">K18-K11</f>
        <v>-275.76912481342902</v>
      </c>
      <c r="L19" s="38">
        <f t="shared" ref="L19:Z19" si="37">L18-L11</f>
        <v>-319.08806786853302</v>
      </c>
      <c r="M19" s="38">
        <f t="shared" si="37"/>
        <v>-310.47587192803786</v>
      </c>
      <c r="N19" s="38">
        <f t="shared" si="37"/>
        <v>-347.23231661000023</v>
      </c>
      <c r="O19" s="38">
        <f t="shared" si="37"/>
        <v>-538.5676277</v>
      </c>
      <c r="P19" s="38">
        <f t="shared" si="37"/>
        <v>-423.35442929999988</v>
      </c>
      <c r="Q19" s="38">
        <f t="shared" si="37"/>
        <v>-507.08544375999992</v>
      </c>
      <c r="R19" s="38">
        <f t="shared" si="37"/>
        <v>-485.32113024999995</v>
      </c>
      <c r="S19" s="38">
        <f>S18-S11</f>
        <v>-447.92265168000006</v>
      </c>
      <c r="T19" s="38">
        <f t="shared" si="37"/>
        <v>-528.81097008999996</v>
      </c>
      <c r="U19" s="38">
        <f t="shared" si="37"/>
        <v>-558.01325437000003</v>
      </c>
      <c r="V19" s="38">
        <f>V18-V11</f>
        <v>-551.82641412510395</v>
      </c>
      <c r="W19" s="38">
        <f t="shared" si="37"/>
        <v>-658.47186135999982</v>
      </c>
      <c r="X19" s="38">
        <f t="shared" si="37"/>
        <v>-525.69843298604883</v>
      </c>
      <c r="Y19" s="38">
        <f t="shared" si="37"/>
        <v>-831.60169522837793</v>
      </c>
      <c r="Z19" s="38">
        <f t="shared" si="37"/>
        <v>-906.51054096268524</v>
      </c>
      <c r="AA19" s="38">
        <v>-1001.1233162089954</v>
      </c>
      <c r="AB19" s="38">
        <v>-1203.2737702159438</v>
      </c>
      <c r="AC19" s="38">
        <v>-1369.3883469122861</v>
      </c>
      <c r="AD19" s="38">
        <v>-1689.8939370931271</v>
      </c>
      <c r="AE19" s="38">
        <f t="shared" ref="AE19" si="38">AE18-AE11</f>
        <v>-1780.229117961032</v>
      </c>
      <c r="AF19" s="38">
        <f t="shared" ref="AF19:AG19" si="39">AF18-AF11</f>
        <v>-2102.7844759936779</v>
      </c>
      <c r="AG19" s="38">
        <f t="shared" si="39"/>
        <v>-2230.5998290503194</v>
      </c>
      <c r="AI19" s="38" t="s">
        <v>186</v>
      </c>
      <c r="AJ19" s="38" t="s">
        <v>186</v>
      </c>
      <c r="AK19" s="38">
        <f t="shared" ref="AK19:AO19" si="40">AK18-AK11</f>
        <v>-1252.5653812200001</v>
      </c>
      <c r="AL19" s="38">
        <f t="shared" si="40"/>
        <v>-1954.3286310099998</v>
      </c>
      <c r="AM19" s="38">
        <f t="shared" si="40"/>
        <v>-2086.5732902651043</v>
      </c>
      <c r="AN19" s="38">
        <f t="shared" si="40"/>
        <v>-2922.2825305371111</v>
      </c>
      <c r="AO19" s="38">
        <f t="shared" si="40"/>
        <v>-5263.6793704303527</v>
      </c>
    </row>
    <row r="20" spans="1:41" ht="14.25" hidden="1" customHeight="1" outlineLevel="1" x14ac:dyDescent="0.35">
      <c r="A20" s="22"/>
      <c r="B20" s="7" t="s">
        <v>71</v>
      </c>
      <c r="C20" s="4">
        <v>-3.8193371600000008</v>
      </c>
      <c r="D20" s="4">
        <v>-4.3005770799999983</v>
      </c>
      <c r="E20" s="4">
        <v>-4.8432917900000012</v>
      </c>
      <c r="F20" s="4">
        <v>-5.6170832900000027</v>
      </c>
      <c r="G20" s="4">
        <v>-6.2863829999999998</v>
      </c>
      <c r="H20" s="4">
        <v>-7.0978070000000004</v>
      </c>
      <c r="I20" s="4">
        <v>-8.228076999999999</v>
      </c>
      <c r="J20" s="4">
        <v>-9.6336809999999993</v>
      </c>
      <c r="K20" s="4">
        <v>-10.739059286122002</v>
      </c>
      <c r="L20" s="4">
        <v>-11.933667379328</v>
      </c>
      <c r="M20" s="4">
        <v>-13.492266995413001</v>
      </c>
      <c r="N20" s="4">
        <v>-15.406494519136968</v>
      </c>
      <c r="O20" s="4">
        <v>-18.006200776278</v>
      </c>
      <c r="P20" s="4">
        <v>-20.540659115095991</v>
      </c>
      <c r="Q20" s="4">
        <v>-23.925763707406396</v>
      </c>
      <c r="R20" s="4">
        <v>-32.889000000000003</v>
      </c>
      <c r="S20" s="4">
        <v>-26.4</v>
      </c>
      <c r="T20" s="4">
        <v>-21.7</v>
      </c>
      <c r="U20" s="4">
        <v>-34.1</v>
      </c>
      <c r="V20" s="4">
        <v>-46.099999999999994</v>
      </c>
      <c r="W20" s="4">
        <v>-59.6</v>
      </c>
      <c r="X20" s="4">
        <v>-81.400000000000006</v>
      </c>
      <c r="Y20" s="4">
        <v>-101.52798060813829</v>
      </c>
      <c r="Z20" s="4">
        <v>-133.82178216510505</v>
      </c>
      <c r="AA20" s="4">
        <v>-158.29787135049457</v>
      </c>
      <c r="AB20" s="4">
        <v>-181.52033899584535</v>
      </c>
      <c r="AC20" s="4">
        <v>-203.27671777909396</v>
      </c>
      <c r="AD20" s="4">
        <v>-225.5</v>
      </c>
      <c r="AE20" s="4">
        <v>-249.02219570682448</v>
      </c>
      <c r="AF20" s="4">
        <v>-280.56612036482954</v>
      </c>
      <c r="AG20" s="4">
        <v>-294.41611663115395</v>
      </c>
      <c r="AI20" s="4">
        <f t="shared" ref="AI20" si="41">SUM(C20:F20)</f>
        <v>-18.580289320000006</v>
      </c>
      <c r="AJ20" s="4">
        <f>SUM(G20:J20)</f>
        <v>-31.245947999999999</v>
      </c>
      <c r="AK20" s="4">
        <f>SUM(K20:N20)</f>
        <v>-51.571488179999974</v>
      </c>
      <c r="AL20" s="4">
        <f t="shared" ref="AL20" si="42">SUM(O20:R20)</f>
        <v>-95.361623598780398</v>
      </c>
      <c r="AM20" s="4">
        <f t="shared" ref="AM20" si="43">SUM(S20:V20)</f>
        <v>-128.29999999999998</v>
      </c>
      <c r="AN20" s="4">
        <f t="shared" ref="AN20:AN21" si="44">SUM(W20:Z20)</f>
        <v>-376.34976277324336</v>
      </c>
      <c r="AO20" s="4">
        <f t="shared" ref="AO20:AO21" si="45">SUM(AA20:AD20)</f>
        <v>-768.59492812543385</v>
      </c>
    </row>
    <row r="21" spans="1:41" ht="14.25" customHeight="1" collapsed="1" x14ac:dyDescent="0.35">
      <c r="A21" s="62"/>
      <c r="B21" s="16" t="s">
        <v>232</v>
      </c>
      <c r="C21" s="2" t="s">
        <v>186</v>
      </c>
      <c r="D21" s="2" t="s">
        <v>186</v>
      </c>
      <c r="E21" s="2" t="s">
        <v>186</v>
      </c>
      <c r="F21" s="2" t="s">
        <v>186</v>
      </c>
      <c r="G21" s="2" t="s">
        <v>186</v>
      </c>
      <c r="H21" s="2" t="s">
        <v>186</v>
      </c>
      <c r="I21" s="2" t="s">
        <v>186</v>
      </c>
      <c r="J21" s="2" t="s">
        <v>186</v>
      </c>
      <c r="K21" s="2" t="s">
        <v>186</v>
      </c>
      <c r="L21" s="2" t="s">
        <v>186</v>
      </c>
      <c r="M21" s="2" t="s">
        <v>186</v>
      </c>
      <c r="N21" s="2" t="s">
        <v>186</v>
      </c>
      <c r="O21" s="2" t="s">
        <v>186</v>
      </c>
      <c r="P21" s="2" t="s">
        <v>186</v>
      </c>
      <c r="Q21" s="2" t="s">
        <v>186</v>
      </c>
      <c r="R21" s="2" t="s">
        <v>186</v>
      </c>
      <c r="S21" s="2" t="s">
        <v>186</v>
      </c>
      <c r="T21" s="2" t="s">
        <v>186</v>
      </c>
      <c r="U21" s="2" t="s">
        <v>186</v>
      </c>
      <c r="V21" s="2" t="s">
        <v>186</v>
      </c>
      <c r="W21" s="2">
        <v>497.53100000000023</v>
      </c>
      <c r="X21" s="2">
        <v>452.10128089395107</v>
      </c>
      <c r="Y21" s="2">
        <v>428.9713350097602</v>
      </c>
      <c r="Z21" s="2">
        <v>643.70230460241999</v>
      </c>
      <c r="AA21" s="2">
        <v>493.40207675149901</v>
      </c>
      <c r="AB21" s="2">
        <v>520.88514946198165</v>
      </c>
      <c r="AC21" s="2">
        <v>597.28717040680783</v>
      </c>
      <c r="AD21" s="2">
        <v>567.76400582687268</v>
      </c>
      <c r="AE21" s="2">
        <v>637.10714792054273</v>
      </c>
      <c r="AF21" s="2">
        <v>687.30013001265411</v>
      </c>
      <c r="AG21" s="2">
        <v>686.08334457708406</v>
      </c>
      <c r="AI21" s="2" t="s">
        <v>186</v>
      </c>
      <c r="AJ21" s="2" t="s">
        <v>186</v>
      </c>
      <c r="AK21" s="2" t="s">
        <v>186</v>
      </c>
      <c r="AL21" s="2" t="s">
        <v>186</v>
      </c>
      <c r="AM21" s="2" t="s">
        <v>186</v>
      </c>
      <c r="AN21" s="2">
        <f t="shared" si="44"/>
        <v>2022.3059205061313</v>
      </c>
      <c r="AO21" s="2">
        <f t="shared" si="45"/>
        <v>2179.3384024471611</v>
      </c>
    </row>
    <row r="22" spans="1:41" ht="14.25" customHeight="1" collapsed="1" x14ac:dyDescent="0.35">
      <c r="A22" s="22"/>
      <c r="B22" s="16" t="s">
        <v>127</v>
      </c>
      <c r="C22" s="2">
        <f t="shared" ref="C22:F22" si="46">C10+C18</f>
        <v>17.941100230178606</v>
      </c>
      <c r="D22" s="2">
        <f t="shared" si="46"/>
        <v>6.3546719928700099</v>
      </c>
      <c r="E22" s="2">
        <f t="shared" si="46"/>
        <v>8.2445716897251486</v>
      </c>
      <c r="F22" s="2">
        <f t="shared" si="46"/>
        <v>7.7730417795243056</v>
      </c>
      <c r="G22" s="2">
        <f t="shared" ref="G22:R22" si="47">G10+G18</f>
        <v>34.819404529999986</v>
      </c>
      <c r="H22" s="2">
        <f t="shared" si="47"/>
        <v>32.297935679999966</v>
      </c>
      <c r="I22" s="2">
        <f t="shared" si="47"/>
        <v>49.054479170000008</v>
      </c>
      <c r="J22" s="2">
        <f t="shared" si="47"/>
        <v>39.192942589999802</v>
      </c>
      <c r="K22" s="2">
        <f t="shared" si="47"/>
        <v>82.177573666570993</v>
      </c>
      <c r="L22" s="2">
        <f t="shared" si="47"/>
        <v>116.40521316146703</v>
      </c>
      <c r="M22" s="2">
        <f t="shared" si="47"/>
        <v>214.67401441196216</v>
      </c>
      <c r="N22" s="2">
        <f t="shared" si="47"/>
        <v>270.24719875999972</v>
      </c>
      <c r="O22" s="2">
        <f t="shared" si="47"/>
        <v>162.99899999999991</v>
      </c>
      <c r="P22" s="2">
        <f t="shared" si="47"/>
        <v>312.74800000000005</v>
      </c>
      <c r="Q22" s="2">
        <f t="shared" si="47"/>
        <v>320.53399999999999</v>
      </c>
      <c r="R22" s="2">
        <f t="shared" si="47"/>
        <v>421.33999999999992</v>
      </c>
      <c r="S22" s="2">
        <f t="shared" ref="S22:U22" si="48">S10+S18</f>
        <v>449.37700000000018</v>
      </c>
      <c r="T22" s="2">
        <f t="shared" si="48"/>
        <v>461.12299999999993</v>
      </c>
      <c r="U22" s="2">
        <f t="shared" si="48"/>
        <v>467.899</v>
      </c>
      <c r="V22" s="2">
        <f t="shared" ref="V22:Z22" si="49">V10+V18</f>
        <v>533.8968114248969</v>
      </c>
      <c r="W22" s="2">
        <f t="shared" si="49"/>
        <v>496.15400000000022</v>
      </c>
      <c r="X22" s="2">
        <f t="shared" si="49"/>
        <v>412.43657150395109</v>
      </c>
      <c r="Y22" s="2">
        <f t="shared" si="49"/>
        <v>352.19052194162191</v>
      </c>
      <c r="Z22" s="2">
        <f t="shared" si="49"/>
        <v>513.76967766731491</v>
      </c>
      <c r="AA22" s="2">
        <v>360.35202627100443</v>
      </c>
      <c r="AB22" s="2">
        <v>338.14544656405633</v>
      </c>
      <c r="AC22" s="2">
        <v>421.18274212771394</v>
      </c>
      <c r="AD22" s="2">
        <v>368.31727889687272</v>
      </c>
      <c r="AE22" s="2">
        <f t="shared" ref="AE22:AI22" si="50">AE10+AE18</f>
        <v>416.47373663199187</v>
      </c>
      <c r="AF22" s="2">
        <f t="shared" ref="AF22:AG22" si="51">AF10+AF18</f>
        <v>442.70851838868975</v>
      </c>
      <c r="AG22" s="2">
        <f t="shared" si="51"/>
        <v>425.30083540989563</v>
      </c>
      <c r="AI22" s="2">
        <f t="shared" si="50"/>
        <v>40.313385692298084</v>
      </c>
      <c r="AJ22" s="2">
        <f>AJ10+AJ18</f>
        <v>155.36476196999979</v>
      </c>
      <c r="AK22" s="2">
        <f t="shared" ref="AK22:AO22" si="52">AK10+AK18</f>
        <v>683.50400000000013</v>
      </c>
      <c r="AL22" s="2">
        <f t="shared" si="52"/>
        <v>1217.6210000000001</v>
      </c>
      <c r="AM22" s="2">
        <f t="shared" si="52"/>
        <v>1912.2958114248968</v>
      </c>
      <c r="AN22" s="2">
        <f t="shared" si="52"/>
        <v>1774.5507711128885</v>
      </c>
      <c r="AO22" s="2">
        <f t="shared" si="52"/>
        <v>1487.9974938596461</v>
      </c>
    </row>
    <row r="23" spans="1:41" ht="14.25" hidden="1" customHeight="1" outlineLevel="1" x14ac:dyDescent="0.35">
      <c r="A23" s="22"/>
      <c r="B23" s="7" t="s">
        <v>29</v>
      </c>
      <c r="C23" s="4">
        <v>-1.1431675100000001</v>
      </c>
      <c r="D23" s="4">
        <v>-0.28374035999999991</v>
      </c>
      <c r="E23" s="4">
        <v>-1.7557125098400002</v>
      </c>
      <c r="F23" s="4">
        <v>0.59567500983999999</v>
      </c>
      <c r="G23" s="4">
        <v>-4.7708301990189694</v>
      </c>
      <c r="H23" s="4">
        <v>-1.9897978813477557</v>
      </c>
      <c r="I23" s="4">
        <v>-9.036523271281256</v>
      </c>
      <c r="J23" s="4">
        <v>8.3661513516479804</v>
      </c>
      <c r="K23" s="4">
        <v>-19.084636230000001</v>
      </c>
      <c r="L23" s="4">
        <v>-38.829201470000001</v>
      </c>
      <c r="M23" s="4">
        <v>-66.204162299999993</v>
      </c>
      <c r="N23" s="4">
        <v>-90.86999999999999</v>
      </c>
      <c r="O23" s="4">
        <v>-20.934674010000002</v>
      </c>
      <c r="P23" s="4">
        <v>-99.257999999999996</v>
      </c>
      <c r="Q23" s="4">
        <v>-40.067</v>
      </c>
      <c r="R23" s="4">
        <v>-20.623999999999999</v>
      </c>
      <c r="S23" s="4">
        <v>-50.14</v>
      </c>
      <c r="T23" s="4">
        <v>-1.349</v>
      </c>
      <c r="U23" s="4">
        <v>12.515000000000001</v>
      </c>
      <c r="V23" s="4">
        <v>14.503</v>
      </c>
      <c r="W23" s="4">
        <v>-3.8010000000000002</v>
      </c>
      <c r="X23" s="4">
        <v>-17.967309220000001</v>
      </c>
      <c r="Y23" s="4">
        <v>-13.348372850000001</v>
      </c>
      <c r="Z23" s="4">
        <v>-27.72347838</v>
      </c>
      <c r="AA23" s="4">
        <v>-19.966078590000002</v>
      </c>
      <c r="AB23" s="4">
        <v>-1.6723257500000024</v>
      </c>
      <c r="AC23" s="4">
        <v>-7.6513361499999979</v>
      </c>
      <c r="AD23" s="4">
        <v>-90.511513999999991</v>
      </c>
      <c r="AE23" s="4">
        <v>-28.651031939999999</v>
      </c>
      <c r="AF23" s="4">
        <v>0.52970634000000061</v>
      </c>
      <c r="AG23" s="4">
        <v>1.6036812300000012</v>
      </c>
      <c r="AI23" s="4">
        <f t="shared" ref="AI23:AI24" si="53">SUM(C23:F23)</f>
        <v>-2.5869453700000005</v>
      </c>
      <c r="AJ23" s="4">
        <f t="shared" ref="AJ23:AJ24" si="54">SUM(G23:J23)</f>
        <v>-7.4310000000000009</v>
      </c>
      <c r="AK23" s="4">
        <f t="shared" ref="AK23:AK24" si="55">SUM(K23:N23)</f>
        <v>-214.988</v>
      </c>
      <c r="AL23" s="4">
        <f t="shared" ref="AL23:AL24" si="56">SUM(O23:R23)</f>
        <v>-180.88367400999999</v>
      </c>
      <c r="AM23" s="4">
        <f t="shared" ref="AM23:AM24" si="57">SUM(S23:V23)</f>
        <v>-24.470999999999997</v>
      </c>
      <c r="AN23" s="4">
        <f t="shared" ref="AN23:AN24" si="58">SUM(W23:Z23)</f>
        <v>-62.840160449999999</v>
      </c>
      <c r="AO23" s="4">
        <f t="shared" ref="AO23:AO24" si="59">SUM(AA23:AD23)</f>
        <v>-119.80125448999999</v>
      </c>
    </row>
    <row r="24" spans="1:41" ht="14.25" hidden="1" customHeight="1" outlineLevel="1" x14ac:dyDescent="0.35">
      <c r="A24" s="22"/>
      <c r="B24" s="7" t="s">
        <v>28</v>
      </c>
      <c r="C24" s="4">
        <v>-7.1085129400003208E-2</v>
      </c>
      <c r="D24" s="4">
        <v>0.32443608519999667</v>
      </c>
      <c r="E24" s="4">
        <v>-0.24472748616000331</v>
      </c>
      <c r="F24" s="4">
        <v>-2.2485672534898469</v>
      </c>
      <c r="G24" s="4">
        <v>-3.6460893558455116</v>
      </c>
      <c r="H24" s="4">
        <v>-4.6721100695445772</v>
      </c>
      <c r="I24" s="4">
        <v>-2.7254285370899214</v>
      </c>
      <c r="J24" s="4">
        <v>-9.1057714211799912</v>
      </c>
      <c r="K24" s="4">
        <v>-2.4682446299999996</v>
      </c>
      <c r="L24" s="4">
        <v>4.6454753000000011</v>
      </c>
      <c r="M24" s="4">
        <v>-1.0732306699999998</v>
      </c>
      <c r="N24" s="4">
        <v>9.1739999999999977</v>
      </c>
      <c r="O24" s="4">
        <v>6.391</v>
      </c>
      <c r="P24" s="4">
        <v>14.117000000000001</v>
      </c>
      <c r="Q24" s="4">
        <v>-48.908000000000001</v>
      </c>
      <c r="R24" s="4">
        <v>-97.930999999999997</v>
      </c>
      <c r="S24" s="4">
        <v>-89.503</v>
      </c>
      <c r="T24" s="4">
        <v>-137.017</v>
      </c>
      <c r="U24" s="4">
        <v>-138.054</v>
      </c>
      <c r="V24" s="4">
        <v>-156.46899999999999</v>
      </c>
      <c r="W24" s="4">
        <v>-135.43899999999999</v>
      </c>
      <c r="X24" s="4">
        <v>-98.156919869999996</v>
      </c>
      <c r="Y24" s="4">
        <v>-75.412201460000006</v>
      </c>
      <c r="Z24" s="4">
        <v>-110.54397760000001</v>
      </c>
      <c r="AA24" s="4">
        <v>-69.059258419999992</v>
      </c>
      <c r="AB24" s="4">
        <v>-64.36070024</v>
      </c>
      <c r="AC24" s="4">
        <v>-91.983405050000002</v>
      </c>
      <c r="AD24" s="4">
        <v>23.460945910000007</v>
      </c>
      <c r="AE24" s="4">
        <v>-37.900848530000005</v>
      </c>
      <c r="AF24" s="4">
        <v>-76.316719479999989</v>
      </c>
      <c r="AG24" s="4">
        <v>-46.617143819999995</v>
      </c>
      <c r="AI24" s="4">
        <f t="shared" si="53"/>
        <v>-2.2399437838498568</v>
      </c>
      <c r="AJ24" s="4">
        <f t="shared" si="54"/>
        <v>-20.149399383660004</v>
      </c>
      <c r="AK24" s="4">
        <f t="shared" si="55"/>
        <v>10.277999999999999</v>
      </c>
      <c r="AL24" s="4">
        <f t="shared" si="56"/>
        <v>-126.33099999999999</v>
      </c>
      <c r="AM24" s="4">
        <f t="shared" si="57"/>
        <v>-521.04299999999989</v>
      </c>
      <c r="AN24" s="4">
        <f t="shared" si="58"/>
        <v>-419.55209893</v>
      </c>
      <c r="AO24" s="4">
        <f t="shared" si="59"/>
        <v>-201.94241779999999</v>
      </c>
    </row>
    <row r="25" spans="1:41" ht="14.25" customHeight="1" collapsed="1" x14ac:dyDescent="0.35">
      <c r="A25" s="22"/>
      <c r="B25" s="16" t="s">
        <v>128</v>
      </c>
      <c r="C25" s="2">
        <f t="shared" ref="C25:F25" si="60">SUM(C23:C24)</f>
        <v>-1.2142526394000033</v>
      </c>
      <c r="D25" s="2">
        <f t="shared" si="60"/>
        <v>4.0695725199996757E-2</v>
      </c>
      <c r="E25" s="2">
        <f t="shared" si="60"/>
        <v>-2.0004399960000034</v>
      </c>
      <c r="F25" s="2">
        <f t="shared" si="60"/>
        <v>-1.652892243649847</v>
      </c>
      <c r="G25" s="2">
        <f t="shared" ref="G25:U25" si="61">SUM(G23:G24)</f>
        <v>-8.4169195548644815</v>
      </c>
      <c r="H25" s="2">
        <f t="shared" si="61"/>
        <v>-6.6619079508923331</v>
      </c>
      <c r="I25" s="2">
        <f t="shared" si="61"/>
        <v>-11.761951808371178</v>
      </c>
      <c r="J25" s="2">
        <f t="shared" si="61"/>
        <v>-0.73962006953201076</v>
      </c>
      <c r="K25" s="2">
        <f t="shared" si="61"/>
        <v>-21.552880860000002</v>
      </c>
      <c r="L25" s="2">
        <f t="shared" si="61"/>
        <v>-34.18372617</v>
      </c>
      <c r="M25" s="2">
        <f t="shared" si="61"/>
        <v>-67.277392969999994</v>
      </c>
      <c r="N25" s="2">
        <f t="shared" si="61"/>
        <v>-81.695999999999998</v>
      </c>
      <c r="O25" s="2">
        <f t="shared" si="61"/>
        <v>-14.543674010000002</v>
      </c>
      <c r="P25" s="2">
        <f t="shared" si="61"/>
        <v>-85.140999999999991</v>
      </c>
      <c r="Q25" s="2">
        <f t="shared" si="61"/>
        <v>-88.974999999999994</v>
      </c>
      <c r="R25" s="2">
        <f t="shared" si="61"/>
        <v>-118.55499999999999</v>
      </c>
      <c r="S25" s="2">
        <f t="shared" si="61"/>
        <v>-139.643</v>
      </c>
      <c r="T25" s="2">
        <f t="shared" si="61"/>
        <v>-138.36599999999999</v>
      </c>
      <c r="U25" s="2">
        <f t="shared" si="61"/>
        <v>-125.539</v>
      </c>
      <c r="V25" s="2">
        <f t="shared" ref="V25:Z25" si="62">SUM(V23:V24)</f>
        <v>-141.96600000000001</v>
      </c>
      <c r="W25" s="2">
        <f t="shared" si="62"/>
        <v>-139.23999999999998</v>
      </c>
      <c r="X25" s="2">
        <f t="shared" si="62"/>
        <v>-116.12422909</v>
      </c>
      <c r="Y25" s="2">
        <f t="shared" si="62"/>
        <v>-88.76057431000001</v>
      </c>
      <c r="Z25" s="2">
        <f t="shared" si="62"/>
        <v>-138.26745597999999</v>
      </c>
      <c r="AA25" s="2">
        <v>-89.025337009999987</v>
      </c>
      <c r="AB25" s="2">
        <v>-66.033025989999999</v>
      </c>
      <c r="AC25" s="2">
        <v>-99.634741199999993</v>
      </c>
      <c r="AD25" s="2">
        <v>-67.050568089999985</v>
      </c>
      <c r="AE25" s="2">
        <f t="shared" ref="AE25" si="63">SUM(AE23:AE24)</f>
        <v>-66.55188047</v>
      </c>
      <c r="AF25" s="2">
        <f t="shared" ref="AF25:AG25" si="64">SUM(AF23:AF24)</f>
        <v>-75.787013139999985</v>
      </c>
      <c r="AG25" s="2">
        <f t="shared" si="64"/>
        <v>-45.013462589999996</v>
      </c>
      <c r="AI25" s="2">
        <f t="shared" ref="AI25" si="65">SUM(AI23:AI24)</f>
        <v>-4.8268891538498568</v>
      </c>
      <c r="AJ25" s="2">
        <f t="shared" ref="AJ25:AO25" si="66">SUM(AJ23:AJ24)</f>
        <v>-27.580399383660005</v>
      </c>
      <c r="AK25" s="2">
        <f t="shared" si="66"/>
        <v>-204.71</v>
      </c>
      <c r="AL25" s="2">
        <f t="shared" si="66"/>
        <v>-307.21467400999995</v>
      </c>
      <c r="AM25" s="2">
        <f t="shared" si="66"/>
        <v>-545.5139999999999</v>
      </c>
      <c r="AN25" s="2">
        <f t="shared" si="66"/>
        <v>-482.39225937999998</v>
      </c>
      <c r="AO25" s="2">
        <f t="shared" si="66"/>
        <v>-321.74367228999995</v>
      </c>
    </row>
    <row r="26" spans="1:41" ht="14.25" customHeight="1" x14ac:dyDescent="0.35">
      <c r="A26" s="22"/>
      <c r="B26" s="14" t="s">
        <v>129</v>
      </c>
      <c r="C26" s="15">
        <f t="shared" ref="C26:F26" si="67">C22+C25</f>
        <v>16.726847590778604</v>
      </c>
      <c r="D26" s="15">
        <f t="shared" si="67"/>
        <v>6.3953677180700064</v>
      </c>
      <c r="E26" s="15">
        <f t="shared" si="67"/>
        <v>6.2441316937251452</v>
      </c>
      <c r="F26" s="15">
        <f t="shared" si="67"/>
        <v>6.1201495358744591</v>
      </c>
      <c r="G26" s="15">
        <f t="shared" ref="G26:U26" si="68">G22+G25</f>
        <v>26.402484975135504</v>
      </c>
      <c r="H26" s="15">
        <f t="shared" si="68"/>
        <v>25.636027729107632</v>
      </c>
      <c r="I26" s="15">
        <f t="shared" si="68"/>
        <v>37.292527361628828</v>
      </c>
      <c r="J26" s="15">
        <f t="shared" si="68"/>
        <v>38.453322520467793</v>
      </c>
      <c r="K26" s="15">
        <f t="shared" si="68"/>
        <v>60.624692806570991</v>
      </c>
      <c r="L26" s="15">
        <f t="shared" si="68"/>
        <v>82.221486991467032</v>
      </c>
      <c r="M26" s="15">
        <f t="shared" si="68"/>
        <v>147.39662144196217</v>
      </c>
      <c r="N26" s="15">
        <f t="shared" si="68"/>
        <v>188.55119875999972</v>
      </c>
      <c r="O26" s="15">
        <f t="shared" si="68"/>
        <v>148.45532598999992</v>
      </c>
      <c r="P26" s="15">
        <f t="shared" si="68"/>
        <v>227.60700000000006</v>
      </c>
      <c r="Q26" s="15">
        <f t="shared" si="68"/>
        <v>231.559</v>
      </c>
      <c r="R26" s="15">
        <f t="shared" si="68"/>
        <v>302.78499999999991</v>
      </c>
      <c r="S26" s="15">
        <f t="shared" si="68"/>
        <v>309.73400000000015</v>
      </c>
      <c r="T26" s="15">
        <f t="shared" si="68"/>
        <v>322.75699999999995</v>
      </c>
      <c r="U26" s="15">
        <f t="shared" si="68"/>
        <v>342.36</v>
      </c>
      <c r="V26" s="15">
        <f t="shared" ref="V26:Z26" si="69">V22+V25</f>
        <v>391.93081142489689</v>
      </c>
      <c r="W26" s="15">
        <f t="shared" si="69"/>
        <v>356.91400000000021</v>
      </c>
      <c r="X26" s="15">
        <f t="shared" si="69"/>
        <v>296.31234241395111</v>
      </c>
      <c r="Y26" s="15">
        <f t="shared" si="69"/>
        <v>263.42994763162187</v>
      </c>
      <c r="Z26" s="15">
        <f t="shared" si="69"/>
        <v>375.50222168731489</v>
      </c>
      <c r="AA26" s="15">
        <v>271.32668926100445</v>
      </c>
      <c r="AB26" s="15">
        <v>272.11242057405633</v>
      </c>
      <c r="AC26" s="15">
        <v>321.54800092771393</v>
      </c>
      <c r="AD26" s="15">
        <v>301.26671080687277</v>
      </c>
      <c r="AE26" s="15">
        <f t="shared" ref="AE26" si="70">AE22+AE25</f>
        <v>349.92185616199185</v>
      </c>
      <c r="AF26" s="15">
        <f t="shared" ref="AF26:AG26" si="71">AF22+AF25</f>
        <v>366.92150524868975</v>
      </c>
      <c r="AG26" s="15">
        <f t="shared" si="71"/>
        <v>380.28737281989561</v>
      </c>
      <c r="AI26" s="15">
        <f t="shared" ref="AI26" si="72">AI22+AI25</f>
        <v>35.486496538448229</v>
      </c>
      <c r="AJ26" s="15">
        <f t="shared" ref="AJ26:AO26" si="73">AJ22+AJ25</f>
        <v>127.78436258633978</v>
      </c>
      <c r="AK26" s="15">
        <f t="shared" si="73"/>
        <v>478.7940000000001</v>
      </c>
      <c r="AL26" s="15">
        <f t="shared" si="73"/>
        <v>910.40632599000014</v>
      </c>
      <c r="AM26" s="15">
        <f t="shared" si="73"/>
        <v>1366.7818114248969</v>
      </c>
      <c r="AN26" s="15">
        <f t="shared" si="73"/>
        <v>1292.1585117328884</v>
      </c>
      <c r="AO26" s="15">
        <f t="shared" si="73"/>
        <v>1166.2538215696461</v>
      </c>
    </row>
    <row r="27" spans="1:41" ht="14.25" customHeight="1" x14ac:dyDescent="0.35">
      <c r="B27" s="7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41" ht="14.25" hidden="1" customHeight="1" x14ac:dyDescent="0.35">
      <c r="B28" s="7"/>
      <c r="C28" s="7"/>
      <c r="D28" s="7"/>
      <c r="E28" s="7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41" ht="14.25" hidden="1" customHeight="1" x14ac:dyDescent="0.35">
      <c r="B29" s="7"/>
      <c r="C29" s="7"/>
      <c r="D29" s="7"/>
      <c r="E29" s="7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41" ht="14.25" hidden="1" customHeight="1" x14ac:dyDescent="0.35">
      <c r="B30" s="7"/>
      <c r="C30" s="7"/>
      <c r="D30" s="7"/>
      <c r="E30" s="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41" ht="14.25" hidden="1" customHeight="1" x14ac:dyDescent="0.35">
      <c r="B31" s="7"/>
      <c r="C31" s="7"/>
      <c r="D31" s="7"/>
      <c r="E31" s="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41" ht="14.25" hidden="1" customHeight="1" x14ac:dyDescent="0.35">
      <c r="B32" s="7"/>
      <c r="C32" s="7"/>
      <c r="D32" s="7"/>
      <c r="E32" s="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ht="14.25" hidden="1" customHeight="1" x14ac:dyDescent="0.35">
      <c r="B33" s="7"/>
      <c r="C33" s="7"/>
      <c r="D33" s="7"/>
      <c r="E33" s="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ht="14.25" hidden="1" customHeight="1" x14ac:dyDescent="0.35">
      <c r="B34" s="7"/>
      <c r="C34" s="7"/>
      <c r="D34" s="7"/>
      <c r="E34" s="7"/>
      <c r="F34" s="7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ht="14.25" hidden="1" customHeight="1" x14ac:dyDescent="0.35">
      <c r="B35" s="7"/>
      <c r="C35" s="7"/>
      <c r="D35" s="7"/>
      <c r="E35" s="7"/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ht="14.25" hidden="1" customHeight="1" x14ac:dyDescent="0.35">
      <c r="B36" s="7"/>
      <c r="C36" s="7"/>
      <c r="D36" s="7"/>
      <c r="E36" s="7"/>
      <c r="F36" s="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ht="14.25" hidden="1" customHeight="1" x14ac:dyDescent="0.35">
      <c r="B37" s="7"/>
      <c r="C37" s="7"/>
      <c r="D37" s="7"/>
      <c r="E37" s="7"/>
      <c r="F37" s="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ht="14.25" hidden="1" customHeight="1" x14ac:dyDescent="0.35">
      <c r="B38" s="7"/>
      <c r="C38" s="7"/>
      <c r="D38" s="7"/>
      <c r="E38" s="7"/>
      <c r="F38" s="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</sheetData>
  <phoneticPr fontId="13" type="noConversion"/>
  <hyperlinks>
    <hyperlink ref="B3" r:id="rId1" xr:uid="{9CE2F62B-9BEE-4699-8BDF-0E53DBFAD751}"/>
  </hyperlinks>
  <pageMargins left="0.511811024" right="0.511811024" top="0.78740157499999996" bottom="0.78740157499999996" header="0.31496062000000002" footer="0.31496062000000002"/>
  <pageSetup paperSize="9" orientation="portrait" r:id="rId2"/>
  <ignoredErrors>
    <ignoredError sqref="L10:Q10" formula="1"/>
    <ignoredError sqref="AN21:AO21 AL20:AO20 AK22:AO26 AK12:AO19 Y12:Z12 L12:U12 W12:X12" formula="1" formulaRange="1"/>
    <ignoredError sqref="AH6:AO11 AH21:AM21 AH12:AJ19 AH22:AJ26 AH20:AK20 C11:X11 C12:K12 V12 C18:Z19 Y10:Z10 Y6:Z9 Y11:Z11 C13:Z17 C22:Z22 C20:Z20 C25:Z26 C23:Z24 C21:V2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7C2A-5366-4067-A212-30CF22284DF3}">
  <dimension ref="A1:AP50"/>
  <sheetViews>
    <sheetView showGridLines="0" zoomScaleNormal="100" workbookViewId="0">
      <pane xSplit="2" ySplit="5" topLeftCell="J10" activePane="bottomRight" state="frozen"/>
      <selection activeCell="B6" sqref="B6"/>
      <selection pane="topRight" activeCell="B6" sqref="B6"/>
      <selection pane="bottomLeft" activeCell="B6" sqref="B6"/>
      <selection pane="bottomRight"/>
    </sheetView>
  </sheetViews>
  <sheetFormatPr defaultColWidth="0" defaultRowHeight="14.25" customHeight="1" zeroHeight="1" outlineLevelRow="1" outlineLevelCol="1" x14ac:dyDescent="0.35"/>
  <cols>
    <col min="1" max="1" width="2.54296875" style="1" customWidth="1"/>
    <col min="2" max="2" width="60.54296875" style="1" customWidth="1"/>
    <col min="3" max="22" width="10.54296875" style="1" hidden="1" customWidth="1" outlineLevel="1"/>
    <col min="23" max="23" width="10.54296875" style="1" hidden="1" customWidth="1" outlineLevel="1" collapsed="1"/>
    <col min="24" max="26" width="10.54296875" style="1" hidden="1" customWidth="1" outlineLevel="1"/>
    <col min="27" max="27" width="10.54296875" style="1" customWidth="1" collapsed="1"/>
    <col min="28" max="33" width="10.54296875" style="1" customWidth="1"/>
    <col min="34" max="34" width="2.54296875" style="1" customWidth="1"/>
    <col min="35" max="39" width="10.54296875" style="1" hidden="1" customWidth="1" outlineLevel="1"/>
    <col min="40" max="40" width="10.54296875" style="1" customWidth="1" collapsed="1"/>
    <col min="41" max="41" width="10.54296875" style="1" customWidth="1"/>
    <col min="42" max="42" width="2.54296875" style="1" customWidth="1"/>
    <col min="43" max="16384" width="10.54296875" style="1" hidden="1"/>
  </cols>
  <sheetData>
    <row r="1" spans="1:41" ht="14.25" customHeight="1" x14ac:dyDescent="0.35">
      <c r="A1" s="117" t="s">
        <v>221</v>
      </c>
      <c r="B1" s="53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</row>
    <row r="2" spans="1:41" ht="14.25" customHeight="1" x14ac:dyDescent="0.35">
      <c r="B2" s="8" t="s">
        <v>38</v>
      </c>
      <c r="C2" s="8"/>
      <c r="D2" s="8"/>
      <c r="E2" s="8"/>
      <c r="F2" s="8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 spans="1:41" ht="14.25" customHeight="1" x14ac:dyDescent="0.35">
      <c r="B3" s="11" t="s">
        <v>32</v>
      </c>
      <c r="C3" s="11"/>
      <c r="D3" s="11"/>
      <c r="E3" s="11"/>
      <c r="F3" s="11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</row>
    <row r="4" spans="1:41" ht="14.25" customHeight="1" x14ac:dyDescent="0.35"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41" ht="14.25" customHeight="1" x14ac:dyDescent="0.35">
      <c r="B5" s="27" t="s">
        <v>30</v>
      </c>
      <c r="C5" s="26" t="s">
        <v>21</v>
      </c>
      <c r="D5" s="26" t="s">
        <v>20</v>
      </c>
      <c r="E5" s="26" t="s">
        <v>19</v>
      </c>
      <c r="F5" s="26" t="s">
        <v>18</v>
      </c>
      <c r="G5" s="26" t="s">
        <v>17</v>
      </c>
      <c r="H5" s="26" t="s">
        <v>16</v>
      </c>
      <c r="I5" s="26" t="s">
        <v>15</v>
      </c>
      <c r="J5" s="26" t="s">
        <v>14</v>
      </c>
      <c r="K5" s="26" t="s">
        <v>13</v>
      </c>
      <c r="L5" s="26" t="s">
        <v>12</v>
      </c>
      <c r="M5" s="26" t="s">
        <v>11</v>
      </c>
      <c r="N5" s="26" t="s">
        <v>10</v>
      </c>
      <c r="O5" s="26" t="s">
        <v>9</v>
      </c>
      <c r="P5" s="26" t="s">
        <v>8</v>
      </c>
      <c r="Q5" s="26" t="s">
        <v>7</v>
      </c>
      <c r="R5" s="26" t="s">
        <v>6</v>
      </c>
      <c r="S5" s="26" t="s">
        <v>5</v>
      </c>
      <c r="T5" s="26" t="s">
        <v>4</v>
      </c>
      <c r="U5" s="26" t="s">
        <v>101</v>
      </c>
      <c r="V5" s="26" t="s">
        <v>102</v>
      </c>
      <c r="W5" s="26" t="s">
        <v>104</v>
      </c>
      <c r="X5" s="26" t="s">
        <v>107</v>
      </c>
      <c r="Y5" s="26" t="s">
        <v>112</v>
      </c>
      <c r="Z5" s="26" t="s">
        <v>122</v>
      </c>
      <c r="AA5" s="26" t="s">
        <v>139</v>
      </c>
      <c r="AB5" s="26" t="s">
        <v>149</v>
      </c>
      <c r="AC5" s="26" t="s">
        <v>154</v>
      </c>
      <c r="AD5" s="26" t="s">
        <v>168</v>
      </c>
      <c r="AE5" s="26" t="s">
        <v>187</v>
      </c>
      <c r="AF5" s="26" t="s">
        <v>206</v>
      </c>
      <c r="AG5" s="102" t="s">
        <v>216</v>
      </c>
      <c r="AI5" s="26">
        <v>2015</v>
      </c>
      <c r="AJ5" s="26">
        <v>2016</v>
      </c>
      <c r="AK5" s="26">
        <v>2017</v>
      </c>
      <c r="AL5" s="26">
        <v>2018</v>
      </c>
      <c r="AM5" s="26">
        <v>2019</v>
      </c>
      <c r="AN5" s="26">
        <v>2020</v>
      </c>
      <c r="AO5" s="26">
        <v>2021</v>
      </c>
    </row>
    <row r="6" spans="1:41" ht="14.25" hidden="1" customHeight="1" outlineLevel="1" x14ac:dyDescent="0.35">
      <c r="A6" s="22"/>
      <c r="B6" s="7" t="s">
        <v>3</v>
      </c>
      <c r="C6" s="4">
        <v>49.581470186539995</v>
      </c>
      <c r="D6" s="4">
        <v>58.241517991350001</v>
      </c>
      <c r="E6" s="4">
        <v>71.979082286739995</v>
      </c>
      <c r="F6" s="4">
        <v>88.395689060000109</v>
      </c>
      <c r="G6" s="4">
        <v>90.613145780000011</v>
      </c>
      <c r="H6" s="4">
        <v>105.80866744999999</v>
      </c>
      <c r="I6" s="4">
        <v>123.3718386700001</v>
      </c>
      <c r="J6" s="4">
        <v>160.23474202999981</v>
      </c>
      <c r="K6" s="4">
        <v>190.42500000000001</v>
      </c>
      <c r="L6" s="4">
        <v>256.39500000000004</v>
      </c>
      <c r="M6" s="4">
        <v>344.39500000000004</v>
      </c>
      <c r="N6" s="4">
        <v>433.04600000000005</v>
      </c>
      <c r="O6" s="4">
        <v>442.84770382999983</v>
      </c>
      <c r="P6" s="4">
        <v>515.24900212999955</v>
      </c>
      <c r="Q6" s="4">
        <v>598.93163029000027</v>
      </c>
      <c r="R6" s="4">
        <v>710.07467075000045</v>
      </c>
      <c r="S6" s="4">
        <v>712.995</v>
      </c>
      <c r="T6" s="4">
        <v>798.94899999999996</v>
      </c>
      <c r="U6" s="4">
        <v>879.27266424000004</v>
      </c>
      <c r="V6" s="4">
        <v>984.80361484000002</v>
      </c>
      <c r="W6" s="4">
        <v>966.80399999999997</v>
      </c>
      <c r="X6" s="4">
        <v>856.46195540999997</v>
      </c>
      <c r="Y6" s="4">
        <v>1211.9705374</v>
      </c>
      <c r="Z6" s="4">
        <v>1473.4825925</v>
      </c>
      <c r="AA6" s="4">
        <v>1384.9701471299998</v>
      </c>
      <c r="AB6" s="4">
        <v>1548.1273838235204</v>
      </c>
      <c r="AC6" s="4">
        <v>1792.1644711700003</v>
      </c>
      <c r="AD6" s="4">
        <v>2059.54919642</v>
      </c>
      <c r="AE6" s="4">
        <v>2054.5835353347502</v>
      </c>
      <c r="AF6" s="4">
        <v>2255.6887042754479</v>
      </c>
      <c r="AG6" s="4">
        <v>2292.0781641628746</v>
      </c>
      <c r="AI6" s="4">
        <f>SUM(C6:F6)</f>
        <v>268.1977595246301</v>
      </c>
      <c r="AJ6" s="4">
        <f>SUM(G6:J6)</f>
        <v>480.02839392999988</v>
      </c>
      <c r="AK6" s="4">
        <f>SUM(K6:N6)</f>
        <v>1224.2610000000002</v>
      </c>
      <c r="AL6" s="4">
        <f>SUM(O6:R6)</f>
        <v>2267.1030069999997</v>
      </c>
      <c r="AM6" s="4">
        <f>SUM(S6:V6)</f>
        <v>3376.0202790799999</v>
      </c>
      <c r="AN6" s="4">
        <f>SUM(W6:Z6)</f>
        <v>4508.7190853100001</v>
      </c>
      <c r="AO6" s="4">
        <f>SUM(AA6:AD6)</f>
        <v>6784.8111985435207</v>
      </c>
    </row>
    <row r="7" spans="1:41" ht="14.25" hidden="1" customHeight="1" outlineLevel="1" x14ac:dyDescent="0.35">
      <c r="A7" s="22"/>
      <c r="B7" s="7" t="s">
        <v>2</v>
      </c>
      <c r="C7" s="4">
        <v>13.91026568</v>
      </c>
      <c r="D7" s="4">
        <v>54.197047700000006</v>
      </c>
      <c r="E7" s="4">
        <v>65.836929839999996</v>
      </c>
      <c r="F7" s="4">
        <v>42.572002719999901</v>
      </c>
      <c r="G7" s="4">
        <v>43.703074489999999</v>
      </c>
      <c r="H7" s="4">
        <v>52.136641259999998</v>
      </c>
      <c r="I7" s="4">
        <v>68.38315987</v>
      </c>
      <c r="J7" s="4">
        <v>96.371432220000003</v>
      </c>
      <c r="K7" s="4">
        <v>118.438</v>
      </c>
      <c r="L7" s="4">
        <v>125.64200000000001</v>
      </c>
      <c r="M7" s="4">
        <v>117.43899999999999</v>
      </c>
      <c r="N7" s="4">
        <v>110.405</v>
      </c>
      <c r="O7" s="4">
        <v>93.98556456</v>
      </c>
      <c r="P7" s="4">
        <v>89.409169490000011</v>
      </c>
      <c r="Q7" s="4">
        <v>94.641462770000004</v>
      </c>
      <c r="R7" s="4">
        <v>96.576250179999988</v>
      </c>
      <c r="S7" s="4">
        <v>67.588999999999999</v>
      </c>
      <c r="T7" s="4">
        <v>63.454000000000001</v>
      </c>
      <c r="U7" s="4">
        <v>14.93900524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I7" s="4">
        <f t="shared" ref="AI7:AI10" si="0">SUM(C7:F7)</f>
        <v>176.51624593999992</v>
      </c>
      <c r="AJ7" s="4">
        <f t="shared" ref="AJ7:AJ10" si="1">SUM(G7:J7)</f>
        <v>260.59430784</v>
      </c>
      <c r="AK7" s="4">
        <f t="shared" ref="AK7:AK10" si="2">SUM(K7:N7)</f>
        <v>471.92399999999998</v>
      </c>
      <c r="AL7" s="4">
        <f t="shared" ref="AL7:AL10" si="3">SUM(O7:R7)</f>
        <v>374.61244699999997</v>
      </c>
      <c r="AM7" s="4">
        <f t="shared" ref="AM7:AM10" si="4">SUM(S7:V7)</f>
        <v>145.98200524000001</v>
      </c>
      <c r="AN7" s="4">
        <f t="shared" ref="AN7:AN10" si="5">SUM(W7:Z7)</f>
        <v>0</v>
      </c>
      <c r="AO7" s="4">
        <f t="shared" ref="AO7:AO10" si="6">SUM(AA7:AD7)</f>
        <v>0</v>
      </c>
    </row>
    <row r="8" spans="1:41" ht="14.25" hidden="1" customHeight="1" outlineLevel="1" x14ac:dyDescent="0.35">
      <c r="A8" s="22"/>
      <c r="B8" s="7" t="s">
        <v>1</v>
      </c>
      <c r="C8" s="4">
        <v>42.634930750000009</v>
      </c>
      <c r="D8" s="4">
        <v>47.453970449999993</v>
      </c>
      <c r="E8" s="4">
        <v>62.074962615335004</v>
      </c>
      <c r="F8" s="4">
        <v>67.29810418000001</v>
      </c>
      <c r="G8" s="4">
        <v>74.569612243494987</v>
      </c>
      <c r="H8" s="4">
        <v>93.526493696504986</v>
      </c>
      <c r="I8" s="4">
        <v>102.42858172000007</v>
      </c>
      <c r="J8" s="4">
        <v>121.90465665999997</v>
      </c>
      <c r="K8" s="4">
        <v>138.809</v>
      </c>
      <c r="L8" s="4">
        <v>172.626</v>
      </c>
      <c r="M8" s="4">
        <v>224.23100000000002</v>
      </c>
      <c r="N8" s="4">
        <v>282.95799999999997</v>
      </c>
      <c r="O8" s="4">
        <v>274.83841987</v>
      </c>
      <c r="P8" s="4">
        <v>332.59443416999989</v>
      </c>
      <c r="Q8" s="4">
        <v>387.26445024000003</v>
      </c>
      <c r="R8" s="4">
        <v>419.83509572000003</v>
      </c>
      <c r="S8" s="4">
        <v>430.50400000000002</v>
      </c>
      <c r="T8" s="4">
        <v>497.16699999999997</v>
      </c>
      <c r="U8" s="4">
        <v>537.83199999999999</v>
      </c>
      <c r="V8" s="4">
        <v>565.03480907999995</v>
      </c>
      <c r="W8" s="4">
        <v>562.26800000000003</v>
      </c>
      <c r="X8" s="4">
        <v>459.24682897999998</v>
      </c>
      <c r="Y8" s="4">
        <v>544.75552987000003</v>
      </c>
      <c r="Z8" s="4">
        <v>611.08949536</v>
      </c>
      <c r="AA8" s="4">
        <v>656.98271183999998</v>
      </c>
      <c r="AB8" s="4">
        <v>786.60893196856</v>
      </c>
      <c r="AC8" s="4">
        <v>937.74035872000002</v>
      </c>
      <c r="AD8" s="4">
        <v>1133.08032026</v>
      </c>
      <c r="AE8" s="4">
        <v>1330.7924400299999</v>
      </c>
      <c r="AF8" s="4">
        <v>1610.1014512699999</v>
      </c>
      <c r="AG8" s="4">
        <v>1697.2224831200001</v>
      </c>
      <c r="AI8" s="4">
        <f t="shared" si="0"/>
        <v>219.46196799533504</v>
      </c>
      <c r="AJ8" s="4">
        <f t="shared" si="1"/>
        <v>392.42934432000004</v>
      </c>
      <c r="AK8" s="4">
        <f t="shared" si="2"/>
        <v>818.62400000000002</v>
      </c>
      <c r="AL8" s="4">
        <f t="shared" si="3"/>
        <v>1414.5324000000001</v>
      </c>
      <c r="AM8" s="4">
        <f t="shared" si="4"/>
        <v>2030.53780908</v>
      </c>
      <c r="AN8" s="4">
        <f t="shared" si="5"/>
        <v>2177.3598542099999</v>
      </c>
      <c r="AO8" s="4">
        <f t="shared" si="6"/>
        <v>3514.4123227885602</v>
      </c>
    </row>
    <row r="9" spans="1:41" ht="14.25" hidden="1" customHeight="1" outlineLevel="1" x14ac:dyDescent="0.35">
      <c r="A9" s="22"/>
      <c r="B9" s="7" t="s">
        <v>0</v>
      </c>
      <c r="C9" s="4">
        <v>0.8477101600000001</v>
      </c>
      <c r="D9" s="4">
        <v>1.2589204200000002</v>
      </c>
      <c r="E9" s="4">
        <v>3.9606268799999995</v>
      </c>
      <c r="F9" s="4">
        <v>4.6762449899999998</v>
      </c>
      <c r="G9" s="4">
        <v>1.5326167965050099</v>
      </c>
      <c r="H9" s="4">
        <v>0.283837593494985</v>
      </c>
      <c r="I9" s="4">
        <v>1.033630829999882</v>
      </c>
      <c r="J9" s="4">
        <v>2.4862875300000797</v>
      </c>
      <c r="K9" s="4">
        <v>0.83599999999999997</v>
      </c>
      <c r="L9" s="4">
        <v>2.528</v>
      </c>
      <c r="M9" s="4">
        <v>0.57199999999999995</v>
      </c>
      <c r="N9" s="4">
        <v>4.6400000000000006</v>
      </c>
      <c r="O9" s="4">
        <v>26.583358219999994</v>
      </c>
      <c r="P9" s="4">
        <v>37.210449400000009</v>
      </c>
      <c r="Q9" s="4">
        <v>42.237221969999986</v>
      </c>
      <c r="R9" s="4">
        <v>41.163128340000043</v>
      </c>
      <c r="S9" s="4">
        <v>40.247999999999998</v>
      </c>
      <c r="T9" s="4">
        <v>30.175999999999998</v>
      </c>
      <c r="U9" s="4">
        <v>30.832999999999998</v>
      </c>
      <c r="V9" s="4">
        <v>25.109415309999999</v>
      </c>
      <c r="W9" s="4">
        <v>58.222999999999999</v>
      </c>
      <c r="X9" s="4">
        <v>41.73529061</v>
      </c>
      <c r="Y9" s="4">
        <v>24.747167540000003</v>
      </c>
      <c r="Z9" s="4">
        <v>3.8891552300000019</v>
      </c>
      <c r="AA9" s="4">
        <v>25.247820869999998</v>
      </c>
      <c r="AB9" s="4">
        <v>34.86230036792</v>
      </c>
      <c r="AC9" s="4">
        <v>45.860542630000005</v>
      </c>
      <c r="AD9" s="4">
        <v>43.527518220000005</v>
      </c>
      <c r="AE9" s="4">
        <v>41.575661348273591</v>
      </c>
      <c r="AF9" s="4">
        <v>44.767461206920004</v>
      </c>
      <c r="AG9" s="4">
        <v>46.125531217340701</v>
      </c>
      <c r="AI9" s="4">
        <f t="shared" si="0"/>
        <v>10.743502449999999</v>
      </c>
      <c r="AJ9" s="4">
        <f t="shared" si="1"/>
        <v>5.3363727499999563</v>
      </c>
      <c r="AK9" s="4">
        <f t="shared" si="2"/>
        <v>8.5760000000000005</v>
      </c>
      <c r="AL9" s="4">
        <f t="shared" si="3"/>
        <v>147.19415793000002</v>
      </c>
      <c r="AM9" s="4">
        <f t="shared" si="4"/>
        <v>126.36641530999999</v>
      </c>
      <c r="AN9" s="4">
        <f t="shared" si="5"/>
        <v>128.59461338000003</v>
      </c>
      <c r="AO9" s="4">
        <f t="shared" si="6"/>
        <v>149.49818208791999</v>
      </c>
    </row>
    <row r="10" spans="1:41" ht="14.25" customHeight="1" collapsed="1" x14ac:dyDescent="0.35">
      <c r="A10" s="22"/>
      <c r="B10" s="3" t="s">
        <v>123</v>
      </c>
      <c r="C10" s="2">
        <f t="shared" ref="C10:F10" si="7">SUM(C6:C9)</f>
        <v>106.97437677654001</v>
      </c>
      <c r="D10" s="2">
        <f t="shared" si="7"/>
        <v>161.15145656135002</v>
      </c>
      <c r="E10" s="2">
        <f t="shared" si="7"/>
        <v>203.85160162207501</v>
      </c>
      <c r="F10" s="2">
        <f t="shared" si="7"/>
        <v>202.94204094999998</v>
      </c>
      <c r="G10" s="2">
        <f t="shared" ref="G10:J10" si="8">SUM(G6:G9)</f>
        <v>210.41844931</v>
      </c>
      <c r="H10" s="2">
        <f t="shared" si="8"/>
        <v>251.75563999999994</v>
      </c>
      <c r="I10" s="2">
        <f t="shared" si="8"/>
        <v>295.21721109000003</v>
      </c>
      <c r="J10" s="2">
        <f t="shared" si="8"/>
        <v>380.99711843999984</v>
      </c>
      <c r="K10" s="2">
        <f>SUM(K6:K9)</f>
        <v>448.50800000000004</v>
      </c>
      <c r="L10" s="2">
        <f t="shared" ref="L10:AC10" si="9">SUM(L6:L9)</f>
        <v>557.19100000000003</v>
      </c>
      <c r="M10" s="2">
        <f t="shared" si="9"/>
        <v>686.63700000000006</v>
      </c>
      <c r="N10" s="2">
        <f t="shared" si="9"/>
        <v>831.04899999999998</v>
      </c>
      <c r="O10" s="2">
        <f t="shared" si="9"/>
        <v>838.25504647999992</v>
      </c>
      <c r="P10" s="2">
        <f t="shared" si="9"/>
        <v>974.46305518999952</v>
      </c>
      <c r="Q10" s="2">
        <f t="shared" si="9"/>
        <v>1123.0747652700004</v>
      </c>
      <c r="R10" s="2">
        <f t="shared" si="9"/>
        <v>1267.6491449900004</v>
      </c>
      <c r="S10" s="2">
        <f t="shared" si="9"/>
        <v>1251.3360000000002</v>
      </c>
      <c r="T10" s="2">
        <f t="shared" si="9"/>
        <v>1389.7459999999999</v>
      </c>
      <c r="U10" s="2">
        <f t="shared" si="9"/>
        <v>1462.8766694800001</v>
      </c>
      <c r="V10" s="2">
        <f t="shared" si="9"/>
        <v>1574.94783923</v>
      </c>
      <c r="W10" s="2">
        <f t="shared" si="9"/>
        <v>1587.2950000000001</v>
      </c>
      <c r="X10" s="2">
        <f t="shared" si="9"/>
        <v>1357.4440749999999</v>
      </c>
      <c r="Y10" s="2">
        <f t="shared" si="9"/>
        <v>1781.4732348099999</v>
      </c>
      <c r="Z10" s="2">
        <f t="shared" si="9"/>
        <v>2088.4612430900002</v>
      </c>
      <c r="AA10" s="2">
        <f t="shared" si="9"/>
        <v>2067.2006798399998</v>
      </c>
      <c r="AB10" s="2">
        <f t="shared" si="9"/>
        <v>2369.5986161600003</v>
      </c>
      <c r="AC10" s="2">
        <f t="shared" si="9"/>
        <v>2775.7653725200003</v>
      </c>
      <c r="AD10" s="2">
        <f t="shared" ref="AD10:AF10" si="10">SUM(AD6:AD9)</f>
        <v>3236.1570348999999</v>
      </c>
      <c r="AE10" s="2">
        <f t="shared" si="10"/>
        <v>3426.9516367130236</v>
      </c>
      <c r="AF10" s="2">
        <f t="shared" si="10"/>
        <v>3910.5576167523677</v>
      </c>
      <c r="AG10" s="2">
        <f t="shared" ref="AG10" si="11">SUM(AG6:AG9)</f>
        <v>4035.4261785002154</v>
      </c>
      <c r="AI10" s="2">
        <f t="shared" si="0"/>
        <v>674.91947590996506</v>
      </c>
      <c r="AJ10" s="2">
        <f t="shared" si="1"/>
        <v>1138.3884188399998</v>
      </c>
      <c r="AK10" s="2">
        <f t="shared" si="2"/>
        <v>2523.3850000000002</v>
      </c>
      <c r="AL10" s="2">
        <f t="shared" si="3"/>
        <v>4203.4420119300003</v>
      </c>
      <c r="AM10" s="2">
        <f t="shared" si="4"/>
        <v>5678.9065087099998</v>
      </c>
      <c r="AN10" s="2">
        <f t="shared" si="5"/>
        <v>6814.6735528999998</v>
      </c>
      <c r="AO10" s="2">
        <f t="shared" si="6"/>
        <v>10448.72170342</v>
      </c>
    </row>
    <row r="11" spans="1:41" ht="14.25" hidden="1" customHeight="1" outlineLevel="1" x14ac:dyDescent="0.35">
      <c r="A11" s="22"/>
      <c r="B11" s="7" t="s">
        <v>109</v>
      </c>
      <c r="C11" s="4">
        <f>SUM('PAGS | Total Costs and Expenses'!C7:C8)</f>
        <v>0</v>
      </c>
      <c r="D11" s="4">
        <f>SUM('PAGS | Total Costs and Expenses'!D7:D8)</f>
        <v>0</v>
      </c>
      <c r="E11" s="4">
        <f>SUM('PAGS | Total Costs and Expenses'!E7:E8)</f>
        <v>0</v>
      </c>
      <c r="F11" s="4">
        <f>SUM('PAGS | Total Costs and Expenses'!F7:F8)</f>
        <v>0</v>
      </c>
      <c r="G11" s="4">
        <f>SUM('PAGS | Total Costs and Expenses'!G7:G8)</f>
        <v>0</v>
      </c>
      <c r="H11" s="4">
        <f>SUM('PAGS | Total Costs and Expenses'!H7:H8)</f>
        <v>0</v>
      </c>
      <c r="I11" s="4">
        <f>SUM('PAGS | Total Costs and Expenses'!I7:I8)</f>
        <v>0</v>
      </c>
      <c r="J11" s="4">
        <f>SUM('PAGS | Total Costs and Expenses'!J7:J8)</f>
        <v>0</v>
      </c>
      <c r="K11" s="4">
        <f>SUM('PAGS | Total Costs and Expenses'!K7:K8)</f>
        <v>-90.561301520000015</v>
      </c>
      <c r="L11" s="4">
        <f>SUM('PAGS | Total Costs and Expenses'!L7:L8)</f>
        <v>-121.69771897000001</v>
      </c>
      <c r="M11" s="4">
        <f>SUM('PAGS | Total Costs and Expenses'!M7:M8)</f>
        <v>-161.48711366000003</v>
      </c>
      <c r="N11" s="4">
        <f>SUM('PAGS | Total Costs and Expenses'!N7:N8)</f>
        <v>-213.56948463000003</v>
      </c>
      <c r="O11" s="4">
        <f>SUM('PAGS | Total Costs and Expenses'!O7:O8)</f>
        <v>-226.46537230000001</v>
      </c>
      <c r="P11" s="4">
        <f>SUM('PAGS | Total Costs and Expenses'!P7:P8)</f>
        <v>-265.68257070000004</v>
      </c>
      <c r="Q11" s="4">
        <f>SUM('PAGS | Total Costs and Expenses'!Q7:Q8)</f>
        <v>-309.72155623999998</v>
      </c>
      <c r="R11" s="4">
        <f>SUM('PAGS | Total Costs and Expenses'!R7:R8)</f>
        <v>-360.87286975000001</v>
      </c>
      <c r="S11" s="4">
        <f>SUM('PAGS | Total Costs and Expenses'!S7:S8)</f>
        <v>-354.03634832</v>
      </c>
      <c r="T11" s="4">
        <f>SUM('PAGS | Total Costs and Expenses'!T7:T8)</f>
        <v>-399.81202990999998</v>
      </c>
      <c r="U11" s="4">
        <f>SUM('PAGS | Total Costs and Expenses'!U7:U8)</f>
        <v>-436.95274562999998</v>
      </c>
      <c r="V11" s="4">
        <f>SUM('PAGS | Total Costs and Expenses'!V7:V8)</f>
        <v>-489.19480744999998</v>
      </c>
      <c r="W11" s="4">
        <f>SUM('PAGS | Total Costs and Expenses'!W7:W8)</f>
        <v>-432.66913864000003</v>
      </c>
      <c r="X11" s="4">
        <f>SUM('PAGS | Total Costs and Expenses'!X7:X8)</f>
        <v>-419.30907051000003</v>
      </c>
      <c r="Y11" s="4">
        <f>SUM('PAGS | Total Costs and Expenses'!Y7:Y8)</f>
        <v>-597.68101764000005</v>
      </c>
      <c r="Z11" s="4">
        <f>SUM('PAGS | Total Costs and Expenses'!Z7:Z8)</f>
        <v>-668.18102446</v>
      </c>
      <c r="AA11" s="4">
        <v>-705.72533735999991</v>
      </c>
      <c r="AB11" s="4">
        <v>-828.1497832199999</v>
      </c>
      <c r="AC11" s="4">
        <v>-985.19428348000008</v>
      </c>
      <c r="AD11" s="4">
        <v>-1177.9458189100001</v>
      </c>
      <c r="AE11" s="4">
        <v>-1230.2487821199998</v>
      </c>
      <c r="AF11" s="4">
        <v>-1365.0646223700001</v>
      </c>
      <c r="AG11" s="4">
        <v>-1379.5255140400004</v>
      </c>
      <c r="AI11" s="4" t="s">
        <v>186</v>
      </c>
      <c r="AJ11" s="4" t="s">
        <v>186</v>
      </c>
      <c r="AK11" s="4">
        <f t="shared" ref="AK11" si="12">SUM(K11:N11)</f>
        <v>-587.31561878000002</v>
      </c>
      <c r="AL11" s="4">
        <f t="shared" ref="AL11" si="13">SUM(O11:R11)</f>
        <v>-1162.7423689900002</v>
      </c>
      <c r="AM11" s="4">
        <f t="shared" ref="AM11" si="14">SUM(S11:V11)</f>
        <v>-1679.9959313099998</v>
      </c>
      <c r="AN11" s="4">
        <f t="shared" ref="AN11" si="15">SUM(W11:Z11)</f>
        <v>-2117.8402512500002</v>
      </c>
      <c r="AO11" s="4">
        <f t="shared" ref="AO11" si="16">SUM(AA11:AD11)</f>
        <v>-3697.0152229700002</v>
      </c>
    </row>
    <row r="12" spans="1:41" ht="14.25" customHeight="1" collapsed="1" x14ac:dyDescent="0.35">
      <c r="A12" s="22"/>
      <c r="B12" s="37" t="s">
        <v>124</v>
      </c>
      <c r="C12" s="38">
        <f t="shared" ref="C12:F12" si="17">C10+C11</f>
        <v>106.97437677654001</v>
      </c>
      <c r="D12" s="38">
        <f t="shared" si="17"/>
        <v>161.15145656135002</v>
      </c>
      <c r="E12" s="38">
        <f t="shared" si="17"/>
        <v>203.85160162207501</v>
      </c>
      <c r="F12" s="38">
        <f t="shared" si="17"/>
        <v>202.94204094999998</v>
      </c>
      <c r="G12" s="38">
        <f t="shared" ref="G12:J12" si="18">G10+G11</f>
        <v>210.41844931</v>
      </c>
      <c r="H12" s="38">
        <f t="shared" si="18"/>
        <v>251.75563999999994</v>
      </c>
      <c r="I12" s="38">
        <f t="shared" si="18"/>
        <v>295.21721109000003</v>
      </c>
      <c r="J12" s="38">
        <f t="shared" si="18"/>
        <v>380.99711843999984</v>
      </c>
      <c r="K12" s="38">
        <f>K10+K11</f>
        <v>357.94669848000001</v>
      </c>
      <c r="L12" s="38">
        <f t="shared" ref="L12:AC12" si="19">L10+L11</f>
        <v>435.49328103000005</v>
      </c>
      <c r="M12" s="38">
        <f t="shared" si="19"/>
        <v>525.14988633999997</v>
      </c>
      <c r="N12" s="38">
        <f t="shared" si="19"/>
        <v>617.47951536999994</v>
      </c>
      <c r="O12" s="38">
        <f t="shared" si="19"/>
        <v>611.78967417999991</v>
      </c>
      <c r="P12" s="38">
        <f t="shared" si="19"/>
        <v>708.78048448999948</v>
      </c>
      <c r="Q12" s="38">
        <f t="shared" si="19"/>
        <v>813.35320903000047</v>
      </c>
      <c r="R12" s="38">
        <f t="shared" si="19"/>
        <v>906.77627524000036</v>
      </c>
      <c r="S12" s="38">
        <f t="shared" si="19"/>
        <v>897.29965168000024</v>
      </c>
      <c r="T12" s="38">
        <f t="shared" si="19"/>
        <v>989.93397008999989</v>
      </c>
      <c r="U12" s="38">
        <f t="shared" si="19"/>
        <v>1025.9239238500002</v>
      </c>
      <c r="V12" s="38">
        <f t="shared" si="19"/>
        <v>1085.7530317800001</v>
      </c>
      <c r="W12" s="38">
        <f t="shared" si="19"/>
        <v>1154.62586136</v>
      </c>
      <c r="X12" s="38">
        <f t="shared" si="19"/>
        <v>938.1350044899998</v>
      </c>
      <c r="Y12" s="38">
        <f t="shared" si="19"/>
        <v>1183.7922171699997</v>
      </c>
      <c r="Z12" s="38">
        <f t="shared" si="19"/>
        <v>1420.28021863</v>
      </c>
      <c r="AA12" s="38">
        <f t="shared" si="19"/>
        <v>1361.4753424799999</v>
      </c>
      <c r="AB12" s="38">
        <f t="shared" si="19"/>
        <v>1541.4488329400006</v>
      </c>
      <c r="AC12" s="38">
        <f t="shared" si="19"/>
        <v>1790.5710890400001</v>
      </c>
      <c r="AD12" s="38">
        <f t="shared" ref="AD12:AF12" si="20">AD10+AD11</f>
        <v>2058.2112159899998</v>
      </c>
      <c r="AE12" s="38">
        <f t="shared" si="20"/>
        <v>2196.7028545930239</v>
      </c>
      <c r="AF12" s="38">
        <f t="shared" si="20"/>
        <v>2545.4929943823677</v>
      </c>
      <c r="AG12" s="38">
        <f t="shared" ref="AG12" si="21">AG10+AG11</f>
        <v>2655.900664460215</v>
      </c>
      <c r="AI12" s="38" t="s">
        <v>186</v>
      </c>
      <c r="AJ12" s="38" t="s">
        <v>186</v>
      </c>
      <c r="AK12" s="38">
        <f t="shared" ref="AK12:AO12" si="22">AK10+AK11</f>
        <v>1936.0693812200002</v>
      </c>
      <c r="AL12" s="38">
        <f t="shared" si="22"/>
        <v>3040.6996429400001</v>
      </c>
      <c r="AM12" s="38">
        <f t="shared" si="22"/>
        <v>3998.9105774</v>
      </c>
      <c r="AN12" s="38">
        <f t="shared" si="22"/>
        <v>4696.8333016500001</v>
      </c>
      <c r="AO12" s="38">
        <f t="shared" si="22"/>
        <v>6751.7064804500005</v>
      </c>
    </row>
    <row r="13" spans="1:41" ht="14.25" hidden="1" customHeight="1" outlineLevel="1" x14ac:dyDescent="0.35">
      <c r="A13" s="22"/>
      <c r="B13" s="7" t="s">
        <v>23</v>
      </c>
      <c r="C13" s="4">
        <v>-46.886981641287491</v>
      </c>
      <c r="D13" s="4">
        <v>-98.812228924046991</v>
      </c>
      <c r="E13" s="4">
        <v>-126.7818063115169</v>
      </c>
      <c r="F13" s="4">
        <v>-110.00206759639946</v>
      </c>
      <c r="G13" s="4">
        <v>-115.41594878000001</v>
      </c>
      <c r="H13" s="4">
        <v>-148.03168943999998</v>
      </c>
      <c r="I13" s="4">
        <v>-171.68515238000001</v>
      </c>
      <c r="J13" s="4">
        <v>-188.53342814999999</v>
      </c>
      <c r="K13" s="4">
        <v>-242.89264449000001</v>
      </c>
      <c r="L13" s="4">
        <v>-326.97673901999997</v>
      </c>
      <c r="M13" s="4">
        <v>-348.54561648999999</v>
      </c>
      <c r="N13" s="4">
        <v>-405.9650000000002</v>
      </c>
      <c r="O13" s="4">
        <v>-406.53100000000001</v>
      </c>
      <c r="P13" s="4">
        <v>-471.44995979621228</v>
      </c>
      <c r="Q13" s="4">
        <v>-540.89803111319145</v>
      </c>
      <c r="R13" s="4">
        <v>-666.01130411462771</v>
      </c>
      <c r="S13" s="4">
        <v>-615.8730412582205</v>
      </c>
      <c r="T13" s="4">
        <v>-681.960470319264</v>
      </c>
      <c r="U13" s="4">
        <v>-664.8</v>
      </c>
      <c r="V13" s="4">
        <v>-743.13729620450999</v>
      </c>
      <c r="W13" s="4">
        <v>-766.43397315629147</v>
      </c>
      <c r="X13" s="4">
        <v>-790.95494540012396</v>
      </c>
      <c r="Y13" s="4">
        <v>-1051.9737155136054</v>
      </c>
      <c r="Z13" s="4">
        <v>-1142.8018384610759</v>
      </c>
      <c r="AA13" s="4">
        <v>-1140.3503933299999</v>
      </c>
      <c r="AB13" s="4">
        <v>-1286.7597598099994</v>
      </c>
      <c r="AC13" s="4">
        <v>-1490.5139967202215</v>
      </c>
      <c r="AD13" s="4">
        <v>-1829.6753082749597</v>
      </c>
      <c r="AE13" s="4">
        <v>-1737.2330300554286</v>
      </c>
      <c r="AF13" s="4">
        <v>-1896.279752387899</v>
      </c>
      <c r="AG13" s="4">
        <v>-1911.2215280973835</v>
      </c>
      <c r="AI13" s="4">
        <f t="shared" ref="AI13:AI17" si="23">SUM(C13:F13)</f>
        <v>-382.48308447325087</v>
      </c>
      <c r="AJ13" s="4">
        <f t="shared" ref="AJ13:AJ17" si="24">SUM(G13:J13)</f>
        <v>-623.66621874999998</v>
      </c>
      <c r="AK13" s="4">
        <f t="shared" ref="AK13:AK17" si="25">SUM(K13:N13)</f>
        <v>-1324.38</v>
      </c>
      <c r="AL13" s="4">
        <f t="shared" ref="AL13:AL17" si="26">SUM(O13:R13)</f>
        <v>-2084.8902950240317</v>
      </c>
      <c r="AM13" s="4">
        <f t="shared" ref="AM13:AM17" si="27">SUM(S13:V13)</f>
        <v>-2705.7708077819943</v>
      </c>
      <c r="AN13" s="4">
        <f t="shared" ref="AN13:AN17" si="28">SUM(W13:Z13)</f>
        <v>-3752.1644725310966</v>
      </c>
      <c r="AO13" s="4">
        <f t="shared" ref="AO13:AO17" si="29">SUM(AA13:AD13)</f>
        <v>-5747.2994581351795</v>
      </c>
    </row>
    <row r="14" spans="1:41" ht="14.25" hidden="1" customHeight="1" outlineLevel="1" x14ac:dyDescent="0.35">
      <c r="A14" s="22"/>
      <c r="B14" s="7" t="s">
        <v>24</v>
      </c>
      <c r="C14" s="4">
        <v>-27.653849070809127</v>
      </c>
      <c r="D14" s="4">
        <v>-36.648821031906976</v>
      </c>
      <c r="E14" s="4">
        <v>-39.533032560933428</v>
      </c>
      <c r="F14" s="4">
        <v>-58.806376650114586</v>
      </c>
      <c r="G14" s="4">
        <v>-33.422658409999997</v>
      </c>
      <c r="H14" s="4">
        <v>-39.436504630000002</v>
      </c>
      <c r="I14" s="4">
        <v>-26.954078339999999</v>
      </c>
      <c r="J14" s="4">
        <v>-100.12402272</v>
      </c>
      <c r="K14" s="4">
        <v>-71.105593980000009</v>
      </c>
      <c r="L14" s="4">
        <v>-54.630611870000003</v>
      </c>
      <c r="M14" s="4">
        <v>-58.369794149999898</v>
      </c>
      <c r="N14" s="4">
        <v>-61.653000000000077</v>
      </c>
      <c r="O14" s="4">
        <v>-83.614000000000004</v>
      </c>
      <c r="P14" s="4">
        <v>-94.404080919231717</v>
      </c>
      <c r="Q14" s="4">
        <v>-90.298608787171048</v>
      </c>
      <c r="R14" s="4">
        <v>-82.781019679999986</v>
      </c>
      <c r="S14" s="4">
        <v>-82.378</v>
      </c>
      <c r="T14" s="4">
        <v>-131.679</v>
      </c>
      <c r="U14" s="4">
        <v>-164.5</v>
      </c>
      <c r="V14" s="4">
        <v>-186.58037504318389</v>
      </c>
      <c r="W14" s="4">
        <v>-189.02172147000007</v>
      </c>
      <c r="X14" s="4">
        <v>-111.2020689</v>
      </c>
      <c r="Y14" s="4">
        <v>-151.24679311074817</v>
      </c>
      <c r="Z14" s="4">
        <v>-164.90004613999997</v>
      </c>
      <c r="AA14" s="4">
        <v>-367.4044005099999</v>
      </c>
      <c r="AB14" s="4">
        <v>-363.61813285000011</v>
      </c>
      <c r="AC14" s="4">
        <v>-367.77592805999996</v>
      </c>
      <c r="AD14" s="4">
        <v>-423.75340623000017</v>
      </c>
      <c r="AE14" s="4">
        <v>-480.36881487000016</v>
      </c>
      <c r="AF14" s="4">
        <v>-499.05672714792001</v>
      </c>
      <c r="AG14" s="4">
        <v>-530.83918260208009</v>
      </c>
      <c r="AI14" s="4">
        <f t="shared" si="23"/>
        <v>-162.6420793137641</v>
      </c>
      <c r="AJ14" s="4">
        <f t="shared" si="24"/>
        <v>-199.93726409999999</v>
      </c>
      <c r="AK14" s="4">
        <f t="shared" si="25"/>
        <v>-245.75899999999999</v>
      </c>
      <c r="AL14" s="4">
        <f t="shared" si="26"/>
        <v>-351.09770938640276</v>
      </c>
      <c r="AM14" s="4">
        <f t="shared" si="27"/>
        <v>-565.13737504318397</v>
      </c>
      <c r="AN14" s="4">
        <f t="shared" si="28"/>
        <v>-616.37062962074822</v>
      </c>
      <c r="AO14" s="4">
        <f t="shared" si="29"/>
        <v>-1522.5518676500001</v>
      </c>
    </row>
    <row r="15" spans="1:41" ht="14.25" hidden="1" customHeight="1" outlineLevel="1" x14ac:dyDescent="0.35">
      <c r="A15" s="22"/>
      <c r="B15" s="7" t="s">
        <v>25</v>
      </c>
      <c r="C15" s="4">
        <v>-10.6974032642648</v>
      </c>
      <c r="D15" s="4">
        <v>-12.897641220776013</v>
      </c>
      <c r="E15" s="4">
        <v>-18.357380319899519</v>
      </c>
      <c r="F15" s="4">
        <v>-19.177010053961631</v>
      </c>
      <c r="G15" s="4">
        <v>-18.52175806</v>
      </c>
      <c r="H15" s="4">
        <v>-21.164732479999991</v>
      </c>
      <c r="I15" s="4">
        <v>-21.00201198000001</v>
      </c>
      <c r="J15" s="4">
        <v>-23.77299618999999</v>
      </c>
      <c r="K15" s="4">
        <v>-32.519741409253001</v>
      </c>
      <c r="L15" s="4">
        <v>-33.506898309621015</v>
      </c>
      <c r="M15" s="4">
        <v>-41.704360281125993</v>
      </c>
      <c r="N15" s="4">
        <v>-45.445999999999984</v>
      </c>
      <c r="O15" s="4">
        <v>-46.670999999999992</v>
      </c>
      <c r="P15" s="4">
        <v>-58.218836376990637</v>
      </c>
      <c r="Q15" s="4">
        <v>-58.707953402600822</v>
      </c>
      <c r="R15" s="4">
        <v>-58.778091825459519</v>
      </c>
      <c r="S15" s="4">
        <v>-70.462474051779452</v>
      </c>
      <c r="T15" s="4">
        <v>-81.881908496207757</v>
      </c>
      <c r="U15" s="4">
        <v>-81.900000000000006</v>
      </c>
      <c r="V15" s="4">
        <v>-64.979370038987298</v>
      </c>
      <c r="W15" s="4">
        <v>-72.692734631067509</v>
      </c>
      <c r="X15" s="4">
        <v>-80.469736247457703</v>
      </c>
      <c r="Y15" s="4">
        <v>-101.36568897941837</v>
      </c>
      <c r="Z15" s="4">
        <v>-115.3675662416091</v>
      </c>
      <c r="AA15" s="4">
        <v>-110.97455118701865</v>
      </c>
      <c r="AB15" s="4">
        <v>-125.6344521571414</v>
      </c>
      <c r="AC15" s="4">
        <v>-137.5041391002469</v>
      </c>
      <c r="AD15" s="4">
        <v>-142.94345299379069</v>
      </c>
      <c r="AE15" s="4">
        <v>-135.38997127813175</v>
      </c>
      <c r="AF15" s="4">
        <v>-152.79090438265251</v>
      </c>
      <c r="AG15" s="4">
        <v>-141.14743776762396</v>
      </c>
      <c r="AI15" s="4">
        <f t="shared" si="23"/>
        <v>-61.129434858901966</v>
      </c>
      <c r="AJ15" s="4">
        <f t="shared" si="24"/>
        <v>-84.461498709999987</v>
      </c>
      <c r="AK15" s="4">
        <f t="shared" si="25"/>
        <v>-153.17699999999996</v>
      </c>
      <c r="AL15" s="4">
        <f t="shared" si="26"/>
        <v>-222.37588160505095</v>
      </c>
      <c r="AM15" s="4">
        <f t="shared" si="27"/>
        <v>-299.22375258697451</v>
      </c>
      <c r="AN15" s="4">
        <f t="shared" si="28"/>
        <v>-369.89572609955269</v>
      </c>
      <c r="AO15" s="4">
        <f t="shared" si="29"/>
        <v>-517.05659543819763</v>
      </c>
    </row>
    <row r="16" spans="1:41" ht="14.25" hidden="1" customHeight="1" outlineLevel="1" x14ac:dyDescent="0.35">
      <c r="A16" s="22"/>
      <c r="B16" s="7" t="s">
        <v>26</v>
      </c>
      <c r="C16" s="4">
        <v>-2.5886584299999993</v>
      </c>
      <c r="D16" s="4">
        <v>-5.1831069999999997</v>
      </c>
      <c r="E16" s="4">
        <v>-10.284615729999999</v>
      </c>
      <c r="F16" s="4">
        <v>-11.639744739999999</v>
      </c>
      <c r="G16" s="4">
        <v>-6.6107146500000011</v>
      </c>
      <c r="H16" s="4">
        <v>-8.109387589999999</v>
      </c>
      <c r="I16" s="4">
        <v>-24.820313980000005</v>
      </c>
      <c r="J16" s="4">
        <v>-28.760700239999998</v>
      </c>
      <c r="K16" s="4">
        <v>-19.218084329999996</v>
      </c>
      <c r="L16" s="4">
        <v>-23.540114429999999</v>
      </c>
      <c r="M16" s="4">
        <v>-21.033999999999999</v>
      </c>
      <c r="N16" s="4">
        <v>-40.751801239999992</v>
      </c>
      <c r="O16" s="4">
        <v>-3.43</v>
      </c>
      <c r="P16" s="4">
        <v>-2.0713396800000003</v>
      </c>
      <c r="Q16" s="4">
        <v>-3.0766402599999987</v>
      </c>
      <c r="R16" s="4">
        <v>-4.6559999999999997</v>
      </c>
      <c r="S16" s="4">
        <v>-5.8390000000000004</v>
      </c>
      <c r="T16" s="4">
        <v>-2.2040000000000002</v>
      </c>
      <c r="U16" s="4">
        <v>-6.51</v>
      </c>
      <c r="V16" s="4">
        <v>-23.624083469999999</v>
      </c>
      <c r="W16" s="4">
        <v>-45.561989969999999</v>
      </c>
      <c r="X16" s="4">
        <v>-17.872832000000002</v>
      </c>
      <c r="Y16" s="4">
        <v>-16.255824969999999</v>
      </c>
      <c r="Z16" s="4">
        <v>-29.542062089999998</v>
      </c>
      <c r="AA16" s="4">
        <v>-44.387658880000004</v>
      </c>
      <c r="AB16" s="4">
        <v>-133.78472766000002</v>
      </c>
      <c r="AC16" s="4">
        <v>-209.82270677</v>
      </c>
      <c r="AD16" s="4">
        <v>-402.64024504000008</v>
      </c>
      <c r="AE16" s="4">
        <v>-620.62783420999995</v>
      </c>
      <c r="AF16" s="4">
        <v>-755.55951044419521</v>
      </c>
      <c r="AG16" s="4">
        <v>-920.65559389805787</v>
      </c>
      <c r="AI16" s="4">
        <f t="shared" si="23"/>
        <v>-29.696125899999998</v>
      </c>
      <c r="AJ16" s="4">
        <f t="shared" si="24"/>
        <v>-68.301116460000003</v>
      </c>
      <c r="AK16" s="4">
        <f t="shared" si="25"/>
        <v>-104.54399999999998</v>
      </c>
      <c r="AL16" s="4">
        <f t="shared" si="26"/>
        <v>-13.233979939999998</v>
      </c>
      <c r="AM16" s="4">
        <f t="shared" si="27"/>
        <v>-38.177083469999999</v>
      </c>
      <c r="AN16" s="4">
        <f t="shared" si="28"/>
        <v>-109.23270903</v>
      </c>
      <c r="AO16" s="4">
        <f t="shared" si="29"/>
        <v>-790.6353383500001</v>
      </c>
    </row>
    <row r="17" spans="1:41" ht="14.25" hidden="1" customHeight="1" outlineLevel="1" x14ac:dyDescent="0.35">
      <c r="A17" s="22"/>
      <c r="B17" s="7" t="s">
        <v>27</v>
      </c>
      <c r="C17" s="4">
        <v>-1.2063841399999999</v>
      </c>
      <c r="D17" s="4">
        <v>-1.2549863917499997</v>
      </c>
      <c r="E17" s="4">
        <v>-0.6501950099999998</v>
      </c>
      <c r="F17" s="4">
        <v>4.4561998700000007</v>
      </c>
      <c r="G17" s="4">
        <v>-1.6279648799999995</v>
      </c>
      <c r="H17" s="4">
        <v>-2.7153901799999982</v>
      </c>
      <c r="I17" s="4">
        <v>-1.7011752400000009</v>
      </c>
      <c r="J17" s="4">
        <v>-0.61302855000000001</v>
      </c>
      <c r="K17" s="4">
        <v>-0.5943621241760001</v>
      </c>
      <c r="L17" s="4">
        <v>-2.1314232089120009</v>
      </c>
      <c r="M17" s="4">
        <v>-2.3092146669119988</v>
      </c>
      <c r="N17" s="4">
        <v>-6.9860000000000015</v>
      </c>
      <c r="O17" s="4">
        <v>-1.109</v>
      </c>
      <c r="P17" s="4">
        <v>9.89481638100001E-2</v>
      </c>
      <c r="Q17" s="4">
        <v>-4.1503929044774992</v>
      </c>
      <c r="R17" s="4">
        <v>-2.8940000000000001</v>
      </c>
      <c r="S17" s="4">
        <v>-3.5819999999999999</v>
      </c>
      <c r="T17" s="4">
        <v>-0.49099999999999999</v>
      </c>
      <c r="U17" s="4">
        <v>-4.91</v>
      </c>
      <c r="V17" s="4">
        <v>7.1004325629715002</v>
      </c>
      <c r="W17" s="4">
        <v>-2.1362158828138988</v>
      </c>
      <c r="X17" s="4">
        <v>71.608477285768799</v>
      </c>
      <c r="Y17" s="4">
        <v>-7.0594669231116995</v>
      </c>
      <c r="Z17" s="4">
        <v>-39.510960715997896</v>
      </c>
      <c r="AA17" s="4">
        <v>40.805913145522908</v>
      </c>
      <c r="AB17" s="4">
        <v>-10.9809087063029</v>
      </c>
      <c r="AC17" s="4">
        <v>-1.8207161852889984</v>
      </c>
      <c r="AD17" s="4">
        <v>-18.731709350132988</v>
      </c>
      <c r="AE17" s="4">
        <v>-4.4909407399715988</v>
      </c>
      <c r="AF17" s="4">
        <v>-108.95051018351148</v>
      </c>
      <c r="AG17" s="4">
        <v>-59.251504813063299</v>
      </c>
      <c r="AI17" s="4">
        <f t="shared" si="23"/>
        <v>1.3446343282500015</v>
      </c>
      <c r="AJ17" s="4">
        <f t="shared" si="24"/>
        <v>-6.6575588499999983</v>
      </c>
      <c r="AK17" s="4">
        <f t="shared" si="25"/>
        <v>-12.021000000000001</v>
      </c>
      <c r="AL17" s="4">
        <f t="shared" si="26"/>
        <v>-8.054444740667499</v>
      </c>
      <c r="AM17" s="4">
        <f t="shared" si="27"/>
        <v>-1.8825674370285004</v>
      </c>
      <c r="AN17" s="4">
        <f t="shared" si="28"/>
        <v>22.901833763845303</v>
      </c>
      <c r="AO17" s="4">
        <f t="shared" si="29"/>
        <v>9.2725789037980242</v>
      </c>
    </row>
    <row r="18" spans="1:41" ht="14.25" customHeight="1" collapsed="1" x14ac:dyDescent="0.35">
      <c r="A18" s="22"/>
      <c r="B18" s="3" t="s">
        <v>125</v>
      </c>
      <c r="C18" s="2">
        <f t="shared" ref="C18:F18" si="30">SUM(C13:C17)</f>
        <v>-89.033276546361407</v>
      </c>
      <c r="D18" s="2">
        <f t="shared" si="30"/>
        <v>-154.79678456848001</v>
      </c>
      <c r="E18" s="2">
        <f t="shared" si="30"/>
        <v>-195.60702993234986</v>
      </c>
      <c r="F18" s="2">
        <f t="shared" si="30"/>
        <v>-195.16899917047567</v>
      </c>
      <c r="G18" s="2">
        <f t="shared" ref="G18:J18" si="31">SUM(G13:G17)</f>
        <v>-175.59904478000001</v>
      </c>
      <c r="H18" s="2">
        <f t="shared" si="31"/>
        <v>-219.45770431999998</v>
      </c>
      <c r="I18" s="2">
        <f t="shared" si="31"/>
        <v>-246.16273192000003</v>
      </c>
      <c r="J18" s="2">
        <f t="shared" si="31"/>
        <v>-341.80417585000004</v>
      </c>
      <c r="K18" s="2">
        <f>SUM(K13:K17)</f>
        <v>-366.33042633342905</v>
      </c>
      <c r="L18" s="2">
        <f t="shared" ref="L18:AC18" si="32">SUM(L13:L17)</f>
        <v>-440.785786838533</v>
      </c>
      <c r="M18" s="2">
        <f t="shared" si="32"/>
        <v>-471.9629855880379</v>
      </c>
      <c r="N18" s="2">
        <f t="shared" si="32"/>
        <v>-560.80180124000026</v>
      </c>
      <c r="O18" s="2">
        <f t="shared" si="32"/>
        <v>-541.35500000000002</v>
      </c>
      <c r="P18" s="2">
        <f t="shared" si="32"/>
        <v>-626.04526860862472</v>
      </c>
      <c r="Q18" s="2">
        <f t="shared" si="32"/>
        <v>-697.13162646744081</v>
      </c>
      <c r="R18" s="2">
        <f t="shared" si="32"/>
        <v>-815.12041562008721</v>
      </c>
      <c r="S18" s="2">
        <f t="shared" si="32"/>
        <v>-778.1345153100001</v>
      </c>
      <c r="T18" s="2">
        <f t="shared" si="32"/>
        <v>-898.21637881547167</v>
      </c>
      <c r="U18" s="2">
        <f t="shared" si="32"/>
        <v>-922.61999999999989</v>
      </c>
      <c r="V18" s="2">
        <f t="shared" si="32"/>
        <v>-1011.2206921937097</v>
      </c>
      <c r="W18" s="2">
        <f t="shared" si="32"/>
        <v>-1075.8466351101731</v>
      </c>
      <c r="X18" s="2">
        <f t="shared" si="32"/>
        <v>-928.89110526181287</v>
      </c>
      <c r="Y18" s="2">
        <f t="shared" si="32"/>
        <v>-1327.9014894968836</v>
      </c>
      <c r="Z18" s="2">
        <f t="shared" si="32"/>
        <v>-1492.1224736486829</v>
      </c>
      <c r="AA18" s="2">
        <f t="shared" si="32"/>
        <v>-1622.3110907614955</v>
      </c>
      <c r="AB18" s="2">
        <f t="shared" si="32"/>
        <v>-1920.7779811834439</v>
      </c>
      <c r="AC18" s="2">
        <f t="shared" si="32"/>
        <v>-2207.4374868357572</v>
      </c>
      <c r="AD18" s="2">
        <f t="shared" ref="AD18:AF18" si="33">SUM(AD13:AD17)</f>
        <v>-2817.7441218888835</v>
      </c>
      <c r="AE18" s="2">
        <f t="shared" si="33"/>
        <v>-2978.1105911535319</v>
      </c>
      <c r="AF18" s="2">
        <f t="shared" si="33"/>
        <v>-3412.6374045461785</v>
      </c>
      <c r="AG18" s="2">
        <f t="shared" ref="AG18" si="34">SUM(AG13:AG17)</f>
        <v>-3563.1152471782084</v>
      </c>
      <c r="AI18" s="2">
        <f t="shared" ref="AI18:AO18" si="35">SUM(AI13:AI17)</f>
        <v>-634.60609021766697</v>
      </c>
      <c r="AJ18" s="2">
        <f t="shared" si="35"/>
        <v>-983.02365686999997</v>
      </c>
      <c r="AK18" s="2">
        <f t="shared" si="35"/>
        <v>-1839.8810000000001</v>
      </c>
      <c r="AL18" s="2">
        <f t="shared" si="35"/>
        <v>-2679.6523106961527</v>
      </c>
      <c r="AM18" s="2">
        <f t="shared" si="35"/>
        <v>-3610.1915863191816</v>
      </c>
      <c r="AN18" s="2">
        <f t="shared" si="35"/>
        <v>-4824.7617035175517</v>
      </c>
      <c r="AO18" s="2">
        <f t="shared" si="35"/>
        <v>-8568.2706806695787</v>
      </c>
    </row>
    <row r="19" spans="1:41" ht="14.25" customHeight="1" x14ac:dyDescent="0.35">
      <c r="A19" s="22"/>
      <c r="B19" s="37" t="s">
        <v>126</v>
      </c>
      <c r="C19" s="38" t="s">
        <v>186</v>
      </c>
      <c r="D19" s="38" t="s">
        <v>186</v>
      </c>
      <c r="E19" s="38" t="s">
        <v>186</v>
      </c>
      <c r="F19" s="38" t="s">
        <v>186</v>
      </c>
      <c r="G19" s="38" t="s">
        <v>186</v>
      </c>
      <c r="H19" s="38" t="s">
        <v>186</v>
      </c>
      <c r="I19" s="38" t="s">
        <v>186</v>
      </c>
      <c r="J19" s="38" t="s">
        <v>186</v>
      </c>
      <c r="K19" s="38">
        <f t="shared" ref="K19:Z19" si="36">K18-K11</f>
        <v>-275.76912481342902</v>
      </c>
      <c r="L19" s="38">
        <f t="shared" si="36"/>
        <v>-319.08806786853302</v>
      </c>
      <c r="M19" s="38">
        <f t="shared" si="36"/>
        <v>-310.47587192803786</v>
      </c>
      <c r="N19" s="38">
        <f t="shared" si="36"/>
        <v>-347.23231661000023</v>
      </c>
      <c r="O19" s="38">
        <f t="shared" si="36"/>
        <v>-314.88962770000001</v>
      </c>
      <c r="P19" s="38">
        <f t="shared" si="36"/>
        <v>-360.36269790862468</v>
      </c>
      <c r="Q19" s="38">
        <f t="shared" si="36"/>
        <v>-387.41007022744083</v>
      </c>
      <c r="R19" s="38">
        <f t="shared" si="36"/>
        <v>-454.24754587008721</v>
      </c>
      <c r="S19" s="38">
        <f>S18-S11</f>
        <v>-424.0981669900001</v>
      </c>
      <c r="T19" s="38">
        <f t="shared" si="36"/>
        <v>-498.40434890547169</v>
      </c>
      <c r="U19" s="38">
        <f t="shared" si="36"/>
        <v>-485.66725436999991</v>
      </c>
      <c r="V19" s="38">
        <f>V18-V11</f>
        <v>-522.02588474370975</v>
      </c>
      <c r="W19" s="38">
        <f t="shared" si="36"/>
        <v>-643.17749647017308</v>
      </c>
      <c r="X19" s="38">
        <f t="shared" si="36"/>
        <v>-509.58203475181284</v>
      </c>
      <c r="Y19" s="38">
        <f t="shared" si="36"/>
        <v>-730.22047185688359</v>
      </c>
      <c r="Z19" s="38">
        <f t="shared" si="36"/>
        <v>-823.9414491886829</v>
      </c>
      <c r="AA19" s="38">
        <f>AA18-AA11</f>
        <v>-916.58575340149559</v>
      </c>
      <c r="AB19" s="38">
        <f t="shared" ref="AB19:AC19" si="37">AB18-AB11</f>
        <v>-1092.6281979634441</v>
      </c>
      <c r="AC19" s="38">
        <f t="shared" si="37"/>
        <v>-1222.243203355757</v>
      </c>
      <c r="AD19" s="38">
        <f t="shared" ref="AD19:AF19" si="38">AD18-AD11</f>
        <v>-1639.7983029788834</v>
      </c>
      <c r="AE19" s="38">
        <f t="shared" si="38"/>
        <v>-1747.8618090335322</v>
      </c>
      <c r="AF19" s="38">
        <f t="shared" si="38"/>
        <v>-2047.5727821761784</v>
      </c>
      <c r="AG19" s="38">
        <f t="shared" ref="AG19" si="39">AG18-AG11</f>
        <v>-2183.589733138208</v>
      </c>
      <c r="AI19" s="38" t="s">
        <v>186</v>
      </c>
      <c r="AJ19" s="38" t="s">
        <v>186</v>
      </c>
      <c r="AK19" s="38">
        <f t="shared" ref="AK19:AO19" si="40">AK18-AK11</f>
        <v>-1252.5653812200001</v>
      </c>
      <c r="AL19" s="38">
        <f t="shared" si="40"/>
        <v>-1516.9099417061525</v>
      </c>
      <c r="AM19" s="38">
        <f t="shared" si="40"/>
        <v>-1930.1956550091818</v>
      </c>
      <c r="AN19" s="38">
        <f t="shared" si="40"/>
        <v>-2706.9214522675516</v>
      </c>
      <c r="AO19" s="38">
        <f t="shared" si="40"/>
        <v>-4871.255457699579</v>
      </c>
    </row>
    <row r="20" spans="1:41" ht="14.25" customHeight="1" x14ac:dyDescent="0.35">
      <c r="A20" s="62"/>
      <c r="B20" s="16" t="s">
        <v>143</v>
      </c>
      <c r="C20" s="2" t="s">
        <v>186</v>
      </c>
      <c r="D20" s="2" t="s">
        <v>186</v>
      </c>
      <c r="E20" s="2" t="s">
        <v>186</v>
      </c>
      <c r="F20" s="2" t="s">
        <v>186</v>
      </c>
      <c r="G20" s="2" t="s">
        <v>186</v>
      </c>
      <c r="H20" s="2" t="s">
        <v>186</v>
      </c>
      <c r="I20" s="2" t="s">
        <v>186</v>
      </c>
      <c r="J20" s="2" t="s">
        <v>186</v>
      </c>
      <c r="K20" s="2" t="s">
        <v>186</v>
      </c>
      <c r="L20" s="2" t="s">
        <v>186</v>
      </c>
      <c r="M20" s="2" t="s">
        <v>186</v>
      </c>
      <c r="N20" s="2" t="s">
        <v>186</v>
      </c>
      <c r="O20" s="2" t="s">
        <v>186</v>
      </c>
      <c r="P20" s="2" t="s">
        <v>186</v>
      </c>
      <c r="Q20" s="2" t="s">
        <v>186</v>
      </c>
      <c r="R20" s="2" t="s">
        <v>186</v>
      </c>
      <c r="S20" s="2" t="s">
        <v>186</v>
      </c>
      <c r="T20" s="2" t="s">
        <v>186</v>
      </c>
      <c r="U20" s="2" t="s">
        <v>186</v>
      </c>
      <c r="V20" s="2" t="s">
        <v>186</v>
      </c>
      <c r="W20" s="2">
        <f>'PAGS | Adjusted EBITDA'!W19</f>
        <v>512.82552844985457</v>
      </c>
      <c r="X20" s="2">
        <f>'PAGS | Adjusted EBITDA'!X19</f>
        <v>468.217679128187</v>
      </c>
      <c r="Y20" s="2">
        <f>'PAGS | Adjusted EBITDA'!Y19</f>
        <v>530.35255837806528</v>
      </c>
      <c r="Z20" s="2">
        <f>'PAGS | Adjusted EBITDA'!Z19</f>
        <v>726.13235746241992</v>
      </c>
      <c r="AA20" s="2">
        <f>'PAGS | Adjusted EBITDA'!AA19</f>
        <v>573.07211221149896</v>
      </c>
      <c r="AB20" s="2">
        <f>'PAGS | Adjusted EBITDA'!AB19</f>
        <v>628.61142694198168</v>
      </c>
      <c r="AC20" s="2">
        <f>'PAGS | Adjusted EBITDA'!AC19</f>
        <v>741.51305921083679</v>
      </c>
      <c r="AD20" s="2">
        <f>'PAGS | Adjusted EBITDA'!AD19</f>
        <v>612.11170755611602</v>
      </c>
      <c r="AE20" s="2">
        <f>'PAGS | Adjusted EBITDA'!AE19</f>
        <v>664.8579368105427</v>
      </c>
      <c r="AF20" s="2">
        <f>'PAGS | Adjusted EBITDA'!AF19</f>
        <v>831</v>
      </c>
      <c r="AG20" s="2">
        <f>'PAGS | Adjusted EBITDA'!AG19</f>
        <v>769.63654147169564</v>
      </c>
      <c r="AI20" s="2" t="s">
        <v>186</v>
      </c>
      <c r="AJ20" s="2" t="s">
        <v>186</v>
      </c>
      <c r="AK20" s="2" t="s">
        <v>186</v>
      </c>
      <c r="AL20" s="2" t="s">
        <v>186</v>
      </c>
      <c r="AM20" s="2" t="s">
        <v>186</v>
      </c>
      <c r="AN20" s="2">
        <f t="shared" ref="AN20" si="41">SUM(W20:Z20)</f>
        <v>2237.5281234185268</v>
      </c>
      <c r="AO20" s="2">
        <f t="shared" ref="AO20" si="42">SUM(AA20:AD20)</f>
        <v>2555.3083059204332</v>
      </c>
    </row>
    <row r="21" spans="1:41" ht="14.25" customHeight="1" x14ac:dyDescent="0.35">
      <c r="A21" s="22"/>
      <c r="B21" s="16" t="s">
        <v>127</v>
      </c>
      <c r="C21" s="2">
        <f t="shared" ref="C21:AF21" si="43">C10+C18</f>
        <v>17.941100230178606</v>
      </c>
      <c r="D21" s="2">
        <f t="shared" si="43"/>
        <v>6.3546719928700099</v>
      </c>
      <c r="E21" s="2">
        <f t="shared" si="43"/>
        <v>8.2445716897251486</v>
      </c>
      <c r="F21" s="2">
        <f t="shared" si="43"/>
        <v>7.7730417795243056</v>
      </c>
      <c r="G21" s="2">
        <f t="shared" si="43"/>
        <v>34.819404529999986</v>
      </c>
      <c r="H21" s="2">
        <f t="shared" si="43"/>
        <v>32.297935679999966</v>
      </c>
      <c r="I21" s="2">
        <f t="shared" si="43"/>
        <v>49.054479170000008</v>
      </c>
      <c r="J21" s="2">
        <f t="shared" si="43"/>
        <v>39.192942589999802</v>
      </c>
      <c r="K21" s="2">
        <f t="shared" si="43"/>
        <v>82.177573666570993</v>
      </c>
      <c r="L21" s="2">
        <f t="shared" si="43"/>
        <v>116.40521316146703</v>
      </c>
      <c r="M21" s="2">
        <f t="shared" si="43"/>
        <v>214.67401441196216</v>
      </c>
      <c r="N21" s="2">
        <f t="shared" si="43"/>
        <v>270.24719875999972</v>
      </c>
      <c r="O21" s="2">
        <f t="shared" si="43"/>
        <v>296.9000464799999</v>
      </c>
      <c r="P21" s="2">
        <f t="shared" si="43"/>
        <v>348.4177865813748</v>
      </c>
      <c r="Q21" s="2">
        <f t="shared" si="43"/>
        <v>425.94313880255959</v>
      </c>
      <c r="R21" s="2">
        <f t="shared" si="43"/>
        <v>452.52872936991321</v>
      </c>
      <c r="S21" s="2">
        <f t="shared" si="43"/>
        <v>473.20148469000014</v>
      </c>
      <c r="T21" s="2">
        <f t="shared" si="43"/>
        <v>491.5296211845282</v>
      </c>
      <c r="U21" s="2">
        <f t="shared" si="43"/>
        <v>540.25666948000026</v>
      </c>
      <c r="V21" s="2">
        <f t="shared" si="43"/>
        <v>563.72714703629026</v>
      </c>
      <c r="W21" s="2">
        <f t="shared" si="43"/>
        <v>511.44836488982696</v>
      </c>
      <c r="X21" s="2">
        <f t="shared" si="43"/>
        <v>428.55296973818702</v>
      </c>
      <c r="Y21" s="2">
        <f t="shared" si="43"/>
        <v>453.57174531311625</v>
      </c>
      <c r="Z21" s="2">
        <f t="shared" si="43"/>
        <v>596.33876944131725</v>
      </c>
      <c r="AA21" s="2">
        <f t="shared" si="43"/>
        <v>444.88958907850429</v>
      </c>
      <c r="AB21" s="2">
        <f t="shared" si="43"/>
        <v>448.82063497655645</v>
      </c>
      <c r="AC21" s="2">
        <f t="shared" si="43"/>
        <v>568.32788568424303</v>
      </c>
      <c r="AD21" s="2">
        <f t="shared" si="43"/>
        <v>418.41291301111642</v>
      </c>
      <c r="AE21" s="2">
        <f t="shared" si="43"/>
        <v>448.8410455594917</v>
      </c>
      <c r="AF21" s="2">
        <f t="shared" si="43"/>
        <v>497.92021220618926</v>
      </c>
      <c r="AG21" s="2">
        <f t="shared" ref="AG21" si="44">AG10+AG18</f>
        <v>472.31093132200704</v>
      </c>
      <c r="AI21" s="2">
        <f t="shared" ref="AI21:AO21" si="45">AI10+AI18</f>
        <v>40.313385692298084</v>
      </c>
      <c r="AJ21" s="2">
        <f t="shared" si="45"/>
        <v>155.36476196999979</v>
      </c>
      <c r="AK21" s="2">
        <f t="shared" si="45"/>
        <v>683.50400000000013</v>
      </c>
      <c r="AL21" s="2">
        <f t="shared" si="45"/>
        <v>1523.7897012338476</v>
      </c>
      <c r="AM21" s="2">
        <f t="shared" si="45"/>
        <v>2068.7149223908182</v>
      </c>
      <c r="AN21" s="2">
        <f t="shared" si="45"/>
        <v>1989.9118493824481</v>
      </c>
      <c r="AO21" s="2">
        <f t="shared" si="45"/>
        <v>1880.4510227504215</v>
      </c>
    </row>
    <row r="22" spans="1:41" ht="14.25" hidden="1" customHeight="1" outlineLevel="1" x14ac:dyDescent="0.35">
      <c r="A22" s="22"/>
      <c r="B22" s="7" t="s">
        <v>29</v>
      </c>
      <c r="C22" s="4">
        <v>-1.1431675100000001</v>
      </c>
      <c r="D22" s="4">
        <v>-0.28374035999999991</v>
      </c>
      <c r="E22" s="4">
        <v>-1.7557125098400002</v>
      </c>
      <c r="F22" s="4">
        <v>0.59567500983999999</v>
      </c>
      <c r="G22" s="4">
        <v>-4.7708301990189694</v>
      </c>
      <c r="H22" s="4">
        <v>-1.9897978813477557</v>
      </c>
      <c r="I22" s="4">
        <v>-9.036523271281256</v>
      </c>
      <c r="J22" s="4">
        <v>8.3661513516479804</v>
      </c>
      <c r="K22" s="4">
        <v>-19.084636230000001</v>
      </c>
      <c r="L22" s="4">
        <v>-38.829201470000001</v>
      </c>
      <c r="M22" s="4">
        <v>-66.204162299999993</v>
      </c>
      <c r="N22" s="4">
        <v>-90.86999999999999</v>
      </c>
      <c r="O22" s="4">
        <v>-20.934674010000002</v>
      </c>
      <c r="P22" s="4">
        <v>-99.257793840000005</v>
      </c>
      <c r="Q22" s="4">
        <v>-46.841606014</v>
      </c>
      <c r="R22" s="4">
        <v>-20.65853199999998</v>
      </c>
      <c r="S22" s="4">
        <v>-50.14</v>
      </c>
      <c r="T22" s="4">
        <v>-1.349</v>
      </c>
      <c r="U22" s="4">
        <v>12.515000000000001</v>
      </c>
      <c r="V22" s="4">
        <v>14.503107399999999</v>
      </c>
      <c r="W22" s="4">
        <v>-3.8010000000000002</v>
      </c>
      <c r="X22" s="4">
        <v>-17.967309220000001</v>
      </c>
      <c r="Y22" s="4">
        <v>-13.348372850000001</v>
      </c>
      <c r="Z22" s="4">
        <v>-27.72347838</v>
      </c>
      <c r="AA22" s="4">
        <v>-19.966078590000002</v>
      </c>
      <c r="AB22" s="4">
        <v>-1.6723257500000024</v>
      </c>
      <c r="AC22" s="4">
        <v>-7.6513361499999979</v>
      </c>
      <c r="AD22" s="4">
        <v>-90.511513999999991</v>
      </c>
      <c r="AE22" s="4">
        <v>-27.06713447445</v>
      </c>
      <c r="AF22" s="4">
        <v>0.52970634000000061</v>
      </c>
      <c r="AG22" s="4">
        <v>1.6036812300000012</v>
      </c>
      <c r="AI22" s="4">
        <f t="shared" ref="AI22:AI23" si="46">SUM(C22:F22)</f>
        <v>-2.5869453700000005</v>
      </c>
      <c r="AJ22" s="4">
        <f t="shared" ref="AJ22:AJ23" si="47">SUM(G22:J22)</f>
        <v>-7.4310000000000009</v>
      </c>
      <c r="AK22" s="4">
        <f t="shared" ref="AK22:AK23" si="48">SUM(K22:N22)</f>
        <v>-214.988</v>
      </c>
      <c r="AL22" s="4">
        <f t="shared" ref="AL22:AL23" si="49">SUM(O22:R22)</f>
        <v>-187.692605864</v>
      </c>
      <c r="AM22" s="4">
        <f t="shared" ref="AM22:AM23" si="50">SUM(S22:V22)</f>
        <v>-24.470892599999999</v>
      </c>
      <c r="AN22" s="4">
        <f t="shared" ref="AN22:AN23" si="51">SUM(W22:Z22)</f>
        <v>-62.840160449999999</v>
      </c>
      <c r="AO22" s="4">
        <f t="shared" ref="AO22:AO23" si="52">SUM(AA22:AD22)</f>
        <v>-119.80125448999999</v>
      </c>
    </row>
    <row r="23" spans="1:41" ht="14.25" hidden="1" customHeight="1" outlineLevel="1" x14ac:dyDescent="0.35">
      <c r="A23" s="22"/>
      <c r="B23" s="7" t="s">
        <v>28</v>
      </c>
      <c r="C23" s="4">
        <v>-7.1085129400003208E-2</v>
      </c>
      <c r="D23" s="4">
        <v>0.32443608519999667</v>
      </c>
      <c r="E23" s="4">
        <v>-0.24472748616000331</v>
      </c>
      <c r="F23" s="4">
        <v>-2.2485672534898469</v>
      </c>
      <c r="G23" s="4">
        <v>-3.6460893558455116</v>
      </c>
      <c r="H23" s="4">
        <v>-4.6721100695445772</v>
      </c>
      <c r="I23" s="4">
        <v>-2.7254285370899214</v>
      </c>
      <c r="J23" s="4">
        <v>-9.1057714211799912</v>
      </c>
      <c r="K23" s="4">
        <v>-2.4682446299999996</v>
      </c>
      <c r="L23" s="4">
        <v>4.6454753000000011</v>
      </c>
      <c r="M23" s="4">
        <v>-1.0732306699999998</v>
      </c>
      <c r="N23" s="4">
        <v>9.1739999999999977</v>
      </c>
      <c r="O23" s="4">
        <v>-63.109146080000002</v>
      </c>
      <c r="P23" s="4">
        <v>-7.0133249899999974</v>
      </c>
      <c r="Q23" s="4">
        <v>-88.639422346400011</v>
      </c>
      <c r="R23" s="4">
        <v>-108.43952899999999</v>
      </c>
      <c r="S23" s="4">
        <v>-97.603324794599999</v>
      </c>
      <c r="T23" s="4">
        <v>-147.35525120273959</v>
      </c>
      <c r="U23" s="4">
        <v>-162.613560304446</v>
      </c>
      <c r="V23" s="4">
        <v>-166.64774391724001</v>
      </c>
      <c r="W23" s="4">
        <v>-140.63913967295048</v>
      </c>
      <c r="X23" s="4">
        <v>-103.59580719024021</v>
      </c>
      <c r="Y23" s="4">
        <v>-109.84112932582373</v>
      </c>
      <c r="Z23" s="4">
        <v>-138.5701954466</v>
      </c>
      <c r="AA23" s="4">
        <v>-97.802029774549993</v>
      </c>
      <c r="AB23" s="4">
        <v>-101.98019480585</v>
      </c>
      <c r="AC23" s="4">
        <v>-142.01275385921988</v>
      </c>
      <c r="AD23" s="4">
        <v>6.428430311157264</v>
      </c>
      <c r="AE23" s="4">
        <v>-50.4896310309</v>
      </c>
      <c r="AF23" s="4">
        <v>-95.088695377949989</v>
      </c>
      <c r="AG23" s="4">
        <v>-62.600576430117925</v>
      </c>
      <c r="AI23" s="4">
        <f t="shared" si="46"/>
        <v>-2.2399437838498568</v>
      </c>
      <c r="AJ23" s="4">
        <f t="shared" si="47"/>
        <v>-20.149399383660004</v>
      </c>
      <c r="AK23" s="4">
        <f t="shared" si="48"/>
        <v>10.277999999999999</v>
      </c>
      <c r="AL23" s="4">
        <f t="shared" si="49"/>
        <v>-267.20142241640002</v>
      </c>
      <c r="AM23" s="4">
        <f t="shared" si="50"/>
        <v>-574.21988021902553</v>
      </c>
      <c r="AN23" s="4">
        <f t="shared" si="51"/>
        <v>-492.64627163561443</v>
      </c>
      <c r="AO23" s="4">
        <f t="shared" si="52"/>
        <v>-335.36654812846257</v>
      </c>
    </row>
    <row r="24" spans="1:41" ht="14.25" customHeight="1" collapsed="1" x14ac:dyDescent="0.35">
      <c r="A24" s="22"/>
      <c r="B24" s="16" t="s">
        <v>128</v>
      </c>
      <c r="C24" s="2">
        <f t="shared" ref="C24:F24" si="53">SUM(C22:C23)</f>
        <v>-1.2142526394000033</v>
      </c>
      <c r="D24" s="2">
        <f t="shared" si="53"/>
        <v>4.0695725199996757E-2</v>
      </c>
      <c r="E24" s="2">
        <f t="shared" si="53"/>
        <v>-2.0004399960000034</v>
      </c>
      <c r="F24" s="2">
        <f t="shared" si="53"/>
        <v>-1.652892243649847</v>
      </c>
      <c r="G24" s="2">
        <f t="shared" ref="G24:J24" si="54">SUM(G22:G23)</f>
        <v>-8.4169195548644815</v>
      </c>
      <c r="H24" s="2">
        <f t="shared" si="54"/>
        <v>-6.6619079508923331</v>
      </c>
      <c r="I24" s="2">
        <f t="shared" si="54"/>
        <v>-11.761951808371178</v>
      </c>
      <c r="J24" s="2">
        <f t="shared" si="54"/>
        <v>-0.73962006953201076</v>
      </c>
      <c r="K24" s="2">
        <f>SUM(K22:K23)</f>
        <v>-21.552880860000002</v>
      </c>
      <c r="L24" s="2">
        <f t="shared" ref="L24:AC24" si="55">SUM(L22:L23)</f>
        <v>-34.18372617</v>
      </c>
      <c r="M24" s="2">
        <f t="shared" si="55"/>
        <v>-67.277392969999994</v>
      </c>
      <c r="N24" s="2">
        <f t="shared" si="55"/>
        <v>-81.695999999999998</v>
      </c>
      <c r="O24" s="2">
        <f t="shared" si="55"/>
        <v>-84.043820089999997</v>
      </c>
      <c r="P24" s="2">
        <f t="shared" si="55"/>
        <v>-106.27111883000001</v>
      </c>
      <c r="Q24" s="2">
        <f t="shared" si="55"/>
        <v>-135.48102836040002</v>
      </c>
      <c r="R24" s="2">
        <f t="shared" si="55"/>
        <v>-129.09806099999997</v>
      </c>
      <c r="S24" s="2">
        <f t="shared" si="55"/>
        <v>-147.7433247946</v>
      </c>
      <c r="T24" s="2">
        <f t="shared" si="55"/>
        <v>-148.70425120273958</v>
      </c>
      <c r="U24" s="2">
        <f t="shared" si="55"/>
        <v>-150.09856030444598</v>
      </c>
      <c r="V24" s="2">
        <f t="shared" si="55"/>
        <v>-152.14463651724</v>
      </c>
      <c r="W24" s="2">
        <f t="shared" si="55"/>
        <v>-144.44013967295047</v>
      </c>
      <c r="X24" s="2">
        <f t="shared" si="55"/>
        <v>-121.56311641024021</v>
      </c>
      <c r="Y24" s="2">
        <f t="shared" si="55"/>
        <v>-123.18950217582373</v>
      </c>
      <c r="Z24" s="2">
        <f t="shared" si="55"/>
        <v>-166.29367382659998</v>
      </c>
      <c r="AA24" s="2">
        <f t="shared" si="55"/>
        <v>-117.76810836454999</v>
      </c>
      <c r="AB24" s="2">
        <f t="shared" si="55"/>
        <v>-103.65252055585</v>
      </c>
      <c r="AC24" s="2">
        <f t="shared" si="55"/>
        <v>-149.66409000921988</v>
      </c>
      <c r="AD24" s="2">
        <f t="shared" ref="AD24:AF24" si="56">SUM(AD22:AD23)</f>
        <v>-84.08308368884272</v>
      </c>
      <c r="AE24" s="2">
        <f t="shared" si="56"/>
        <v>-77.55676550535</v>
      </c>
      <c r="AF24" s="2">
        <f t="shared" si="56"/>
        <v>-94.558989037949985</v>
      </c>
      <c r="AG24" s="2">
        <f t="shared" ref="AG24" si="57">SUM(AG22:AG23)</f>
        <v>-60.996895200117926</v>
      </c>
      <c r="AI24" s="2">
        <f t="shared" ref="AI24:AO24" si="58">SUM(AI22:AI23)</f>
        <v>-4.8268891538498568</v>
      </c>
      <c r="AJ24" s="2">
        <f t="shared" si="58"/>
        <v>-27.580399383660005</v>
      </c>
      <c r="AK24" s="2">
        <f t="shared" si="58"/>
        <v>-204.71</v>
      </c>
      <c r="AL24" s="2">
        <f t="shared" si="58"/>
        <v>-454.89402828039999</v>
      </c>
      <c r="AM24" s="2">
        <f t="shared" si="58"/>
        <v>-598.69077281902548</v>
      </c>
      <c r="AN24" s="2">
        <f t="shared" si="58"/>
        <v>-555.48643208561441</v>
      </c>
      <c r="AO24" s="2">
        <f t="shared" si="58"/>
        <v>-455.16780261846259</v>
      </c>
    </row>
    <row r="25" spans="1:41" ht="14.25" customHeight="1" x14ac:dyDescent="0.35">
      <c r="A25" s="22"/>
      <c r="B25" s="16" t="s">
        <v>173</v>
      </c>
      <c r="C25" s="2">
        <f t="shared" ref="C25:F25" si="59">C21+C24</f>
        <v>16.726847590778604</v>
      </c>
      <c r="D25" s="2">
        <f t="shared" si="59"/>
        <v>6.3953677180700064</v>
      </c>
      <c r="E25" s="2">
        <f t="shared" si="59"/>
        <v>6.2441316937251452</v>
      </c>
      <c r="F25" s="2">
        <f t="shared" si="59"/>
        <v>6.1201495358744591</v>
      </c>
      <c r="G25" s="2">
        <f t="shared" ref="G25:J25" si="60">G21+G24</f>
        <v>26.402484975135504</v>
      </c>
      <c r="H25" s="2">
        <f t="shared" si="60"/>
        <v>25.636027729107632</v>
      </c>
      <c r="I25" s="2">
        <f t="shared" si="60"/>
        <v>37.292527361628828</v>
      </c>
      <c r="J25" s="2">
        <f t="shared" si="60"/>
        <v>38.453322520467793</v>
      </c>
      <c r="K25" s="2">
        <f>K21+K24</f>
        <v>60.624692806570991</v>
      </c>
      <c r="L25" s="2">
        <f t="shared" ref="L25:AC25" si="61">L21+L24</f>
        <v>82.221486991467032</v>
      </c>
      <c r="M25" s="2">
        <f t="shared" si="61"/>
        <v>147.39662144196217</v>
      </c>
      <c r="N25" s="2">
        <f t="shared" si="61"/>
        <v>188.55119875999972</v>
      </c>
      <c r="O25" s="2">
        <f t="shared" si="61"/>
        <v>212.8562263899999</v>
      </c>
      <c r="P25" s="2">
        <f t="shared" si="61"/>
        <v>242.14666775137479</v>
      </c>
      <c r="Q25" s="2">
        <f t="shared" si="61"/>
        <v>290.46211044215954</v>
      </c>
      <c r="R25" s="2">
        <f t="shared" si="61"/>
        <v>323.43066836991323</v>
      </c>
      <c r="S25" s="2">
        <f t="shared" si="61"/>
        <v>325.45815989540017</v>
      </c>
      <c r="T25" s="2">
        <f t="shared" si="61"/>
        <v>342.82536998178864</v>
      </c>
      <c r="U25" s="2">
        <f t="shared" si="61"/>
        <v>390.15810917555427</v>
      </c>
      <c r="V25" s="2">
        <f t="shared" si="61"/>
        <v>411.58251051905029</v>
      </c>
      <c r="W25" s="2">
        <f t="shared" si="61"/>
        <v>367.0082252168765</v>
      </c>
      <c r="X25" s="2">
        <f t="shared" si="61"/>
        <v>306.98985332794678</v>
      </c>
      <c r="Y25" s="2">
        <f t="shared" si="61"/>
        <v>330.38224313729251</v>
      </c>
      <c r="Z25" s="2">
        <f t="shared" si="61"/>
        <v>430.0450956147173</v>
      </c>
      <c r="AA25" s="2">
        <f t="shared" si="61"/>
        <v>327.12148071395427</v>
      </c>
      <c r="AB25" s="2">
        <f t="shared" si="61"/>
        <v>345.16811442070644</v>
      </c>
      <c r="AC25" s="2">
        <f t="shared" si="61"/>
        <v>418.66379567502315</v>
      </c>
      <c r="AD25" s="2">
        <f t="shared" ref="AD25:AF25" si="62">AD21+AD24</f>
        <v>334.32982932227367</v>
      </c>
      <c r="AE25" s="2">
        <f t="shared" si="62"/>
        <v>371.28428005414173</v>
      </c>
      <c r="AF25" s="2">
        <f t="shared" si="62"/>
        <v>403.36122316823929</v>
      </c>
      <c r="AG25" s="2">
        <f t="shared" ref="AG25" si="63">AG21+AG24</f>
        <v>411.3140361218891</v>
      </c>
      <c r="AI25" s="2">
        <f t="shared" ref="AI25:AO25" si="64">AI21+AI24</f>
        <v>35.486496538448229</v>
      </c>
      <c r="AJ25" s="2">
        <f t="shared" si="64"/>
        <v>127.78436258633978</v>
      </c>
      <c r="AK25" s="2">
        <f t="shared" si="64"/>
        <v>478.7940000000001</v>
      </c>
      <c r="AL25" s="2">
        <f t="shared" si="64"/>
        <v>1068.8956729534475</v>
      </c>
      <c r="AM25" s="2">
        <f t="shared" si="64"/>
        <v>1470.0241495717928</v>
      </c>
      <c r="AN25" s="2">
        <f t="shared" si="64"/>
        <v>1434.4254172968335</v>
      </c>
      <c r="AO25" s="2">
        <f t="shared" si="64"/>
        <v>1425.2832201319588</v>
      </c>
    </row>
    <row r="26" spans="1:41" ht="14.25" hidden="1" customHeight="1" outlineLevel="1" x14ac:dyDescent="0.35">
      <c r="A26" s="22"/>
      <c r="B26" s="118" t="s">
        <v>222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-55.637999999999998</v>
      </c>
      <c r="Y26" s="4">
        <v>0</v>
      </c>
      <c r="Z26" s="4">
        <v>0</v>
      </c>
      <c r="AA26" s="4">
        <v>29.304000000000002</v>
      </c>
      <c r="AB26" s="4">
        <v>0</v>
      </c>
      <c r="AC26" s="4">
        <v>0</v>
      </c>
      <c r="AD26" s="4">
        <v>91.541999999999987</v>
      </c>
      <c r="AE26" s="4">
        <v>0</v>
      </c>
      <c r="AF26" s="4">
        <v>0</v>
      </c>
      <c r="AG26" s="4">
        <v>0</v>
      </c>
      <c r="AI26" s="4">
        <f t="shared" ref="AI26" si="65">SUM(C26:F26)</f>
        <v>0</v>
      </c>
      <c r="AJ26" s="4">
        <f t="shared" ref="AJ26" si="66">SUM(G26:J26)</f>
        <v>0</v>
      </c>
      <c r="AK26" s="4">
        <f t="shared" ref="AK26" si="67">SUM(K26:N26)</f>
        <v>0</v>
      </c>
      <c r="AL26" s="4">
        <f t="shared" ref="AL26" si="68">SUM(O26:R26)</f>
        <v>0</v>
      </c>
      <c r="AM26" s="4">
        <f t="shared" ref="AM26" si="69">SUM(S26:V26)</f>
        <v>0</v>
      </c>
      <c r="AN26" s="4">
        <f t="shared" ref="AN26" si="70">SUM(W26:Z26)</f>
        <v>-55.637999999999998</v>
      </c>
      <c r="AO26" s="4">
        <f t="shared" ref="AO26" si="71">SUM(AA26:AD26)</f>
        <v>120.84599999999999</v>
      </c>
    </row>
    <row r="27" spans="1:41" ht="14.25" customHeight="1" collapsed="1" x14ac:dyDescent="0.35">
      <c r="A27" s="22"/>
      <c r="B27" s="119" t="s">
        <v>223</v>
      </c>
      <c r="C27" s="120">
        <f>SUM(C25:C26)</f>
        <v>16.726847590778604</v>
      </c>
      <c r="D27" s="120">
        <f t="shared" ref="D27:AG27" si="72">SUM(D25:D26)</f>
        <v>6.3953677180700064</v>
      </c>
      <c r="E27" s="120">
        <f t="shared" si="72"/>
        <v>6.2441316937251452</v>
      </c>
      <c r="F27" s="120">
        <f t="shared" si="72"/>
        <v>6.1201495358744591</v>
      </c>
      <c r="G27" s="120">
        <f t="shared" si="72"/>
        <v>26.402484975135504</v>
      </c>
      <c r="H27" s="120">
        <f t="shared" si="72"/>
        <v>25.636027729107632</v>
      </c>
      <c r="I27" s="120">
        <f t="shared" si="72"/>
        <v>37.292527361628828</v>
      </c>
      <c r="J27" s="120">
        <f t="shared" si="72"/>
        <v>38.453322520467793</v>
      </c>
      <c r="K27" s="120">
        <f t="shared" si="72"/>
        <v>60.624692806570991</v>
      </c>
      <c r="L27" s="120">
        <f t="shared" si="72"/>
        <v>82.221486991467032</v>
      </c>
      <c r="M27" s="120">
        <f t="shared" si="72"/>
        <v>147.39662144196217</v>
      </c>
      <c r="N27" s="120">
        <f t="shared" si="72"/>
        <v>188.55119875999972</v>
      </c>
      <c r="O27" s="120">
        <f t="shared" si="72"/>
        <v>212.8562263899999</v>
      </c>
      <c r="P27" s="120">
        <f t="shared" si="72"/>
        <v>242.14666775137479</v>
      </c>
      <c r="Q27" s="120">
        <f t="shared" si="72"/>
        <v>290.46211044215954</v>
      </c>
      <c r="R27" s="120">
        <f t="shared" si="72"/>
        <v>323.43066836991323</v>
      </c>
      <c r="S27" s="120">
        <f t="shared" si="72"/>
        <v>325.45815989540017</v>
      </c>
      <c r="T27" s="120">
        <f t="shared" si="72"/>
        <v>342.82536998178864</v>
      </c>
      <c r="U27" s="120">
        <f t="shared" si="72"/>
        <v>390.15810917555427</v>
      </c>
      <c r="V27" s="120">
        <f t="shared" si="72"/>
        <v>411.58251051905029</v>
      </c>
      <c r="W27" s="120">
        <f t="shared" si="72"/>
        <v>367.0082252168765</v>
      </c>
      <c r="X27" s="120">
        <f t="shared" si="72"/>
        <v>251.35185332794677</v>
      </c>
      <c r="Y27" s="120">
        <f t="shared" si="72"/>
        <v>330.38224313729251</v>
      </c>
      <c r="Z27" s="120">
        <f t="shared" si="72"/>
        <v>430.0450956147173</v>
      </c>
      <c r="AA27" s="120">
        <f t="shared" si="72"/>
        <v>356.42548071395424</v>
      </c>
      <c r="AB27" s="120">
        <f t="shared" si="72"/>
        <v>345.16811442070644</v>
      </c>
      <c r="AC27" s="120">
        <f t="shared" si="72"/>
        <v>418.66379567502315</v>
      </c>
      <c r="AD27" s="120">
        <f t="shared" si="72"/>
        <v>425.87182932227364</v>
      </c>
      <c r="AE27" s="120">
        <f t="shared" si="72"/>
        <v>371.28428005414173</v>
      </c>
      <c r="AF27" s="120">
        <f t="shared" si="72"/>
        <v>403.36122316823929</v>
      </c>
      <c r="AG27" s="120">
        <f t="shared" si="72"/>
        <v>411.3140361218891</v>
      </c>
      <c r="AI27" s="120">
        <f t="shared" ref="AI27" si="73">SUM(AI25:AI26)</f>
        <v>35.486496538448229</v>
      </c>
      <c r="AJ27" s="120">
        <f t="shared" ref="AJ27" si="74">SUM(AJ25:AJ26)</f>
        <v>127.78436258633978</v>
      </c>
      <c r="AK27" s="120">
        <f t="shared" ref="AK27" si="75">SUM(AK25:AK26)</f>
        <v>478.7940000000001</v>
      </c>
      <c r="AL27" s="120">
        <f t="shared" ref="AL27" si="76">SUM(AL25:AL26)</f>
        <v>1068.8956729534475</v>
      </c>
      <c r="AM27" s="120">
        <f t="shared" ref="AM27" si="77">SUM(AM25:AM26)</f>
        <v>1470.0241495717928</v>
      </c>
      <c r="AN27" s="120">
        <f t="shared" ref="AN27" si="78">SUM(AN25:AN26)</f>
        <v>1378.7874172968336</v>
      </c>
      <c r="AO27" s="120">
        <f t="shared" ref="AO27" si="79">SUM(AO25:AO26)</f>
        <v>1546.1292201319588</v>
      </c>
    </row>
    <row r="28" spans="1:41" ht="14.25" customHeight="1" x14ac:dyDescent="0.35">
      <c r="B28" s="7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3"/>
      <c r="W28" s="4"/>
      <c r="X28" s="21"/>
      <c r="Y28" s="43"/>
      <c r="Z28" s="43"/>
      <c r="AA28" s="43"/>
      <c r="AB28" s="43"/>
      <c r="AC28" s="43"/>
      <c r="AD28" s="43"/>
      <c r="AE28" s="43"/>
      <c r="AF28" s="43"/>
      <c r="AG28" s="43"/>
    </row>
    <row r="29" spans="1:41" ht="14.25" customHeight="1" x14ac:dyDescent="0.35">
      <c r="A29" s="12"/>
      <c r="B29" s="54" t="s">
        <v>185</v>
      </c>
      <c r="C29" s="26" t="s">
        <v>21</v>
      </c>
      <c r="D29" s="26" t="s">
        <v>20</v>
      </c>
      <c r="E29" s="26" t="s">
        <v>19</v>
      </c>
      <c r="F29" s="26" t="s">
        <v>18</v>
      </c>
      <c r="G29" s="26" t="s">
        <v>17</v>
      </c>
      <c r="H29" s="26" t="s">
        <v>16</v>
      </c>
      <c r="I29" s="26" t="s">
        <v>15</v>
      </c>
      <c r="J29" s="26" t="s">
        <v>14</v>
      </c>
      <c r="K29" s="26" t="s">
        <v>13</v>
      </c>
      <c r="L29" s="26" t="s">
        <v>12</v>
      </c>
      <c r="M29" s="26" t="s">
        <v>11</v>
      </c>
      <c r="N29" s="26" t="s">
        <v>10</v>
      </c>
      <c r="O29" s="26" t="s">
        <v>9</v>
      </c>
      <c r="P29" s="26" t="s">
        <v>8</v>
      </c>
      <c r="Q29" s="26" t="s">
        <v>7</v>
      </c>
      <c r="R29" s="26" t="s">
        <v>6</v>
      </c>
      <c r="S29" s="26" t="s">
        <v>5</v>
      </c>
      <c r="T29" s="26" t="s">
        <v>4</v>
      </c>
      <c r="U29" s="26" t="s">
        <v>101</v>
      </c>
      <c r="V29" s="26" t="s">
        <v>102</v>
      </c>
      <c r="W29" s="26" t="s">
        <v>104</v>
      </c>
      <c r="X29" s="26" t="s">
        <v>107</v>
      </c>
      <c r="Y29" s="26" t="s">
        <v>112</v>
      </c>
      <c r="Z29" s="26" t="s">
        <v>122</v>
      </c>
      <c r="AA29" s="26" t="s">
        <v>139</v>
      </c>
      <c r="AB29" s="26" t="s">
        <v>149</v>
      </c>
      <c r="AC29" s="26" t="s">
        <v>154</v>
      </c>
      <c r="AD29" s="26" t="s">
        <v>168</v>
      </c>
      <c r="AE29" s="26" t="s">
        <v>187</v>
      </c>
      <c r="AF29" s="26" t="s">
        <v>206</v>
      </c>
      <c r="AG29" s="26" t="s">
        <v>216</v>
      </c>
      <c r="AI29" s="26">
        <v>2015</v>
      </c>
      <c r="AJ29" s="26">
        <v>2016</v>
      </c>
      <c r="AK29" s="26">
        <v>2017</v>
      </c>
      <c r="AL29" s="26">
        <v>2018</v>
      </c>
      <c r="AM29" s="26">
        <v>2019</v>
      </c>
      <c r="AN29" s="26">
        <v>2020</v>
      </c>
      <c r="AO29" s="26">
        <v>2021</v>
      </c>
    </row>
    <row r="30" spans="1:41" ht="14.25" hidden="1" customHeight="1" outlineLevel="1" x14ac:dyDescent="0.35">
      <c r="A30" s="12"/>
      <c r="B30" s="7" t="s">
        <v>3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2.9617000012649441E-4</v>
      </c>
      <c r="P30" s="4">
        <v>-2.1299995296431007E-6</v>
      </c>
      <c r="Q30" s="4">
        <v>3.697099997452824E-4</v>
      </c>
      <c r="R30" s="4">
        <v>-6.7075000060867751E-4</v>
      </c>
      <c r="S30" s="4">
        <v>0</v>
      </c>
      <c r="T30" s="4">
        <v>0</v>
      </c>
      <c r="U30" s="4">
        <v>2.7335759999914444E-2</v>
      </c>
      <c r="V30" s="4">
        <v>-4.489509999530128E-3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f>'PAGS | IS GAAP'!AE6-'PAGS | IS NON-GAAP'!AE6</f>
        <v>0</v>
      </c>
      <c r="AF30" s="4">
        <f>'PAGS | IS GAAP'!AF6-'PAGS | IS NON-GAAP'!AF6</f>
        <v>0</v>
      </c>
      <c r="AG30" s="4">
        <f>'PAGS | IS GAAP'!AG6-'PAGS | IS NON-GAAP'!AG6</f>
        <v>0</v>
      </c>
      <c r="AI30" s="4">
        <f>SUM(C30:F30)</f>
        <v>0</v>
      </c>
      <c r="AJ30" s="4">
        <f>SUM(G30:J30)</f>
        <v>0</v>
      </c>
      <c r="AK30" s="4">
        <f>SUM(K30:N30)</f>
        <v>0</v>
      </c>
      <c r="AL30" s="4">
        <f>SUM(O30:R30)</f>
        <v>-7.0000002665437933E-6</v>
      </c>
      <c r="AM30" s="4">
        <f>SUM(S30:V30)</f>
        <v>2.2846250000384316E-2</v>
      </c>
      <c r="AN30" s="4">
        <f>SUM(W30:Z30)</f>
        <v>0</v>
      </c>
      <c r="AO30" s="4">
        <f>SUM(AA30:AD30)</f>
        <v>0</v>
      </c>
    </row>
    <row r="31" spans="1:41" ht="14.25" hidden="1" customHeight="1" outlineLevel="1" x14ac:dyDescent="0.35">
      <c r="A31" s="12"/>
      <c r="B31" s="7" t="s">
        <v>2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4.3543999998973959E-4</v>
      </c>
      <c r="P31" s="4">
        <v>-1.6949000001886816E-4</v>
      </c>
      <c r="Q31" s="4">
        <v>-4.6276999999861346E-4</v>
      </c>
      <c r="R31" s="4">
        <v>-2.5018000002319241E-4</v>
      </c>
      <c r="S31" s="4">
        <v>0</v>
      </c>
      <c r="T31" s="4">
        <v>0</v>
      </c>
      <c r="U31" s="4">
        <v>-3.900523999999983E-2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f>'PAGS | IS GAAP'!AE7-'PAGS | IS NON-GAAP'!AE7</f>
        <v>0</v>
      </c>
      <c r="AF31" s="4">
        <f>'PAGS | IS GAAP'!AF7-'PAGS | IS NON-GAAP'!AF7</f>
        <v>0</v>
      </c>
      <c r="AG31" s="4">
        <f>'PAGS | IS GAAP'!AG7-'PAGS | IS NON-GAAP'!AG7</f>
        <v>0</v>
      </c>
      <c r="AI31" s="4">
        <f t="shared" ref="AI31:AI34" si="80">SUM(C31:F31)</f>
        <v>0</v>
      </c>
      <c r="AJ31" s="4">
        <f t="shared" ref="AJ31:AJ34" si="81">SUM(G31:J31)</f>
        <v>0</v>
      </c>
      <c r="AK31" s="4">
        <f t="shared" ref="AK31:AK34" si="82">SUM(K31:N31)</f>
        <v>0</v>
      </c>
      <c r="AL31" s="4">
        <f t="shared" ref="AL31:AL34" si="83">SUM(O31:R31)</f>
        <v>-4.4700000005093443E-4</v>
      </c>
      <c r="AM31" s="4">
        <f t="shared" ref="AM31:AM34" si="84">SUM(S31:V31)</f>
        <v>-3.900523999999983E-2</v>
      </c>
      <c r="AN31" s="4">
        <f t="shared" ref="AN31:AN34" si="85">SUM(W31:Z31)</f>
        <v>0</v>
      </c>
      <c r="AO31" s="4">
        <f t="shared" ref="AO31:AO34" si="86">SUM(AA31:AD31)</f>
        <v>0</v>
      </c>
    </row>
    <row r="32" spans="1:41" ht="14.25" hidden="1" customHeight="1" outlineLevel="1" x14ac:dyDescent="0.35">
      <c r="A32" s="12"/>
      <c r="B32" s="7" t="s">
        <v>1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-4.1987000003018693E-4</v>
      </c>
      <c r="P32" s="4">
        <v>5.6583000008458839E-4</v>
      </c>
      <c r="Q32" s="4">
        <v>-4.5024000002058528E-4</v>
      </c>
      <c r="R32" s="4">
        <v>-9.5719999990251381E-5</v>
      </c>
      <c r="S32" s="4">
        <v>0</v>
      </c>
      <c r="T32" s="4">
        <v>0</v>
      </c>
      <c r="U32" s="4">
        <v>0</v>
      </c>
      <c r="V32" s="4">
        <v>-1.5901409999628413E-2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f>'PAGS | IS GAAP'!AE8-'PAGS | IS NON-GAAP'!AE8</f>
        <v>0</v>
      </c>
      <c r="AF32" s="4">
        <f>'PAGS | IS GAAP'!AF8-'PAGS | IS NON-GAAP'!AF8</f>
        <v>0</v>
      </c>
      <c r="AG32" s="4">
        <f>'PAGS | IS GAAP'!AG8-'PAGS | IS NON-GAAP'!AG8</f>
        <v>0</v>
      </c>
      <c r="AI32" s="4">
        <f t="shared" si="80"/>
        <v>0</v>
      </c>
      <c r="AJ32" s="4">
        <f t="shared" si="81"/>
        <v>0</v>
      </c>
      <c r="AK32" s="4">
        <f t="shared" si="82"/>
        <v>0</v>
      </c>
      <c r="AL32" s="4">
        <f t="shared" si="83"/>
        <v>-3.999999999564352E-4</v>
      </c>
      <c r="AM32" s="4">
        <f t="shared" si="84"/>
        <v>-1.5901409999628413E-2</v>
      </c>
      <c r="AN32" s="4">
        <f t="shared" si="85"/>
        <v>0</v>
      </c>
      <c r="AO32" s="4">
        <f t="shared" si="86"/>
        <v>0</v>
      </c>
    </row>
    <row r="33" spans="1:41" ht="14.25" hidden="1" customHeight="1" outlineLevel="1" x14ac:dyDescent="0.35">
      <c r="A33" s="12"/>
      <c r="B33" s="7" t="s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89.776641780000006</v>
      </c>
      <c r="P33" s="4">
        <v>27.321550599999988</v>
      </c>
      <c r="Q33" s="4">
        <v>14.266778030000012</v>
      </c>
      <c r="R33" s="4">
        <v>-0.11412834000003613</v>
      </c>
      <c r="S33" s="4">
        <v>0</v>
      </c>
      <c r="T33" s="4">
        <v>0</v>
      </c>
      <c r="U33" s="4">
        <v>0</v>
      </c>
      <c r="V33" s="4">
        <v>-9.4153099999978451E-3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f>'PAGS | IS GAAP'!AE9-'PAGS | IS NON-GAAP'!AE9</f>
        <v>0</v>
      </c>
      <c r="AF33" s="4">
        <f>'PAGS | IS GAAP'!AF9-'PAGS | IS NON-GAAP'!AF9</f>
        <v>0</v>
      </c>
      <c r="AG33" s="4">
        <f>'PAGS | IS GAAP'!AG9-'PAGS | IS NON-GAAP'!AG9</f>
        <v>0</v>
      </c>
      <c r="AI33" s="4">
        <f t="shared" si="80"/>
        <v>0</v>
      </c>
      <c r="AJ33" s="4">
        <f t="shared" si="81"/>
        <v>0</v>
      </c>
      <c r="AK33" s="4">
        <f t="shared" si="82"/>
        <v>0</v>
      </c>
      <c r="AL33" s="4">
        <f t="shared" si="83"/>
        <v>131.25084206999998</v>
      </c>
      <c r="AM33" s="4">
        <f t="shared" si="84"/>
        <v>-9.4153099999978451E-3</v>
      </c>
      <c r="AN33" s="4">
        <f t="shared" si="85"/>
        <v>0</v>
      </c>
      <c r="AO33" s="4">
        <f t="shared" si="86"/>
        <v>0</v>
      </c>
    </row>
    <row r="34" spans="1:41" ht="14.25" customHeight="1" collapsed="1" x14ac:dyDescent="0.35">
      <c r="A34" s="12"/>
      <c r="B34" s="3" t="s">
        <v>123</v>
      </c>
      <c r="C34" s="2">
        <f t="shared" ref="C34:F34" si="87">SUM(C30:C33)</f>
        <v>0</v>
      </c>
      <c r="D34" s="2">
        <f t="shared" si="87"/>
        <v>0</v>
      </c>
      <c r="E34" s="2">
        <f t="shared" si="87"/>
        <v>0</v>
      </c>
      <c r="F34" s="2">
        <f t="shared" si="87"/>
        <v>0</v>
      </c>
      <c r="G34" s="2">
        <f t="shared" ref="G34:AC34" si="88">SUM(G30:G33)</f>
        <v>0</v>
      </c>
      <c r="H34" s="2">
        <f t="shared" si="88"/>
        <v>0</v>
      </c>
      <c r="I34" s="2">
        <f t="shared" si="88"/>
        <v>0</v>
      </c>
      <c r="J34" s="2">
        <f t="shared" si="88"/>
        <v>0</v>
      </c>
      <c r="K34" s="2">
        <f t="shared" si="88"/>
        <v>0</v>
      </c>
      <c r="L34" s="2">
        <f t="shared" si="88"/>
        <v>0</v>
      </c>
      <c r="M34" s="2">
        <f t="shared" si="88"/>
        <v>0</v>
      </c>
      <c r="N34" s="2">
        <f t="shared" si="88"/>
        <v>0</v>
      </c>
      <c r="O34" s="2">
        <f t="shared" si="88"/>
        <v>89.776953520000092</v>
      </c>
      <c r="P34" s="2">
        <f t="shared" si="88"/>
        <v>27.321944810000524</v>
      </c>
      <c r="Q34" s="2">
        <f t="shared" si="88"/>
        <v>14.266234729999738</v>
      </c>
      <c r="R34" s="2">
        <f t="shared" si="88"/>
        <v>-0.11514499000065825</v>
      </c>
      <c r="S34" s="2">
        <f t="shared" si="88"/>
        <v>0</v>
      </c>
      <c r="T34" s="2">
        <f t="shared" si="88"/>
        <v>0</v>
      </c>
      <c r="U34" s="2">
        <f t="shared" si="88"/>
        <v>-1.1669480000085386E-2</v>
      </c>
      <c r="V34" s="2">
        <f t="shared" si="88"/>
        <v>-2.9806229999156386E-2</v>
      </c>
      <c r="W34" s="2">
        <f t="shared" si="88"/>
        <v>0</v>
      </c>
      <c r="X34" s="2">
        <f t="shared" si="88"/>
        <v>0</v>
      </c>
      <c r="Y34" s="2">
        <f t="shared" si="88"/>
        <v>0</v>
      </c>
      <c r="Z34" s="2">
        <f t="shared" si="88"/>
        <v>0</v>
      </c>
      <c r="AA34" s="2">
        <f t="shared" si="88"/>
        <v>0</v>
      </c>
      <c r="AB34" s="2">
        <f t="shared" si="88"/>
        <v>0</v>
      </c>
      <c r="AC34" s="2">
        <f t="shared" si="88"/>
        <v>0</v>
      </c>
      <c r="AD34" s="2">
        <f t="shared" ref="AD34:AE34" si="89">SUM(AD30:AD33)</f>
        <v>0</v>
      </c>
      <c r="AE34" s="2">
        <f t="shared" si="89"/>
        <v>0</v>
      </c>
      <c r="AF34" s="2">
        <f t="shared" ref="AF34:AG34" si="90">SUM(AF30:AF33)</f>
        <v>0</v>
      </c>
      <c r="AG34" s="2">
        <f t="shared" si="90"/>
        <v>0</v>
      </c>
      <c r="AI34" s="2">
        <f t="shared" si="80"/>
        <v>0</v>
      </c>
      <c r="AJ34" s="2">
        <f t="shared" si="81"/>
        <v>0</v>
      </c>
      <c r="AK34" s="2">
        <f t="shared" si="82"/>
        <v>0</v>
      </c>
      <c r="AL34" s="2">
        <f t="shared" si="83"/>
        <v>131.24998806999969</v>
      </c>
      <c r="AM34" s="2">
        <f t="shared" si="84"/>
        <v>-4.1475709999241772E-2</v>
      </c>
      <c r="AN34" s="2">
        <f t="shared" si="85"/>
        <v>0</v>
      </c>
      <c r="AO34" s="2">
        <f t="shared" si="86"/>
        <v>0</v>
      </c>
    </row>
    <row r="35" spans="1:41" ht="14.25" hidden="1" customHeight="1" outlineLevel="1" x14ac:dyDescent="0.35">
      <c r="A35" s="12"/>
      <c r="B35" s="7" t="s">
        <v>207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f>'PAGS | IS GAAP'!AE11-'PAGS | IS NON-GAAP'!AE11</f>
        <v>0</v>
      </c>
      <c r="AF35" s="4">
        <f>'PAGS | IS GAAP'!AF11-'PAGS | IS NON-GAAP'!AF11</f>
        <v>0</v>
      </c>
      <c r="AG35" s="4">
        <f>'PAGS | IS GAAP'!AG11-'PAGS | IS NON-GAAP'!AG11</f>
        <v>0</v>
      </c>
      <c r="AI35" s="4">
        <v>0</v>
      </c>
      <c r="AJ35" s="4">
        <v>0</v>
      </c>
      <c r="AK35" s="4">
        <f t="shared" ref="AK35" si="91">SUM(K35:N35)</f>
        <v>0</v>
      </c>
      <c r="AL35" s="4">
        <f t="shared" ref="AL35" si="92">SUM(O35:R35)</f>
        <v>0</v>
      </c>
      <c r="AM35" s="4">
        <f t="shared" ref="AM35" si="93">SUM(S35:V35)</f>
        <v>0</v>
      </c>
      <c r="AN35" s="4">
        <f t="shared" ref="AN35" si="94">SUM(W35:Z35)</f>
        <v>0</v>
      </c>
      <c r="AO35" s="4">
        <f t="shared" ref="AO35" si="95">SUM(AA35:AD35)</f>
        <v>0</v>
      </c>
    </row>
    <row r="36" spans="1:41" ht="14.25" customHeight="1" collapsed="1" x14ac:dyDescent="0.35">
      <c r="A36" s="12"/>
      <c r="B36" s="37" t="s">
        <v>124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f t="shared" ref="K36:AC36" si="96">K34+K35</f>
        <v>0</v>
      </c>
      <c r="L36" s="38">
        <f t="shared" si="96"/>
        <v>0</v>
      </c>
      <c r="M36" s="38">
        <f t="shared" si="96"/>
        <v>0</v>
      </c>
      <c r="N36" s="38">
        <f t="shared" si="96"/>
        <v>0</v>
      </c>
      <c r="O36" s="38">
        <f t="shared" si="96"/>
        <v>89.776953520000092</v>
      </c>
      <c r="P36" s="38">
        <f t="shared" si="96"/>
        <v>27.321944810000524</v>
      </c>
      <c r="Q36" s="38">
        <f t="shared" si="96"/>
        <v>14.266234729999738</v>
      </c>
      <c r="R36" s="38">
        <f t="shared" si="96"/>
        <v>-0.11514499000065825</v>
      </c>
      <c r="S36" s="38">
        <f t="shared" si="96"/>
        <v>0</v>
      </c>
      <c r="T36" s="38">
        <f t="shared" si="96"/>
        <v>0</v>
      </c>
      <c r="U36" s="38">
        <f t="shared" si="96"/>
        <v>-1.1669480000085386E-2</v>
      </c>
      <c r="V36" s="38">
        <f t="shared" si="96"/>
        <v>-2.9806229999156386E-2</v>
      </c>
      <c r="W36" s="38">
        <f t="shared" si="96"/>
        <v>0</v>
      </c>
      <c r="X36" s="38">
        <f t="shared" si="96"/>
        <v>0</v>
      </c>
      <c r="Y36" s="38">
        <f t="shared" si="96"/>
        <v>0</v>
      </c>
      <c r="Z36" s="38">
        <f t="shared" si="96"/>
        <v>0</v>
      </c>
      <c r="AA36" s="38">
        <f t="shared" si="96"/>
        <v>0</v>
      </c>
      <c r="AB36" s="38">
        <f t="shared" si="96"/>
        <v>0</v>
      </c>
      <c r="AC36" s="38">
        <f t="shared" si="96"/>
        <v>0</v>
      </c>
      <c r="AD36" s="38">
        <f t="shared" ref="AD36:AE36" si="97">AD34+AD35</f>
        <v>0</v>
      </c>
      <c r="AE36" s="38">
        <f t="shared" si="97"/>
        <v>0</v>
      </c>
      <c r="AF36" s="38">
        <f t="shared" ref="AF36:AG36" si="98">AF34+AF35</f>
        <v>0</v>
      </c>
      <c r="AG36" s="38">
        <f t="shared" si="98"/>
        <v>0</v>
      </c>
      <c r="AI36" s="38">
        <v>0</v>
      </c>
      <c r="AJ36" s="38">
        <v>0</v>
      </c>
      <c r="AK36" s="38">
        <f t="shared" ref="AK36:AO36" si="99">AK34+AK35</f>
        <v>0</v>
      </c>
      <c r="AL36" s="38">
        <f t="shared" si="99"/>
        <v>131.24998806999969</v>
      </c>
      <c r="AM36" s="38">
        <f t="shared" si="99"/>
        <v>-4.1475709999241772E-2</v>
      </c>
      <c r="AN36" s="38">
        <f t="shared" si="99"/>
        <v>0</v>
      </c>
      <c r="AO36" s="38">
        <f t="shared" si="99"/>
        <v>0</v>
      </c>
    </row>
    <row r="37" spans="1:41" ht="14.25" hidden="1" customHeight="1" outlineLevel="1" x14ac:dyDescent="0.35">
      <c r="A37" s="12"/>
      <c r="B37" s="7" t="s">
        <v>23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-38.230999999999995</v>
      </c>
      <c r="P37" s="4">
        <v>-11.303040203787702</v>
      </c>
      <c r="Q37" s="4">
        <v>-9.7429688868085123</v>
      </c>
      <c r="R37" s="4">
        <v>-0.53169588537230084</v>
      </c>
      <c r="S37" s="4">
        <v>-1.9059587417795001</v>
      </c>
      <c r="T37" s="4">
        <v>-2.4325296807360246</v>
      </c>
      <c r="U37" s="4">
        <v>-19.605000000000018</v>
      </c>
      <c r="V37" s="4">
        <v>-4.2719253705939764</v>
      </c>
      <c r="W37" s="4">
        <v>-2.2020268437084951</v>
      </c>
      <c r="X37" s="4">
        <v>-2.320761345730034</v>
      </c>
      <c r="Y37" s="4">
        <v>-5.2589344123741739</v>
      </c>
      <c r="Z37" s="4">
        <v>-10.337859360000039</v>
      </c>
      <c r="AA37" s="4">
        <v>-5.734887609999987</v>
      </c>
      <c r="AB37" s="4">
        <v>-8.2576437499999429</v>
      </c>
      <c r="AC37" s="4">
        <v>-11.504018639777769</v>
      </c>
      <c r="AD37" s="4">
        <v>-3.09865454504029</v>
      </c>
      <c r="AE37" s="4">
        <f>'PAGS | IS GAAP'!AE13-'PAGS | IS NON-GAAP'!AE13</f>
        <v>-2.1455238999999438</v>
      </c>
      <c r="AF37" s="4">
        <f>'PAGS | IS GAAP'!AF13-'PAGS | IS NON-GAAP'!AF13</f>
        <v>-4.0210812299999361</v>
      </c>
      <c r="AG37" s="4">
        <f>'PAGS | IS GAAP'!AG13-'PAGS | IS NON-GAAP'!AG13</f>
        <v>49.05782570071483</v>
      </c>
      <c r="AI37" s="4">
        <f t="shared" ref="AI37:AI41" si="100">SUM(C37:F37)</f>
        <v>0</v>
      </c>
      <c r="AJ37" s="4">
        <f t="shared" ref="AJ37:AJ41" si="101">SUM(G37:J37)</f>
        <v>0</v>
      </c>
      <c r="AK37" s="4">
        <f t="shared" ref="AK37:AK41" si="102">SUM(K37:N37)</f>
        <v>0</v>
      </c>
      <c r="AL37" s="4">
        <f t="shared" ref="AL37:AL41" si="103">SUM(O37:R37)</f>
        <v>-59.80870497596851</v>
      </c>
      <c r="AM37" s="4">
        <f t="shared" ref="AM37:AM41" si="104">SUM(S37:V37)</f>
        <v>-28.215413793109519</v>
      </c>
      <c r="AN37" s="4">
        <f t="shared" ref="AN37:AN41" si="105">SUM(W37:Z37)</f>
        <v>-20.119581961812742</v>
      </c>
      <c r="AO37" s="4">
        <f t="shared" ref="AO37:AO41" si="106">SUM(AA37:AD37)</f>
        <v>-28.595204544817989</v>
      </c>
    </row>
    <row r="38" spans="1:41" ht="14.25" hidden="1" customHeight="1" outlineLevel="1" x14ac:dyDescent="0.35">
      <c r="A38" s="12"/>
      <c r="B38" s="7" t="s">
        <v>24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8.0919231720599782E-5</v>
      </c>
      <c r="Q38" s="4">
        <v>-3.9121282895848708E-4</v>
      </c>
      <c r="R38" s="4">
        <v>-0.34198032000001888</v>
      </c>
      <c r="S38" s="4">
        <v>0</v>
      </c>
      <c r="T38" s="4">
        <v>0</v>
      </c>
      <c r="U38" s="4">
        <v>-5.6000000000011596E-2</v>
      </c>
      <c r="V38" s="4">
        <v>2.3375043183904154E-2</v>
      </c>
      <c r="W38" s="4">
        <v>-2.7852999991750949E-4</v>
      </c>
      <c r="X38" s="4">
        <v>0</v>
      </c>
      <c r="Y38" s="4">
        <v>-0.37937385000000745</v>
      </c>
      <c r="Z38" s="4">
        <v>-0.71275923999999691</v>
      </c>
      <c r="AA38" s="4">
        <v>-0.70759899000000814</v>
      </c>
      <c r="AB38" s="4">
        <v>-0.15230724999997847</v>
      </c>
      <c r="AC38" s="4">
        <v>-0.11709144000002425</v>
      </c>
      <c r="AD38" s="4">
        <v>-0.3790000000000191</v>
      </c>
      <c r="AE38" s="4">
        <f>'PAGS | IS GAAP'!AE14-'PAGS | IS NON-GAAP'!AE14</f>
        <v>-0.28116289000001871</v>
      </c>
      <c r="AF38" s="4">
        <f>'PAGS | IS GAAP'!AF14-'PAGS | IS NON-GAAP'!AF14</f>
        <v>-4.4228149999980815E-2</v>
      </c>
      <c r="AG38" s="4">
        <f>'PAGS | IS GAAP'!AG14-'PAGS | IS NON-GAAP'!AG14</f>
        <v>0</v>
      </c>
      <c r="AI38" s="4">
        <f t="shared" si="100"/>
        <v>0</v>
      </c>
      <c r="AJ38" s="4">
        <f t="shared" si="101"/>
        <v>0</v>
      </c>
      <c r="AK38" s="4">
        <f t="shared" si="102"/>
        <v>0</v>
      </c>
      <c r="AL38" s="4">
        <f t="shared" si="103"/>
        <v>-0.34229061359725677</v>
      </c>
      <c r="AM38" s="4">
        <f t="shared" si="104"/>
        <v>-3.2624956816107442E-2</v>
      </c>
      <c r="AN38" s="4">
        <f t="shared" si="105"/>
        <v>-1.0924116199999219</v>
      </c>
      <c r="AO38" s="4">
        <f t="shared" si="106"/>
        <v>-1.35599768000003</v>
      </c>
    </row>
    <row r="39" spans="1:41" ht="14.25" hidden="1" customHeight="1" outlineLevel="1" x14ac:dyDescent="0.35">
      <c r="A39" s="12"/>
      <c r="B39" s="7" t="s">
        <v>25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-172.35300000000001</v>
      </c>
      <c r="P39" s="4">
        <v>-50.955163623009369</v>
      </c>
      <c r="Q39" s="4">
        <v>-105.78304659739919</v>
      </c>
      <c r="R39" s="4">
        <v>-30.199908174540475</v>
      </c>
      <c r="S39" s="4">
        <v>-21.918525948220548</v>
      </c>
      <c r="T39" s="4">
        <v>-27.974091503792238</v>
      </c>
      <c r="U39" s="4">
        <v>-52.685000000000002</v>
      </c>
      <c r="V39" s="4">
        <v>-25.564629961012699</v>
      </c>
      <c r="W39" s="4">
        <v>-13.092265368932487</v>
      </c>
      <c r="X39" s="4">
        <v>-13.795636888505896</v>
      </c>
      <c r="Y39" s="4">
        <v>-95.742915109120048</v>
      </c>
      <c r="Z39" s="4">
        <v>-71.379433890000001</v>
      </c>
      <c r="AA39" s="4">
        <v>-78.0950762075</v>
      </c>
      <c r="AB39" s="4">
        <v>-100.2641275325</v>
      </c>
      <c r="AC39" s="4">
        <v>-135.52403347675124</v>
      </c>
      <c r="AD39" s="4">
        <v>-46.617979569203158</v>
      </c>
      <c r="AE39" s="4">
        <f>'PAGS | IS GAAP'!AE15-'PAGS | IS NON-GAAP'!AE15</f>
        <v>-29.940622137499986</v>
      </c>
      <c r="AF39" s="4">
        <f>'PAGS | IS GAAP'!AF15-'PAGS | IS NON-GAAP'!AF15</f>
        <v>-51.146384437500018</v>
      </c>
      <c r="AG39" s="4">
        <f>'PAGS | IS GAAP'!AG15-'PAGS | IS NON-GAAP'!AG15</f>
        <v>-44.196462532826246</v>
      </c>
      <c r="AI39" s="4">
        <f t="shared" si="100"/>
        <v>0</v>
      </c>
      <c r="AJ39" s="4">
        <f t="shared" si="101"/>
        <v>0</v>
      </c>
      <c r="AK39" s="4">
        <f t="shared" si="102"/>
        <v>0</v>
      </c>
      <c r="AL39" s="4">
        <f t="shared" si="103"/>
        <v>-359.29111839494908</v>
      </c>
      <c r="AM39" s="4">
        <f t="shared" si="104"/>
        <v>-128.14224741302547</v>
      </c>
      <c r="AN39" s="4">
        <f t="shared" si="105"/>
        <v>-194.01025125655843</v>
      </c>
      <c r="AO39" s="4">
        <f t="shared" si="106"/>
        <v>-360.5012167859544</v>
      </c>
    </row>
    <row r="40" spans="1:41" ht="14.25" hidden="1" customHeight="1" outlineLevel="1" x14ac:dyDescent="0.35">
      <c r="A40" s="12"/>
      <c r="B40" s="7" t="s">
        <v>26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-13.094000000000001</v>
      </c>
      <c r="P40" s="4">
        <v>-0.73266031999999948</v>
      </c>
      <c r="Q40" s="4">
        <v>-4.1493597400000013</v>
      </c>
      <c r="R40" s="4">
        <v>0</v>
      </c>
      <c r="S40" s="4">
        <v>0</v>
      </c>
      <c r="T40" s="4">
        <v>0</v>
      </c>
      <c r="U40" s="4">
        <v>0</v>
      </c>
      <c r="V40" s="4">
        <v>3.9083469999997789E-2</v>
      </c>
      <c r="W40" s="4">
        <v>-1.002999999855092E-5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f>'PAGS | IS GAAP'!AE16-'PAGS | IS NON-GAAP'!AE16</f>
        <v>0</v>
      </c>
      <c r="AF40" s="4">
        <f>'PAGS | IS GAAP'!AF16-'PAGS | IS NON-GAAP'!AF16</f>
        <v>0</v>
      </c>
      <c r="AG40" s="4">
        <f>'PAGS | IS GAAP'!AG16-'PAGS | IS NON-GAAP'!AG16</f>
        <v>0</v>
      </c>
      <c r="AI40" s="4">
        <f t="shared" si="100"/>
        <v>0</v>
      </c>
      <c r="AJ40" s="4">
        <f t="shared" si="101"/>
        <v>0</v>
      </c>
      <c r="AK40" s="4">
        <f t="shared" si="102"/>
        <v>0</v>
      </c>
      <c r="AL40" s="4">
        <f t="shared" si="103"/>
        <v>-17.976020060000003</v>
      </c>
      <c r="AM40" s="4">
        <f t="shared" si="104"/>
        <v>3.9083469999997789E-2</v>
      </c>
      <c r="AN40" s="4">
        <f t="shared" si="105"/>
        <v>-1.002999999855092E-5</v>
      </c>
      <c r="AO40" s="4">
        <f t="shared" si="106"/>
        <v>0</v>
      </c>
    </row>
    <row r="41" spans="1:41" ht="14.25" hidden="1" customHeight="1" outlineLevel="1" x14ac:dyDescent="0.35">
      <c r="A41" s="12"/>
      <c r="B41" s="7" t="s">
        <v>27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-9.4816381000009664E-4</v>
      </c>
      <c r="Q41" s="4">
        <v>3.9290447749884549E-4</v>
      </c>
      <c r="R41" s="4">
        <v>0</v>
      </c>
      <c r="S41" s="4">
        <v>0</v>
      </c>
      <c r="T41" s="4">
        <v>0</v>
      </c>
      <c r="U41" s="4">
        <v>0</v>
      </c>
      <c r="V41" s="4">
        <v>-2.6432562971500317E-2</v>
      </c>
      <c r="W41" s="4">
        <v>2.1588281389872677E-4</v>
      </c>
      <c r="X41" s="4">
        <v>0</v>
      </c>
      <c r="Y41" s="4">
        <v>0</v>
      </c>
      <c r="Z41" s="4">
        <v>-0.13903928400210219</v>
      </c>
      <c r="AA41" s="4">
        <v>0</v>
      </c>
      <c r="AB41" s="4">
        <v>-1.9714937199999998</v>
      </c>
      <c r="AC41" s="4">
        <v>0</v>
      </c>
      <c r="AD41" s="4">
        <v>0</v>
      </c>
      <c r="AE41" s="4">
        <f>'PAGS | IS GAAP'!AE17-'PAGS | IS NON-GAAP'!AE17</f>
        <v>0</v>
      </c>
      <c r="AF41" s="4">
        <f>'PAGS | IS GAAP'!AF17-'PAGS | IS NON-GAAP'!AF17</f>
        <v>0</v>
      </c>
      <c r="AG41" s="4">
        <f>'PAGS | IS GAAP'!AG17-'PAGS | IS NON-GAAP'!AG17</f>
        <v>-51.871459080000001</v>
      </c>
      <c r="AI41" s="4">
        <f t="shared" si="100"/>
        <v>0</v>
      </c>
      <c r="AJ41" s="4">
        <f t="shared" si="101"/>
        <v>0</v>
      </c>
      <c r="AK41" s="4">
        <f t="shared" si="102"/>
        <v>0</v>
      </c>
      <c r="AL41" s="4">
        <f t="shared" si="103"/>
        <v>-5.5525933250125115E-4</v>
      </c>
      <c r="AM41" s="4">
        <f t="shared" si="104"/>
        <v>-2.6432562971500317E-2</v>
      </c>
      <c r="AN41" s="4">
        <f t="shared" si="105"/>
        <v>-0.13882340118820347</v>
      </c>
      <c r="AO41" s="4">
        <f t="shared" si="106"/>
        <v>-1.9714937199999998</v>
      </c>
    </row>
    <row r="42" spans="1:41" ht="14.25" customHeight="1" collapsed="1" x14ac:dyDescent="0.35">
      <c r="A42" s="12"/>
      <c r="B42" s="3" t="s">
        <v>125</v>
      </c>
      <c r="C42" s="2">
        <f>SUM(C37:C41)</f>
        <v>0</v>
      </c>
      <c r="D42" s="2">
        <f t="shared" ref="D42:F42" si="107">SUM(D37:D41)</f>
        <v>0</v>
      </c>
      <c r="E42" s="2">
        <f t="shared" si="107"/>
        <v>0</v>
      </c>
      <c r="F42" s="2">
        <f t="shared" si="107"/>
        <v>0</v>
      </c>
      <c r="G42" s="2">
        <f t="shared" ref="G42:U42" si="108">SUM(G37:G41)</f>
        <v>0</v>
      </c>
      <c r="H42" s="2">
        <f t="shared" si="108"/>
        <v>0</v>
      </c>
      <c r="I42" s="2">
        <f t="shared" si="108"/>
        <v>0</v>
      </c>
      <c r="J42" s="2">
        <f t="shared" si="108"/>
        <v>0</v>
      </c>
      <c r="K42" s="2">
        <f t="shared" si="108"/>
        <v>0</v>
      </c>
      <c r="L42" s="2">
        <f t="shared" si="108"/>
        <v>0</v>
      </c>
      <c r="M42" s="2">
        <f t="shared" si="108"/>
        <v>0</v>
      </c>
      <c r="N42" s="2">
        <f t="shared" si="108"/>
        <v>0</v>
      </c>
      <c r="O42" s="2">
        <f t="shared" si="108"/>
        <v>-223.678</v>
      </c>
      <c r="P42" s="2">
        <f t="shared" si="108"/>
        <v>-62.991731391375353</v>
      </c>
      <c r="Q42" s="2">
        <f t="shared" si="108"/>
        <v>-119.67537353255916</v>
      </c>
      <c r="R42" s="2">
        <f t="shared" si="108"/>
        <v>-31.073584379912795</v>
      </c>
      <c r="S42" s="2">
        <f t="shared" si="108"/>
        <v>-23.824484690000048</v>
      </c>
      <c r="T42" s="2">
        <f t="shared" si="108"/>
        <v>-30.406621184528262</v>
      </c>
      <c r="U42" s="2">
        <f t="shared" si="108"/>
        <v>-72.346000000000032</v>
      </c>
      <c r="V42" s="2">
        <f>SUM(V37:V41)</f>
        <v>-29.800529381394274</v>
      </c>
      <c r="W42" s="2">
        <f t="shared" ref="W42:AC42" si="109">SUM(W37:W41)</f>
        <v>-15.294364889826999</v>
      </c>
      <c r="X42" s="2">
        <f t="shared" si="109"/>
        <v>-16.11639823423593</v>
      </c>
      <c r="Y42" s="2">
        <f t="shared" si="109"/>
        <v>-101.38122337149423</v>
      </c>
      <c r="Z42" s="2">
        <f t="shared" si="109"/>
        <v>-82.569091774002146</v>
      </c>
      <c r="AA42" s="2">
        <f t="shared" si="109"/>
        <v>-84.537562807499995</v>
      </c>
      <c r="AB42" s="2">
        <f t="shared" si="109"/>
        <v>-110.64557225249992</v>
      </c>
      <c r="AC42" s="2">
        <f t="shared" si="109"/>
        <v>-147.14514355652904</v>
      </c>
      <c r="AD42" s="2">
        <f t="shared" ref="AD42:AE42" si="110">SUM(AD37:AD41)</f>
        <v>-50.095634114243467</v>
      </c>
      <c r="AE42" s="2">
        <f t="shared" si="110"/>
        <v>-32.367308927499948</v>
      </c>
      <c r="AF42" s="2">
        <f t="shared" ref="AF42:AG42" si="111">SUM(AF37:AF41)</f>
        <v>-55.211693817499935</v>
      </c>
      <c r="AG42" s="2">
        <f t="shared" si="111"/>
        <v>-47.010095912111417</v>
      </c>
      <c r="AI42" s="2">
        <f t="shared" ref="AI42:AO42" si="112">SUM(AI37:AI41)</f>
        <v>0</v>
      </c>
      <c r="AJ42" s="2">
        <f t="shared" si="112"/>
        <v>0</v>
      </c>
      <c r="AK42" s="2">
        <f t="shared" si="112"/>
        <v>0</v>
      </c>
      <c r="AL42" s="2">
        <f t="shared" si="112"/>
        <v>-437.41868930384732</v>
      </c>
      <c r="AM42" s="2">
        <f t="shared" si="112"/>
        <v>-156.3776352559226</v>
      </c>
      <c r="AN42" s="2">
        <f t="shared" si="112"/>
        <v>-215.3610782695593</v>
      </c>
      <c r="AO42" s="2">
        <f t="shared" si="112"/>
        <v>-392.42391273077243</v>
      </c>
    </row>
    <row r="43" spans="1:41" ht="14.25" customHeight="1" x14ac:dyDescent="0.35">
      <c r="A43" s="12"/>
      <c r="B43" s="37" t="s">
        <v>126</v>
      </c>
      <c r="C43" s="38" t="s">
        <v>186</v>
      </c>
      <c r="D43" s="38" t="s">
        <v>186</v>
      </c>
      <c r="E43" s="38" t="s">
        <v>186</v>
      </c>
      <c r="F43" s="38" t="s">
        <v>186</v>
      </c>
      <c r="G43" s="38" t="s">
        <v>186</v>
      </c>
      <c r="H43" s="38" t="s">
        <v>186</v>
      </c>
      <c r="I43" s="38" t="s">
        <v>186</v>
      </c>
      <c r="J43" s="38" t="s">
        <v>186</v>
      </c>
      <c r="K43" s="38" t="s">
        <v>186</v>
      </c>
      <c r="L43" s="38" t="s">
        <v>186</v>
      </c>
      <c r="M43" s="38" t="s">
        <v>186</v>
      </c>
      <c r="N43" s="38" t="s">
        <v>186</v>
      </c>
      <c r="O43" s="38">
        <f t="shared" ref="O43:Z43" si="113">O42-O35</f>
        <v>-223.678</v>
      </c>
      <c r="P43" s="38">
        <f t="shared" si="113"/>
        <v>-62.991731391375353</v>
      </c>
      <c r="Q43" s="38">
        <f t="shared" si="113"/>
        <v>-119.67537353255916</v>
      </c>
      <c r="R43" s="38">
        <f t="shared" si="113"/>
        <v>-31.073584379912795</v>
      </c>
      <c r="S43" s="38">
        <f t="shared" si="113"/>
        <v>-23.824484690000048</v>
      </c>
      <c r="T43" s="38">
        <f t="shared" si="113"/>
        <v>-30.406621184528262</v>
      </c>
      <c r="U43" s="38">
        <f t="shared" si="113"/>
        <v>-72.346000000000032</v>
      </c>
      <c r="V43" s="38">
        <f t="shared" si="113"/>
        <v>-29.800529381394274</v>
      </c>
      <c r="W43" s="38">
        <f t="shared" si="113"/>
        <v>-15.294364889826999</v>
      </c>
      <c r="X43" s="38">
        <f t="shared" si="113"/>
        <v>-16.11639823423593</v>
      </c>
      <c r="Y43" s="38">
        <f t="shared" si="113"/>
        <v>-101.38122337149423</v>
      </c>
      <c r="Z43" s="38">
        <f t="shared" si="113"/>
        <v>-82.569091774002146</v>
      </c>
      <c r="AA43" s="38">
        <f>AA42-AA35</f>
        <v>-84.537562807499995</v>
      </c>
      <c r="AB43" s="38">
        <f>AB42-AB35</f>
        <v>-110.64557225249992</v>
      </c>
      <c r="AC43" s="38">
        <f>AC42-AC35</f>
        <v>-147.14514355652904</v>
      </c>
      <c r="AD43" s="38">
        <f t="shared" ref="AD43:AE43" si="114">AD42-AD35</f>
        <v>-50.095634114243467</v>
      </c>
      <c r="AE43" s="38">
        <f t="shared" si="114"/>
        <v>-32.367308927499948</v>
      </c>
      <c r="AF43" s="38">
        <f t="shared" ref="AF43:AG43" si="115">AF42-AF35</f>
        <v>-55.211693817499935</v>
      </c>
      <c r="AG43" s="38">
        <f t="shared" si="115"/>
        <v>-47.010095912111417</v>
      </c>
      <c r="AI43" s="38">
        <v>0</v>
      </c>
      <c r="AJ43" s="38">
        <v>0</v>
      </c>
      <c r="AK43" s="38">
        <f t="shared" ref="AK43:AO43" si="116">AK42-AK35</f>
        <v>0</v>
      </c>
      <c r="AL43" s="38">
        <f t="shared" si="116"/>
        <v>-437.41868930384732</v>
      </c>
      <c r="AM43" s="38">
        <f t="shared" si="116"/>
        <v>-156.3776352559226</v>
      </c>
      <c r="AN43" s="38">
        <f t="shared" si="116"/>
        <v>-215.3610782695593</v>
      </c>
      <c r="AO43" s="38">
        <f t="shared" si="116"/>
        <v>-392.42391273077243</v>
      </c>
    </row>
    <row r="44" spans="1:41" ht="14.25" customHeight="1" x14ac:dyDescent="0.35">
      <c r="A44" s="12"/>
      <c r="B44" s="16" t="s">
        <v>143</v>
      </c>
      <c r="C44" s="2" t="s">
        <v>186</v>
      </c>
      <c r="D44" s="2" t="s">
        <v>186</v>
      </c>
      <c r="E44" s="2" t="s">
        <v>186</v>
      </c>
      <c r="F44" s="2" t="s">
        <v>186</v>
      </c>
      <c r="G44" s="2" t="s">
        <v>186</v>
      </c>
      <c r="H44" s="2" t="s">
        <v>186</v>
      </c>
      <c r="I44" s="2" t="s">
        <v>186</v>
      </c>
      <c r="J44" s="2" t="s">
        <v>186</v>
      </c>
      <c r="K44" s="2" t="s">
        <v>186</v>
      </c>
      <c r="L44" s="2" t="s">
        <v>186</v>
      </c>
      <c r="M44" s="2" t="s">
        <v>186</v>
      </c>
      <c r="N44" s="2" t="s">
        <v>186</v>
      </c>
      <c r="O44" s="2" t="s">
        <v>186</v>
      </c>
      <c r="P44" s="2" t="s">
        <v>186</v>
      </c>
      <c r="Q44" s="2" t="s">
        <v>186</v>
      </c>
      <c r="R44" s="2" t="s">
        <v>186</v>
      </c>
      <c r="S44" s="2" t="s">
        <v>186</v>
      </c>
      <c r="T44" s="2" t="s">
        <v>186</v>
      </c>
      <c r="U44" s="2" t="s">
        <v>186</v>
      </c>
      <c r="V44" s="2" t="s">
        <v>186</v>
      </c>
      <c r="W44" s="2">
        <v>-15.294528449854397</v>
      </c>
      <c r="X44" s="2">
        <v>-16.116398234235874</v>
      </c>
      <c r="Y44" s="2">
        <v>-101.38122336830509</v>
      </c>
      <c r="Z44" s="2">
        <v>-82.430052860000046</v>
      </c>
      <c r="AA44" s="2">
        <v>-79.670035459999951</v>
      </c>
      <c r="AB44" s="2">
        <v>-107.72627748000002</v>
      </c>
      <c r="AC44" s="2">
        <v>-144.22588880402907</v>
      </c>
      <c r="AD44" s="2">
        <v>-44.34770172924334</v>
      </c>
      <c r="AE44" s="2">
        <f>'PAGS | IS GAAP'!AE21-'PAGS | IS NON-GAAP'!AE20</f>
        <v>-27.750788889999967</v>
      </c>
      <c r="AF44" s="2">
        <f>'PAGS | IS GAAP'!AF21-'PAGS | IS NON-GAAP'!AF20</f>
        <v>-143.69986998734589</v>
      </c>
      <c r="AG44" s="2">
        <f>'PAGS | IS GAAP'!AG21-'PAGS | IS NON-GAAP'!AG20</f>
        <v>-83.553196894611574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f t="shared" ref="AN44" si="117">SUM(W44:Z44)</f>
        <v>-215.2222029123954</v>
      </c>
      <c r="AO44" s="2">
        <f t="shared" ref="AO44" si="118">SUM(AA44:AD44)</f>
        <v>-375.96990347327238</v>
      </c>
    </row>
    <row r="45" spans="1:41" ht="14.25" customHeight="1" x14ac:dyDescent="0.35">
      <c r="A45" s="12"/>
      <c r="B45" s="16" t="s">
        <v>127</v>
      </c>
      <c r="C45" s="2">
        <f t="shared" ref="C45:AD45" si="119">C34+C42</f>
        <v>0</v>
      </c>
      <c r="D45" s="2">
        <f t="shared" si="119"/>
        <v>0</v>
      </c>
      <c r="E45" s="2">
        <f t="shared" si="119"/>
        <v>0</v>
      </c>
      <c r="F45" s="2">
        <f t="shared" si="119"/>
        <v>0</v>
      </c>
      <c r="G45" s="2">
        <f t="shared" si="119"/>
        <v>0</v>
      </c>
      <c r="H45" s="2">
        <f t="shared" si="119"/>
        <v>0</v>
      </c>
      <c r="I45" s="2">
        <f t="shared" si="119"/>
        <v>0</v>
      </c>
      <c r="J45" s="2">
        <f t="shared" si="119"/>
        <v>0</v>
      </c>
      <c r="K45" s="2">
        <f t="shared" si="119"/>
        <v>0</v>
      </c>
      <c r="L45" s="2">
        <f t="shared" si="119"/>
        <v>0</v>
      </c>
      <c r="M45" s="2">
        <f t="shared" si="119"/>
        <v>0</v>
      </c>
      <c r="N45" s="2">
        <f t="shared" si="119"/>
        <v>0</v>
      </c>
      <c r="O45" s="2">
        <f t="shared" si="119"/>
        <v>-133.90104647999991</v>
      </c>
      <c r="P45" s="2">
        <f t="shared" si="119"/>
        <v>-35.669786581374829</v>
      </c>
      <c r="Q45" s="2">
        <f t="shared" si="119"/>
        <v>-105.40913880255943</v>
      </c>
      <c r="R45" s="2">
        <f t="shared" si="119"/>
        <v>-31.188729369913453</v>
      </c>
      <c r="S45" s="2">
        <f t="shared" si="119"/>
        <v>-23.824484690000048</v>
      </c>
      <c r="T45" s="2">
        <f t="shared" si="119"/>
        <v>-30.406621184528262</v>
      </c>
      <c r="U45" s="2">
        <f t="shared" si="119"/>
        <v>-72.357669480000112</v>
      </c>
      <c r="V45" s="2">
        <f t="shared" si="119"/>
        <v>-29.83033561139343</v>
      </c>
      <c r="W45" s="2">
        <f t="shared" si="119"/>
        <v>-15.294364889826999</v>
      </c>
      <c r="X45" s="2">
        <f t="shared" si="119"/>
        <v>-16.11639823423593</v>
      </c>
      <c r="Y45" s="2">
        <f t="shared" si="119"/>
        <v>-101.38122337149423</v>
      </c>
      <c r="Z45" s="2">
        <f t="shared" si="119"/>
        <v>-82.569091774002146</v>
      </c>
      <c r="AA45" s="2">
        <f t="shared" si="119"/>
        <v>-84.537562807499995</v>
      </c>
      <c r="AB45" s="2">
        <f t="shared" si="119"/>
        <v>-110.64557225249992</v>
      </c>
      <c r="AC45" s="2">
        <f t="shared" si="119"/>
        <v>-147.14514355652904</v>
      </c>
      <c r="AD45" s="2">
        <f t="shared" si="119"/>
        <v>-50.095634114243467</v>
      </c>
      <c r="AE45" s="2">
        <f>'PAGS | IS GAAP'!AE22-'PAGS | IS NON-GAAP'!AE21</f>
        <v>-32.367308927499835</v>
      </c>
      <c r="AF45" s="2">
        <f>'PAGS | IS GAAP'!AF22-'PAGS | IS NON-GAAP'!AF21</f>
        <v>-55.211693817499508</v>
      </c>
      <c r="AG45" s="2">
        <f>'PAGS | IS GAAP'!AG22-'PAGS | IS NON-GAAP'!AG21</f>
        <v>-47.01009591211141</v>
      </c>
      <c r="AI45" s="2">
        <f t="shared" ref="AI45:AO45" si="120">AI34+AI42</f>
        <v>0</v>
      </c>
      <c r="AJ45" s="2">
        <f t="shared" si="120"/>
        <v>0</v>
      </c>
      <c r="AK45" s="2">
        <f t="shared" si="120"/>
        <v>0</v>
      </c>
      <c r="AL45" s="2">
        <f t="shared" si="120"/>
        <v>-306.16870123384763</v>
      </c>
      <c r="AM45" s="2">
        <f t="shared" si="120"/>
        <v>-156.41911096592185</v>
      </c>
      <c r="AN45" s="2">
        <f t="shared" si="120"/>
        <v>-215.3610782695593</v>
      </c>
      <c r="AO45" s="2">
        <f t="shared" si="120"/>
        <v>-392.42391273077243</v>
      </c>
    </row>
    <row r="46" spans="1:41" ht="14.25" hidden="1" customHeight="1" outlineLevel="1" x14ac:dyDescent="0.35">
      <c r="A46" s="12"/>
      <c r="B46" s="7" t="s">
        <v>29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-2.0615999999051837E-4</v>
      </c>
      <c r="Q46" s="4">
        <v>6.7746060139999997</v>
      </c>
      <c r="R46" s="4">
        <v>3.4531999999980911E-2</v>
      </c>
      <c r="S46" s="4">
        <v>0</v>
      </c>
      <c r="T46" s="4">
        <v>0</v>
      </c>
      <c r="U46" s="4">
        <v>0</v>
      </c>
      <c r="V46" s="4">
        <v>-1.0739999999920258E-4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f>'PAGS | IS GAAP'!AE23-'PAGS | IS NON-GAAP'!AE22</f>
        <v>-1.5838974655499989</v>
      </c>
      <c r="AF46" s="4">
        <f>'PAGS | IS GAAP'!AF23-'PAGS | IS NON-GAAP'!AF22</f>
        <v>0</v>
      </c>
      <c r="AG46" s="4">
        <f>'PAGS | IS GAAP'!AG23-'PAGS | IS NON-GAAP'!AG22</f>
        <v>0</v>
      </c>
      <c r="AI46" s="4">
        <f t="shared" ref="AI46:AI47" si="121">SUM(C46:F46)</f>
        <v>0</v>
      </c>
      <c r="AJ46" s="4">
        <f t="shared" ref="AJ46:AJ47" si="122">SUM(G46:J46)</f>
        <v>0</v>
      </c>
      <c r="AK46" s="4">
        <f t="shared" ref="AK46:AK47" si="123">SUM(K46:N46)</f>
        <v>0</v>
      </c>
      <c r="AL46" s="4">
        <f t="shared" ref="AL46:AL47" si="124">SUM(O46:R46)</f>
        <v>6.8089318539999901</v>
      </c>
      <c r="AM46" s="4">
        <f t="shared" ref="AM46:AM47" si="125">SUM(S46:V46)</f>
        <v>-1.0739999999920258E-4</v>
      </c>
      <c r="AN46" s="4">
        <f t="shared" ref="AN46:AN47" si="126">SUM(W46:Z46)</f>
        <v>0</v>
      </c>
      <c r="AO46" s="4">
        <f t="shared" ref="AO46:AO47" si="127">SUM(AA46:AD46)</f>
        <v>0</v>
      </c>
    </row>
    <row r="47" spans="1:41" ht="14.25" hidden="1" customHeight="1" outlineLevel="1" x14ac:dyDescent="0.35">
      <c r="A47" s="12"/>
      <c r="B47" s="7" t="s">
        <v>28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69.500146080000007</v>
      </c>
      <c r="P47" s="4">
        <v>21.130324989999998</v>
      </c>
      <c r="Q47" s="4">
        <v>39.731422346400009</v>
      </c>
      <c r="R47" s="4">
        <v>10.508528999999996</v>
      </c>
      <c r="S47" s="4">
        <v>8.1003247945999988</v>
      </c>
      <c r="T47" s="4">
        <v>10.338251202739599</v>
      </c>
      <c r="U47" s="4">
        <v>24.559560304445995</v>
      </c>
      <c r="V47" s="4">
        <v>10.178743917240013</v>
      </c>
      <c r="W47" s="4">
        <v>5.2001396729504847</v>
      </c>
      <c r="X47" s="4">
        <v>5.4388873202402124</v>
      </c>
      <c r="Y47" s="4">
        <v>34.428927865823724</v>
      </c>
      <c r="Z47" s="4">
        <v>28.026217846599991</v>
      </c>
      <c r="AA47" s="4">
        <v>28.742771354550001</v>
      </c>
      <c r="AB47" s="4">
        <v>37.619494565850005</v>
      </c>
      <c r="AC47" s="4">
        <v>50.029348809219883</v>
      </c>
      <c r="AD47" s="4">
        <v>17.032515598842743</v>
      </c>
      <c r="AE47" s="4">
        <f>'PAGS | IS GAAP'!AE24-'PAGS | IS NON-GAAP'!AE23</f>
        <v>12.588782500899995</v>
      </c>
      <c r="AF47" s="4">
        <f>'PAGS | IS GAAP'!AF24-'PAGS | IS NON-GAAP'!AF23</f>
        <v>18.77197589795</v>
      </c>
      <c r="AG47" s="4">
        <f>'PAGS | IS GAAP'!AG24-'PAGS | IS NON-GAAP'!AG23</f>
        <v>15.98343261011793</v>
      </c>
      <c r="AI47" s="4">
        <f t="shared" si="121"/>
        <v>0</v>
      </c>
      <c r="AJ47" s="4">
        <f t="shared" si="122"/>
        <v>0</v>
      </c>
      <c r="AK47" s="4">
        <f t="shared" si="123"/>
        <v>0</v>
      </c>
      <c r="AL47" s="4">
        <f t="shared" si="124"/>
        <v>140.8704224164</v>
      </c>
      <c r="AM47" s="4">
        <f t="shared" si="125"/>
        <v>53.176880219025605</v>
      </c>
      <c r="AN47" s="4">
        <f t="shared" si="126"/>
        <v>73.094172705614412</v>
      </c>
      <c r="AO47" s="4">
        <f t="shared" si="127"/>
        <v>133.42413032846264</v>
      </c>
    </row>
    <row r="48" spans="1:41" ht="14.25" customHeight="1" collapsed="1" x14ac:dyDescent="0.35">
      <c r="A48" s="12"/>
      <c r="B48" s="16" t="s">
        <v>128</v>
      </c>
      <c r="C48" s="2">
        <f t="shared" ref="C48:F48" si="128">SUM(C46:C47)</f>
        <v>0</v>
      </c>
      <c r="D48" s="2">
        <f t="shared" si="128"/>
        <v>0</v>
      </c>
      <c r="E48" s="2">
        <f t="shared" si="128"/>
        <v>0</v>
      </c>
      <c r="F48" s="2">
        <f t="shared" si="128"/>
        <v>0</v>
      </c>
      <c r="G48" s="2">
        <f t="shared" ref="G48:AC48" si="129">SUM(G46:G47)</f>
        <v>0</v>
      </c>
      <c r="H48" s="2">
        <f t="shared" si="129"/>
        <v>0</v>
      </c>
      <c r="I48" s="2">
        <f t="shared" si="129"/>
        <v>0</v>
      </c>
      <c r="J48" s="2">
        <f t="shared" si="129"/>
        <v>0</v>
      </c>
      <c r="K48" s="2">
        <f t="shared" si="129"/>
        <v>0</v>
      </c>
      <c r="L48" s="2">
        <f t="shared" si="129"/>
        <v>0</v>
      </c>
      <c r="M48" s="2">
        <f t="shared" si="129"/>
        <v>0</v>
      </c>
      <c r="N48" s="2">
        <f t="shared" si="129"/>
        <v>0</v>
      </c>
      <c r="O48" s="2">
        <f t="shared" si="129"/>
        <v>69.500146080000007</v>
      </c>
      <c r="P48" s="2">
        <f t="shared" si="129"/>
        <v>21.130118830000008</v>
      </c>
      <c r="Q48" s="2">
        <f t="shared" si="129"/>
        <v>46.506028360400009</v>
      </c>
      <c r="R48" s="2">
        <f t="shared" si="129"/>
        <v>10.543060999999977</v>
      </c>
      <c r="S48" s="2">
        <f t="shared" si="129"/>
        <v>8.1003247945999988</v>
      </c>
      <c r="T48" s="2">
        <f t="shared" si="129"/>
        <v>10.338251202739599</v>
      </c>
      <c r="U48" s="2">
        <f t="shared" si="129"/>
        <v>24.559560304445995</v>
      </c>
      <c r="V48" s="2">
        <f t="shared" si="129"/>
        <v>10.178636517240014</v>
      </c>
      <c r="W48" s="2">
        <f t="shared" si="129"/>
        <v>5.2001396729504847</v>
      </c>
      <c r="X48" s="2">
        <f t="shared" si="129"/>
        <v>5.4388873202402124</v>
      </c>
      <c r="Y48" s="2">
        <f t="shared" si="129"/>
        <v>34.428927865823724</v>
      </c>
      <c r="Z48" s="2">
        <f t="shared" si="129"/>
        <v>28.026217846599991</v>
      </c>
      <c r="AA48" s="2">
        <f t="shared" si="129"/>
        <v>28.742771354550001</v>
      </c>
      <c r="AB48" s="2">
        <f t="shared" si="129"/>
        <v>37.619494565850005</v>
      </c>
      <c r="AC48" s="2">
        <f t="shared" si="129"/>
        <v>50.029348809219883</v>
      </c>
      <c r="AD48" s="2">
        <f t="shared" ref="AD48:AE48" si="130">SUM(AD46:AD47)</f>
        <v>17.032515598842743</v>
      </c>
      <c r="AE48" s="2">
        <f t="shared" si="130"/>
        <v>11.004885035349997</v>
      </c>
      <c r="AF48" s="2">
        <f t="shared" ref="AF48:AG48" si="131">SUM(AF46:AF47)</f>
        <v>18.77197589795</v>
      </c>
      <c r="AG48" s="2">
        <f t="shared" si="131"/>
        <v>15.98343261011793</v>
      </c>
      <c r="AI48" s="2">
        <f t="shared" ref="AI48:AO48" si="132">SUM(AI46:AI47)</f>
        <v>0</v>
      </c>
      <c r="AJ48" s="2">
        <f t="shared" si="132"/>
        <v>0</v>
      </c>
      <c r="AK48" s="2">
        <f t="shared" si="132"/>
        <v>0</v>
      </c>
      <c r="AL48" s="2">
        <f t="shared" si="132"/>
        <v>147.67935427039998</v>
      </c>
      <c r="AM48" s="2">
        <f t="shared" si="132"/>
        <v>53.176772819025608</v>
      </c>
      <c r="AN48" s="2">
        <f t="shared" si="132"/>
        <v>73.094172705614412</v>
      </c>
      <c r="AO48" s="2">
        <f t="shared" si="132"/>
        <v>133.42413032846264</v>
      </c>
    </row>
    <row r="49" spans="1:41" ht="14.25" customHeight="1" x14ac:dyDescent="0.35">
      <c r="A49" s="12"/>
      <c r="B49" s="14" t="s">
        <v>173</v>
      </c>
      <c r="C49" s="15">
        <f t="shared" ref="C49:F49" si="133">C45+C48</f>
        <v>0</v>
      </c>
      <c r="D49" s="15">
        <f t="shared" si="133"/>
        <v>0</v>
      </c>
      <c r="E49" s="15">
        <f t="shared" si="133"/>
        <v>0</v>
      </c>
      <c r="F49" s="15">
        <f t="shared" si="133"/>
        <v>0</v>
      </c>
      <c r="G49" s="15">
        <f t="shared" ref="G49:AC49" si="134">G45+G48</f>
        <v>0</v>
      </c>
      <c r="H49" s="15">
        <f t="shared" si="134"/>
        <v>0</v>
      </c>
      <c r="I49" s="15">
        <f t="shared" si="134"/>
        <v>0</v>
      </c>
      <c r="J49" s="15">
        <f t="shared" si="134"/>
        <v>0</v>
      </c>
      <c r="K49" s="15">
        <f t="shared" si="134"/>
        <v>0</v>
      </c>
      <c r="L49" s="15">
        <f t="shared" si="134"/>
        <v>0</v>
      </c>
      <c r="M49" s="15">
        <f t="shared" si="134"/>
        <v>0</v>
      </c>
      <c r="N49" s="15">
        <f t="shared" si="134"/>
        <v>0</v>
      </c>
      <c r="O49" s="15">
        <f t="shared" si="134"/>
        <v>-64.400900399999898</v>
      </c>
      <c r="P49" s="15">
        <f t="shared" si="134"/>
        <v>-14.539667751374822</v>
      </c>
      <c r="Q49" s="15">
        <f t="shared" si="134"/>
        <v>-58.903110442159416</v>
      </c>
      <c r="R49" s="15">
        <f t="shared" si="134"/>
        <v>-20.645668369913476</v>
      </c>
      <c r="S49" s="15">
        <f t="shared" si="134"/>
        <v>-15.724159895400049</v>
      </c>
      <c r="T49" s="15">
        <f t="shared" si="134"/>
        <v>-20.068369981788663</v>
      </c>
      <c r="U49" s="15">
        <f t="shared" si="134"/>
        <v>-47.798109175554117</v>
      </c>
      <c r="V49" s="15">
        <f t="shared" si="134"/>
        <v>-19.651699094153415</v>
      </c>
      <c r="W49" s="15">
        <f t="shared" si="134"/>
        <v>-10.094225216876515</v>
      </c>
      <c r="X49" s="15">
        <f t="shared" si="134"/>
        <v>-10.677510913995718</v>
      </c>
      <c r="Y49" s="15">
        <f t="shared" si="134"/>
        <v>-66.952295505670506</v>
      </c>
      <c r="Z49" s="15">
        <f t="shared" si="134"/>
        <v>-54.542873927402155</v>
      </c>
      <c r="AA49" s="15">
        <f t="shared" si="134"/>
        <v>-55.794791452949994</v>
      </c>
      <c r="AB49" s="15">
        <f t="shared" si="134"/>
        <v>-73.026077686649913</v>
      </c>
      <c r="AC49" s="15">
        <f t="shared" si="134"/>
        <v>-97.115794747309153</v>
      </c>
      <c r="AD49" s="15">
        <f t="shared" ref="AD49:AE49" si="135">AD45+AD48</f>
        <v>-33.063118515400724</v>
      </c>
      <c r="AE49" s="15">
        <f t="shared" si="135"/>
        <v>-21.362423892149838</v>
      </c>
      <c r="AF49" s="15">
        <f t="shared" ref="AF49:AG49" si="136">AF45+AF48</f>
        <v>-36.439717919549508</v>
      </c>
      <c r="AG49" s="15">
        <f t="shared" si="136"/>
        <v>-31.02666330199348</v>
      </c>
      <c r="AI49" s="15">
        <f t="shared" ref="AI49:AO49" si="137">AI45+AI48</f>
        <v>0</v>
      </c>
      <c r="AJ49" s="15">
        <f t="shared" si="137"/>
        <v>0</v>
      </c>
      <c r="AK49" s="15">
        <f t="shared" si="137"/>
        <v>0</v>
      </c>
      <c r="AL49" s="15">
        <f t="shared" si="137"/>
        <v>-158.48934696344764</v>
      </c>
      <c r="AM49" s="15">
        <f t="shared" si="137"/>
        <v>-103.24233814689623</v>
      </c>
      <c r="AN49" s="15">
        <f t="shared" si="137"/>
        <v>-142.26690556394487</v>
      </c>
      <c r="AO49" s="15">
        <f t="shared" si="137"/>
        <v>-258.99978240230979</v>
      </c>
    </row>
    <row r="50" spans="1:41" ht="14.25" customHeight="1" x14ac:dyDescent="0.35">
      <c r="A50" s="12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N50" s="17"/>
      <c r="AO50" s="17"/>
    </row>
  </sheetData>
  <phoneticPr fontId="13" type="noConversion"/>
  <hyperlinks>
    <hyperlink ref="B3" r:id="rId1" xr:uid="{F7C8A2C4-1FF4-4B95-94FA-BFA956CA62E1}"/>
  </hyperlinks>
  <pageMargins left="0.511811024" right="0.511811024" top="0.78740157499999996" bottom="0.78740157499999996" header="0.31496062000000002" footer="0.31496062000000002"/>
  <pageSetup paperSize="9" orientation="portrait" r:id="rId2"/>
  <ignoredErrors>
    <ignoredError sqref="AH28:AO29 AH48:AH49 AH34 AD30 AH30 AD31 AH31 AD32 AH32 AD33 AH33 AH36 AD35 AH35 AH42:AH43 AD37 AH37 AD38 AH38 AD39 AH39 AD40 AH40 AD41 AH41 AH45 AD44 AH44 AD47 AD46 AH46 AH47 AD45 AD42:AE43 AD36:AE36 AD34:AE34 AD48:AE49 AD28:AE29 AF34 AF36 AF42:AF43" formula="1"/>
    <ignoredError sqref="AD13:AD17 AD22:AD23 AH12:AO25 AD24:AD25 AD21 AD12 AD18:AD20 AI47:AM47 AI46:AM46 AI44:AM44 AI45:AM45 AI41:AM41 AI40:AM40 AI39:AM39 AI38:AM38 AI37:AM37 AI42:AM43 AI35:AM35 AI36:AM36 AI33:AM33 AI32:AM32 AI31:AM31 AI30:AM30 AI34:AM34 AI48:AO49 AN44:AO47 AN30:AO43" formula="1" formulaRange="1"/>
    <ignoredError sqref="A12:AC25 A6:AD9 AH5:AO11 A10:AD10 A5:AE5 A11:Z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1037-2A91-4E83-A945-1E19A1D62814}">
  <sheetPr codeName="Planilha11"/>
  <dimension ref="A1:AO32"/>
  <sheetViews>
    <sheetView showGridLines="0" zoomScaleNormal="100" workbookViewId="0">
      <pane xSplit="2" ySplit="5" topLeftCell="AA6" activePane="bottomRight" state="frozen"/>
      <selection activeCell="B6" sqref="B6"/>
      <selection pane="topRight" activeCell="B6" sqref="B6"/>
      <selection pane="bottomLeft" activeCell="B6" sqref="B6"/>
      <selection pane="bottomRight"/>
    </sheetView>
  </sheetViews>
  <sheetFormatPr defaultColWidth="0" defaultRowHeight="14.25" customHeight="1" zeroHeight="1" outlineLevelRow="1" outlineLevelCol="1" x14ac:dyDescent="0.35"/>
  <cols>
    <col min="1" max="1" width="2.54296875" style="1" customWidth="1"/>
    <col min="2" max="2" width="60.54296875" style="1" customWidth="1"/>
    <col min="3" max="22" width="10.54296875" style="1" hidden="1" customWidth="1" outlineLevel="1"/>
    <col min="23" max="23" width="10.54296875" style="1" hidden="1" customWidth="1" outlineLevel="1" collapsed="1"/>
    <col min="24" max="26" width="10.54296875" style="1" hidden="1" customWidth="1" outlineLevel="1"/>
    <col min="27" max="27" width="10.54296875" style="1" customWidth="1" collapsed="1"/>
    <col min="28" max="33" width="10.54296875" style="1" customWidth="1"/>
    <col min="34" max="34" width="2.54296875" style="1" customWidth="1"/>
    <col min="35" max="39" width="10.54296875" style="1" hidden="1" customWidth="1" outlineLevel="1"/>
    <col min="40" max="40" width="10.54296875" style="1" customWidth="1" collapsed="1"/>
    <col min="41" max="41" width="10.54296875" style="1" customWidth="1"/>
    <col min="42" max="42" width="2.54296875" style="1" customWidth="1"/>
    <col min="43" max="16384" width="0" style="1" hidden="1"/>
  </cols>
  <sheetData>
    <row r="1" spans="1:41" ht="14.25" customHeight="1" x14ac:dyDescent="0.35"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12"/>
    </row>
    <row r="2" spans="1:41" ht="14.25" customHeight="1" x14ac:dyDescent="0.35">
      <c r="B2" s="8" t="s">
        <v>105</v>
      </c>
      <c r="C2" s="8"/>
      <c r="D2" s="8"/>
      <c r="E2" s="8"/>
      <c r="F2" s="8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53"/>
      <c r="T2" s="53"/>
      <c r="U2" s="53"/>
      <c r="V2" s="53"/>
      <c r="W2" s="53"/>
      <c r="Y2" s="53"/>
      <c r="Z2" s="53"/>
      <c r="AB2" s="53"/>
      <c r="AC2" s="53"/>
      <c r="AD2" s="53"/>
      <c r="AE2" s="53"/>
      <c r="AF2" s="53"/>
      <c r="AG2" s="53"/>
      <c r="AH2" s="12"/>
    </row>
    <row r="3" spans="1:41" ht="14.25" customHeight="1" x14ac:dyDescent="0.35">
      <c r="B3" s="11" t="s">
        <v>32</v>
      </c>
      <c r="C3" s="11"/>
      <c r="D3" s="11"/>
      <c r="E3" s="11"/>
      <c r="F3" s="11"/>
      <c r="G3" s="11"/>
      <c r="H3" s="11"/>
      <c r="I3" s="11"/>
      <c r="J3" s="11"/>
      <c r="K3" s="17"/>
      <c r="L3" s="17"/>
      <c r="M3" s="17"/>
      <c r="N3" s="17"/>
      <c r="O3" s="17"/>
      <c r="P3" s="17"/>
      <c r="Q3" s="17"/>
      <c r="R3" s="17"/>
      <c r="S3" s="17"/>
      <c r="T3" s="46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41" ht="14.25" customHeight="1" x14ac:dyDescent="0.35"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41" ht="14.25" customHeight="1" x14ac:dyDescent="0.35">
      <c r="B5" s="27" t="s">
        <v>188</v>
      </c>
      <c r="C5" s="26" t="s">
        <v>21</v>
      </c>
      <c r="D5" s="26" t="s">
        <v>20</v>
      </c>
      <c r="E5" s="26" t="s">
        <v>19</v>
      </c>
      <c r="F5" s="26" t="s">
        <v>18</v>
      </c>
      <c r="G5" s="26" t="s">
        <v>17</v>
      </c>
      <c r="H5" s="26" t="s">
        <v>16</v>
      </c>
      <c r="I5" s="26" t="s">
        <v>15</v>
      </c>
      <c r="J5" s="26" t="s">
        <v>14</v>
      </c>
      <c r="K5" s="26" t="s">
        <v>13</v>
      </c>
      <c r="L5" s="26" t="s">
        <v>12</v>
      </c>
      <c r="M5" s="26" t="s">
        <v>11</v>
      </c>
      <c r="N5" s="26" t="s">
        <v>10</v>
      </c>
      <c r="O5" s="26" t="s">
        <v>9</v>
      </c>
      <c r="P5" s="26" t="s">
        <v>8</v>
      </c>
      <c r="Q5" s="26" t="s">
        <v>7</v>
      </c>
      <c r="R5" s="26" t="s">
        <v>6</v>
      </c>
      <c r="S5" s="26" t="s">
        <v>5</v>
      </c>
      <c r="T5" s="26" t="s">
        <v>4</v>
      </c>
      <c r="U5" s="26" t="s">
        <v>101</v>
      </c>
      <c r="V5" s="26" t="s">
        <v>102</v>
      </c>
      <c r="W5" s="26" t="s">
        <v>104</v>
      </c>
      <c r="X5" s="26" t="s">
        <v>107</v>
      </c>
      <c r="Y5" s="26" t="s">
        <v>112</v>
      </c>
      <c r="Z5" s="26" t="s">
        <v>122</v>
      </c>
      <c r="AA5" s="26" t="s">
        <v>139</v>
      </c>
      <c r="AB5" s="26" t="s">
        <v>149</v>
      </c>
      <c r="AC5" s="26" t="s">
        <v>154</v>
      </c>
      <c r="AD5" s="26" t="s">
        <v>168</v>
      </c>
      <c r="AE5" s="26" t="s">
        <v>187</v>
      </c>
      <c r="AF5" s="26" t="s">
        <v>206</v>
      </c>
      <c r="AG5" s="102" t="s">
        <v>216</v>
      </c>
      <c r="AI5" s="26">
        <v>2015</v>
      </c>
      <c r="AJ5" s="26">
        <v>2016</v>
      </c>
      <c r="AK5" s="26">
        <v>2017</v>
      </c>
      <c r="AL5" s="26">
        <v>2018</v>
      </c>
      <c r="AM5" s="26">
        <v>2019</v>
      </c>
      <c r="AN5" s="26">
        <v>2020</v>
      </c>
      <c r="AO5" s="26">
        <v>2021</v>
      </c>
    </row>
    <row r="6" spans="1:41" ht="14.25" customHeight="1" x14ac:dyDescent="0.35">
      <c r="B6" s="32" t="s">
        <v>195</v>
      </c>
      <c r="C6" s="28">
        <f>'PAGS | Operating Figures'!C7*1000</f>
        <v>800</v>
      </c>
      <c r="D6" s="28">
        <f>'PAGS | Operating Figures'!D7*1000</f>
        <v>1100</v>
      </c>
      <c r="E6" s="28">
        <f>'PAGS | Operating Figures'!E7*1000</f>
        <v>1400</v>
      </c>
      <c r="F6" s="28">
        <f>'PAGS | Operating Figures'!F7*1000</f>
        <v>1700</v>
      </c>
      <c r="G6" s="28">
        <f>'PAGS | Operating Figures'!G7*1000</f>
        <v>2500</v>
      </c>
      <c r="H6" s="28">
        <f>'PAGS | Operating Figures'!H7*1000</f>
        <v>3000</v>
      </c>
      <c r="I6" s="28">
        <f>'PAGS | Operating Figures'!I7*1000</f>
        <v>3700</v>
      </c>
      <c r="J6" s="28">
        <f>'PAGS | Operating Figures'!J7*1000</f>
        <v>4800</v>
      </c>
      <c r="K6" s="28">
        <f>'PAGS | Operating Figures'!K7*1000</f>
        <v>6000</v>
      </c>
      <c r="L6" s="28">
        <f>'PAGS | Operating Figures'!L7*1000</f>
        <v>8100</v>
      </c>
      <c r="M6" s="28">
        <f>'PAGS | Operating Figures'!M7*1000</f>
        <v>10700</v>
      </c>
      <c r="N6" s="28">
        <f>'PAGS | Operating Figures'!N7*1000</f>
        <v>13600</v>
      </c>
      <c r="O6" s="28">
        <f>'PAGS | Operating Figures'!O7*1000</f>
        <v>14400</v>
      </c>
      <c r="P6" s="28">
        <f>'PAGS | Operating Figures'!P7*1000</f>
        <v>16900</v>
      </c>
      <c r="Q6" s="28">
        <f>'PAGS | Operating Figures'!Q7*1000</f>
        <v>20300</v>
      </c>
      <c r="R6" s="28">
        <f>'PAGS | Operating Figures'!R7*1000</f>
        <v>24600</v>
      </c>
      <c r="S6" s="28">
        <f>'PAGS | Operating Figures'!S7*1000</f>
        <v>24400</v>
      </c>
      <c r="T6" s="28">
        <f>'PAGS | Operating Figures'!T7*1000</f>
        <v>26800</v>
      </c>
      <c r="U6" s="28">
        <f>'PAGS | Operating Figures'!U7*1000</f>
        <v>29400</v>
      </c>
      <c r="V6" s="28">
        <f>'PAGS | Operating Figures'!V7*1000</f>
        <v>34300</v>
      </c>
      <c r="W6" s="28">
        <f>'PAGS | Operating Figures'!W7*1000</f>
        <v>31700</v>
      </c>
      <c r="X6" s="28">
        <f>'PAGS | Operating Figures'!X7*1000</f>
        <v>29800</v>
      </c>
      <c r="Y6" s="28">
        <f>'PAGS | Operating Figures'!Y7*1000</f>
        <v>44800</v>
      </c>
      <c r="Z6" s="28">
        <f>'PAGS | Operating Figures'!Z7*1000</f>
        <v>55300</v>
      </c>
      <c r="AA6" s="28">
        <v>50000</v>
      </c>
      <c r="AB6" s="28">
        <v>56300</v>
      </c>
      <c r="AC6" s="28">
        <v>66800</v>
      </c>
      <c r="AD6" s="28">
        <v>78900</v>
      </c>
      <c r="AE6" s="28">
        <f>'PAGS | Operating Figures'!AE7*1000</f>
        <v>80100</v>
      </c>
      <c r="AF6" s="28">
        <f>'PAGS | Operating Figures'!AF7*1000</f>
        <v>89200</v>
      </c>
      <c r="AG6" s="28">
        <f>'PAGS | Operating Figures'!AG7*1000</f>
        <v>90300</v>
      </c>
      <c r="AI6" s="28">
        <f t="shared" ref="AI6:AI9" si="0">SUM(C6:F6)</f>
        <v>5000</v>
      </c>
      <c r="AJ6" s="28">
        <f t="shared" ref="AJ6:AJ9" si="1">SUM(G6:J6)</f>
        <v>14000</v>
      </c>
      <c r="AK6" s="28">
        <f t="shared" ref="AK6:AK9" si="2">SUM(K6:N6)</f>
        <v>38400</v>
      </c>
      <c r="AL6" s="28">
        <f t="shared" ref="AL6:AL9" si="3">SUM(O6:R6)</f>
        <v>76200</v>
      </c>
      <c r="AM6" s="28">
        <f t="shared" ref="AM6:AM9" si="4">SUM(S6:V6)</f>
        <v>114900</v>
      </c>
      <c r="AN6" s="28">
        <f t="shared" ref="AN6:AN9" si="5">SUM(W6:Z6)</f>
        <v>161600</v>
      </c>
      <c r="AO6" s="28">
        <f t="shared" ref="AO6:AO9" si="6">SUM(AA6:AD6)</f>
        <v>252000</v>
      </c>
    </row>
    <row r="7" spans="1:41" ht="14.25" hidden="1" customHeight="1" outlineLevel="1" x14ac:dyDescent="0.35">
      <c r="B7" s="25" t="s">
        <v>141</v>
      </c>
      <c r="C7" s="23">
        <f>('PAGS | IS NON-GAAP'!C6)</f>
        <v>49.581470186539995</v>
      </c>
      <c r="D7" s="23">
        <f>('PAGS | IS NON-GAAP'!D6)</f>
        <v>58.241517991350001</v>
      </c>
      <c r="E7" s="23">
        <f>('PAGS | IS NON-GAAP'!E6)</f>
        <v>71.979082286739995</v>
      </c>
      <c r="F7" s="23">
        <f>('PAGS | IS NON-GAAP'!F6)</f>
        <v>88.395689060000109</v>
      </c>
      <c r="G7" s="23">
        <f>('PAGS | IS NON-GAAP'!G6)</f>
        <v>90.613145780000011</v>
      </c>
      <c r="H7" s="23">
        <f>('PAGS | IS NON-GAAP'!H6)</f>
        <v>105.80866744999999</v>
      </c>
      <c r="I7" s="23">
        <f>('PAGS | IS NON-GAAP'!I6)</f>
        <v>123.3718386700001</v>
      </c>
      <c r="J7" s="23">
        <f>('PAGS | IS NON-GAAP'!J6)</f>
        <v>160.23474202999981</v>
      </c>
      <c r="K7" s="23">
        <f>('PAGS | IS NON-GAAP'!K6)</f>
        <v>190.42500000000001</v>
      </c>
      <c r="L7" s="23">
        <f>('PAGS | IS NON-GAAP'!L6)</f>
        <v>256.39500000000004</v>
      </c>
      <c r="M7" s="23">
        <f>('PAGS | IS NON-GAAP'!M6)</f>
        <v>344.39500000000004</v>
      </c>
      <c r="N7" s="23">
        <f>('PAGS | IS NON-GAAP'!N6)</f>
        <v>433.04600000000005</v>
      </c>
      <c r="O7" s="23">
        <f>('PAGS | IS NON-GAAP'!O6)</f>
        <v>442.84770382999983</v>
      </c>
      <c r="P7" s="23">
        <f>('PAGS | IS NON-GAAP'!P6)</f>
        <v>515.24900212999955</v>
      </c>
      <c r="Q7" s="23">
        <f>('PAGS | IS NON-GAAP'!Q6)</f>
        <v>598.93163029000027</v>
      </c>
      <c r="R7" s="23">
        <f>('PAGS | IS NON-GAAP'!R6)</f>
        <v>710.07467075000045</v>
      </c>
      <c r="S7" s="23">
        <f>('PAGS | IS NON-GAAP'!S6)</f>
        <v>712.995</v>
      </c>
      <c r="T7" s="23">
        <f>('PAGS | IS NON-GAAP'!T6)</f>
        <v>798.94899999999996</v>
      </c>
      <c r="U7" s="23">
        <f>('PAGS | IS NON-GAAP'!U6)</f>
        <v>879.27266424000004</v>
      </c>
      <c r="V7" s="23">
        <f>('PAGS | IS NON-GAAP'!V6)</f>
        <v>984.80361484000002</v>
      </c>
      <c r="W7" s="23">
        <f>('PAGS | IS NON-GAAP'!W6)</f>
        <v>966.80399999999997</v>
      </c>
      <c r="X7" s="23">
        <f>('PAGS | IS NON-GAAP'!X6)</f>
        <v>856.46195540999997</v>
      </c>
      <c r="Y7" s="23">
        <f>('PAGS | IS NON-GAAP'!Y6)</f>
        <v>1211.9705374</v>
      </c>
      <c r="Z7" s="23">
        <f>('PAGS | IS NON-GAAP'!Z6)</f>
        <v>1473.4825925</v>
      </c>
      <c r="AA7" s="23">
        <v>1384.9701471299998</v>
      </c>
      <c r="AB7" s="23">
        <v>1548.1273838235204</v>
      </c>
      <c r="AC7" s="23">
        <v>1792.1644711700003</v>
      </c>
      <c r="AD7" s="23">
        <v>2059.54919642</v>
      </c>
      <c r="AE7" s="23">
        <f>('PAGS | IS NON-GAAP'!AE6)</f>
        <v>2054.5835353347502</v>
      </c>
      <c r="AF7" s="23">
        <f>('PAGS | IS NON-GAAP'!AF6)</f>
        <v>2255.6887042754479</v>
      </c>
      <c r="AG7" s="23">
        <f>('PAGS | IS NON-GAAP'!AG6)</f>
        <v>2292.0781641628746</v>
      </c>
      <c r="AI7" s="4">
        <f t="shared" si="0"/>
        <v>268.1977595246301</v>
      </c>
      <c r="AJ7" s="4">
        <f t="shared" si="1"/>
        <v>480.02839392999988</v>
      </c>
      <c r="AK7" s="4">
        <f t="shared" si="2"/>
        <v>1224.2610000000002</v>
      </c>
      <c r="AL7" s="4">
        <f t="shared" si="3"/>
        <v>2267.1030069999997</v>
      </c>
      <c r="AM7" s="4">
        <f t="shared" si="4"/>
        <v>3376.0202790799999</v>
      </c>
      <c r="AN7" s="4">
        <f t="shared" si="5"/>
        <v>4508.7190853100001</v>
      </c>
      <c r="AO7" s="4">
        <f t="shared" si="6"/>
        <v>6784.8111985435207</v>
      </c>
    </row>
    <row r="8" spans="1:41" ht="14.25" hidden="1" customHeight="1" outlineLevel="1" x14ac:dyDescent="0.35">
      <c r="B8" s="25" t="s">
        <v>1</v>
      </c>
      <c r="C8" s="23">
        <f>('PAGS | IS NON-GAAP'!C8)</f>
        <v>42.634930750000009</v>
      </c>
      <c r="D8" s="23">
        <f>('PAGS | IS NON-GAAP'!D8)</f>
        <v>47.453970449999993</v>
      </c>
      <c r="E8" s="23">
        <f>('PAGS | IS NON-GAAP'!E8)</f>
        <v>62.074962615335004</v>
      </c>
      <c r="F8" s="23">
        <f>('PAGS | IS NON-GAAP'!F8)</f>
        <v>67.29810418000001</v>
      </c>
      <c r="G8" s="23">
        <f>('PAGS | IS NON-GAAP'!G8)</f>
        <v>74.569612243494987</v>
      </c>
      <c r="H8" s="23">
        <f>('PAGS | IS NON-GAAP'!H8)</f>
        <v>93.526493696504986</v>
      </c>
      <c r="I8" s="23">
        <f>('PAGS | IS NON-GAAP'!I8)</f>
        <v>102.42858172000007</v>
      </c>
      <c r="J8" s="23">
        <f>('PAGS | IS NON-GAAP'!J8)</f>
        <v>121.90465665999997</v>
      </c>
      <c r="K8" s="23">
        <f>('PAGS | IS NON-GAAP'!K8)</f>
        <v>138.809</v>
      </c>
      <c r="L8" s="23">
        <f>('PAGS | IS NON-GAAP'!L8)</f>
        <v>172.626</v>
      </c>
      <c r="M8" s="23">
        <f>('PAGS | IS NON-GAAP'!M8)</f>
        <v>224.23100000000002</v>
      </c>
      <c r="N8" s="23">
        <f>('PAGS | IS NON-GAAP'!N8)</f>
        <v>282.95799999999997</v>
      </c>
      <c r="O8" s="23">
        <f>('PAGS | IS NON-GAAP'!O8)</f>
        <v>274.83841987</v>
      </c>
      <c r="P8" s="23">
        <f>('PAGS | IS NON-GAAP'!P8)</f>
        <v>332.59443416999989</v>
      </c>
      <c r="Q8" s="23">
        <f>('PAGS | IS NON-GAAP'!Q8)</f>
        <v>387.26445024000003</v>
      </c>
      <c r="R8" s="23">
        <f>('PAGS | IS NON-GAAP'!R8)</f>
        <v>419.83509572000003</v>
      </c>
      <c r="S8" s="23">
        <f>('PAGS | IS NON-GAAP'!S8)</f>
        <v>430.50400000000002</v>
      </c>
      <c r="T8" s="23">
        <f>('PAGS | IS NON-GAAP'!T8)</f>
        <v>497.16699999999997</v>
      </c>
      <c r="U8" s="23">
        <f>('PAGS | IS NON-GAAP'!U8)</f>
        <v>537.83199999999999</v>
      </c>
      <c r="V8" s="23">
        <f>('PAGS | IS NON-GAAP'!V8)</f>
        <v>565.03480907999995</v>
      </c>
      <c r="W8" s="23">
        <f>('PAGS | IS NON-GAAP'!W8)</f>
        <v>562.26800000000003</v>
      </c>
      <c r="X8" s="23">
        <f>('PAGS | IS NON-GAAP'!X8)</f>
        <v>459.24682897999998</v>
      </c>
      <c r="Y8" s="23">
        <f>('PAGS | IS NON-GAAP'!Y8)</f>
        <v>544.75552987000003</v>
      </c>
      <c r="Z8" s="23">
        <f>('PAGS | IS NON-GAAP'!Z8)</f>
        <v>611.08949536</v>
      </c>
      <c r="AA8" s="23">
        <v>656.98271183999998</v>
      </c>
      <c r="AB8" s="23">
        <v>786.60893196856</v>
      </c>
      <c r="AC8" s="23">
        <v>937.74035872000002</v>
      </c>
      <c r="AD8" s="23">
        <v>1133.08032026</v>
      </c>
      <c r="AE8" s="23">
        <f>('PAGS | IS NON-GAAP'!AE8)</f>
        <v>1330.7924400299999</v>
      </c>
      <c r="AF8" s="23">
        <f>('PAGS | IS NON-GAAP'!AF8)</f>
        <v>1610.1014512699999</v>
      </c>
      <c r="AG8" s="23">
        <f>('PAGS | IS NON-GAAP'!AG8)</f>
        <v>1697.2224831200001</v>
      </c>
      <c r="AI8" s="23">
        <f t="shared" si="0"/>
        <v>219.46196799533504</v>
      </c>
      <c r="AJ8" s="23">
        <f t="shared" si="1"/>
        <v>392.42934432000004</v>
      </c>
      <c r="AK8" s="23">
        <f t="shared" si="2"/>
        <v>818.62400000000002</v>
      </c>
      <c r="AL8" s="23">
        <f t="shared" si="3"/>
        <v>1414.5324000000001</v>
      </c>
      <c r="AM8" s="23">
        <f t="shared" si="4"/>
        <v>2030.53780908</v>
      </c>
      <c r="AN8" s="23">
        <f t="shared" si="5"/>
        <v>2177.3598542099999</v>
      </c>
      <c r="AO8" s="23">
        <f t="shared" si="6"/>
        <v>3514.4123227885602</v>
      </c>
    </row>
    <row r="9" spans="1:41" ht="14.25" hidden="1" customHeight="1" outlineLevel="1" x14ac:dyDescent="0.35">
      <c r="A9" s="12"/>
      <c r="B9" s="25" t="s">
        <v>67</v>
      </c>
      <c r="C9" s="23">
        <f>('PAGS | Total Costs and Expenses'!C6)</f>
        <v>-22.240062629999986</v>
      </c>
      <c r="D9" s="23">
        <f>('PAGS | Total Costs and Expenses'!D6)</f>
        <v>-29.044697109999987</v>
      </c>
      <c r="E9" s="23">
        <f>('PAGS | Total Costs and Expenses'!E6)</f>
        <v>-43.088255170000004</v>
      </c>
      <c r="F9" s="23">
        <f>('PAGS | Total Costs and Expenses'!F6)</f>
        <v>-51.596375819999992</v>
      </c>
      <c r="G9" s="23">
        <f>('PAGS | Total Costs and Expenses'!G6)</f>
        <v>-57.420364999999997</v>
      </c>
      <c r="H9" s="23">
        <f>('PAGS | Total Costs and Expenses'!H6)</f>
        <v>-66.798793000000003</v>
      </c>
      <c r="I9" s="23">
        <f>('PAGS | Total Costs and Expenses'!I6)</f>
        <v>-75.224872999999988</v>
      </c>
      <c r="J9" s="23">
        <f>('PAGS | Total Costs and Expenses'!J6)</f>
        <v>-84.186367000000004</v>
      </c>
      <c r="K9" s="23">
        <f>('PAGS | Total Costs and Expenses'!K6)</f>
        <v>-104.86116747</v>
      </c>
      <c r="L9" s="23">
        <f>('PAGS | Total Costs and Expenses'!L6)</f>
        <v>-140.43204321000005</v>
      </c>
      <c r="M9" s="23">
        <f>('PAGS | Total Costs and Expenses'!M6)</f>
        <v>-181.95003567999998</v>
      </c>
      <c r="N9" s="23">
        <f>('PAGS | Total Costs and Expenses'!N6)</f>
        <v>-233.82407343999995</v>
      </c>
      <c r="O9" s="23">
        <f>('PAGS | Total Costs and Expenses'!O6)</f>
        <v>-247.16099254119592</v>
      </c>
      <c r="P9" s="23">
        <f>('PAGS | Total Costs and Expenses'!P6)</f>
        <v>-281.40810856191149</v>
      </c>
      <c r="Q9" s="23">
        <f>('PAGS | Total Costs and Expenses'!Q6)</f>
        <v>-326.6424466952102</v>
      </c>
      <c r="R9" s="23">
        <f>('PAGS | Total Costs and Expenses'!R6)</f>
        <v>-391.26836720168239</v>
      </c>
      <c r="S9" s="23">
        <f>('PAGS | Total Costs and Expenses'!S6)</f>
        <v>-380.98784084015961</v>
      </c>
      <c r="T9" s="23">
        <f>('PAGS | Total Costs and Expenses'!T6)</f>
        <v>-432.70565525732491</v>
      </c>
      <c r="U9" s="23">
        <f>('PAGS | Total Costs and Expenses'!U6)</f>
        <v>-466.51871984000002</v>
      </c>
      <c r="V9" s="23">
        <f>('PAGS | Total Costs and Expenses'!V6)</f>
        <v>-573.76499701612011</v>
      </c>
      <c r="W9" s="23">
        <f>('PAGS | Total Costs and Expenses'!W6)</f>
        <v>-556.43391558278608</v>
      </c>
      <c r="X9" s="23">
        <f>('PAGS | Total Costs and Expenses'!X6)</f>
        <v>-589.41989783206373</v>
      </c>
      <c r="Y9" s="23">
        <f>('PAGS | Total Costs and Expenses'!Y6)</f>
        <v>-801.85333371000013</v>
      </c>
      <c r="Z9" s="23">
        <f>('PAGS | Total Costs and Expenses'!Z6)</f>
        <v>-825.72826543515043</v>
      </c>
      <c r="AA9" s="23">
        <v>-845.89162015999989</v>
      </c>
      <c r="AB9" s="23">
        <v>-965.10283215999982</v>
      </c>
      <c r="AC9" s="23">
        <v>-1112.1511079000004</v>
      </c>
      <c r="AD9" s="23">
        <v>-1398.0048165500002</v>
      </c>
      <c r="AE9" s="23">
        <f>('PAGS | Total Costs and Expenses'!AE6)</f>
        <v>-1303.0446917902734</v>
      </c>
      <c r="AF9" s="23">
        <f>('PAGS | Total Costs and Expenses'!AF6)</f>
        <v>-1414.2046547948698</v>
      </c>
      <c r="AG9" s="23">
        <f>('PAGS | Total Costs and Expenses'!AG6)</f>
        <v>-1371.616829647784</v>
      </c>
      <c r="AI9" s="23">
        <f t="shared" si="0"/>
        <v>-145.96939072999996</v>
      </c>
      <c r="AJ9" s="23">
        <f t="shared" si="1"/>
        <v>-283.63039800000001</v>
      </c>
      <c r="AK9" s="23">
        <f t="shared" si="2"/>
        <v>-661.06731979999995</v>
      </c>
      <c r="AL9" s="23">
        <f t="shared" si="3"/>
        <v>-1246.4799149999999</v>
      </c>
      <c r="AM9" s="23">
        <f t="shared" si="4"/>
        <v>-1853.9772129536045</v>
      </c>
      <c r="AN9" s="23">
        <f t="shared" si="5"/>
        <v>-2773.4354125600003</v>
      </c>
      <c r="AO9" s="23">
        <f t="shared" si="6"/>
        <v>-4321.1503767700005</v>
      </c>
    </row>
    <row r="10" spans="1:41" ht="14.25" hidden="1" customHeight="1" outlineLevel="1" x14ac:dyDescent="0.35">
      <c r="A10" s="12"/>
      <c r="B10" s="25" t="s">
        <v>26</v>
      </c>
      <c r="C10" s="23">
        <f>('PAGS | Total Costs and Expenses'!C10)</f>
        <v>-2.5886584299999993</v>
      </c>
      <c r="D10" s="23">
        <f>('PAGS | Total Costs and Expenses'!D10)</f>
        <v>-5.1831069999999997</v>
      </c>
      <c r="E10" s="23">
        <f>('PAGS | Total Costs and Expenses'!E10)</f>
        <v>-10.284615729999999</v>
      </c>
      <c r="F10" s="23">
        <f>('PAGS | Total Costs and Expenses'!F10)</f>
        <v>-11.639744739999999</v>
      </c>
      <c r="G10" s="23">
        <f>('PAGS | Total Costs and Expenses'!G10)</f>
        <v>-6.6107146500000011</v>
      </c>
      <c r="H10" s="23">
        <f>('PAGS | Total Costs and Expenses'!H10)</f>
        <v>-8.109387589999999</v>
      </c>
      <c r="I10" s="23">
        <f>('PAGS | Total Costs and Expenses'!I10)</f>
        <v>-24.820313980000005</v>
      </c>
      <c r="J10" s="23">
        <f>('PAGS | Total Costs and Expenses'!J10)</f>
        <v>-28.760700239999998</v>
      </c>
      <c r="K10" s="23">
        <f>('PAGS | Total Costs and Expenses'!K10)</f>
        <v>-19.218084329999996</v>
      </c>
      <c r="L10" s="23">
        <f>('PAGS | Total Costs and Expenses'!L10)</f>
        <v>-23.540114429999999</v>
      </c>
      <c r="M10" s="23">
        <f>('PAGS | Total Costs and Expenses'!M10)</f>
        <v>-21.033999999999999</v>
      </c>
      <c r="N10" s="23">
        <f>('PAGS | Total Costs and Expenses'!N10)</f>
        <v>-40.751801239999992</v>
      </c>
      <c r="O10" s="23">
        <f>('PAGS | Total Costs and Expenses'!O10)</f>
        <v>-16.523</v>
      </c>
      <c r="P10" s="23">
        <f>('PAGS | Total Costs and Expenses'!P10)</f>
        <v>-2.8043396799999973</v>
      </c>
      <c r="Q10" s="23">
        <f>('PAGS | Total Costs and Expenses'!Q10)</f>
        <v>-7.2258540800000048</v>
      </c>
      <c r="R10" s="23">
        <f>('PAGS | Total Costs and Expenses'!R10)</f>
        <v>-4.6558820099999974</v>
      </c>
      <c r="S10" s="23">
        <f>('PAGS | Total Costs and Expenses'!S10)</f>
        <v>-5.8390000000000004</v>
      </c>
      <c r="T10" s="23">
        <f>('PAGS | Total Costs and Expenses'!T10)</f>
        <v>-2.2040000000000002</v>
      </c>
      <c r="U10" s="23">
        <f>('PAGS | Total Costs and Expenses'!U10)</f>
        <v>-6.5099013700000006</v>
      </c>
      <c r="V10" s="23">
        <f>('PAGS | Total Costs and Expenses'!V10)</f>
        <v>-23.585409509999991</v>
      </c>
      <c r="W10" s="23">
        <f>('PAGS | Total Costs and Expenses'!W10)</f>
        <v>-45.561989969999999</v>
      </c>
      <c r="X10" s="23">
        <f>('PAGS | Total Costs and Expenses'!X10)</f>
        <v>-17.872514700000004</v>
      </c>
      <c r="Y10" s="23">
        <f>('PAGS | Total Costs and Expenses'!Y10)</f>
        <v>-16.255824969999999</v>
      </c>
      <c r="Z10" s="23">
        <f>('PAGS | Total Costs and Expenses'!Z10)</f>
        <v>-29.542062090000002</v>
      </c>
      <c r="AA10" s="23">
        <v>-44.387658880000004</v>
      </c>
      <c r="AB10" s="23">
        <v>-133.78472765999999</v>
      </c>
      <c r="AC10" s="23">
        <v>-209.82270677</v>
      </c>
      <c r="AD10" s="23">
        <v>-402.64024504000008</v>
      </c>
      <c r="AE10" s="23">
        <f>('PAGS | Total Costs and Expenses'!AE10)</f>
        <v>-620.62783420999995</v>
      </c>
      <c r="AF10" s="23">
        <f>('PAGS | Total Costs and Expenses'!AF10)</f>
        <v>-755.55951044419521</v>
      </c>
      <c r="AG10" s="23">
        <f>('PAGS | Total Costs and Expenses'!AG10)</f>
        <v>-920.65559389805776</v>
      </c>
      <c r="AI10" s="23">
        <f t="shared" ref="AI10" si="7">SUM(C10:F10)</f>
        <v>-29.696125899999998</v>
      </c>
      <c r="AJ10" s="23">
        <f t="shared" ref="AJ10" si="8">SUM(G10:J10)</f>
        <v>-68.301116460000003</v>
      </c>
      <c r="AK10" s="23">
        <f t="shared" ref="AK10" si="9">SUM(K10:N10)</f>
        <v>-104.54399999999998</v>
      </c>
      <c r="AL10" s="23">
        <f t="shared" ref="AL10" si="10">SUM(O10:R10)</f>
        <v>-31.209075769999998</v>
      </c>
      <c r="AM10" s="23">
        <f t="shared" ref="AM10" si="11">SUM(S10:V10)</f>
        <v>-38.138310879999992</v>
      </c>
      <c r="AN10" s="23">
        <f t="shared" ref="AN10" si="12">SUM(W10:Z10)</f>
        <v>-109.23239173</v>
      </c>
      <c r="AO10" s="23">
        <f t="shared" ref="AO10" si="13">SUM(AA10:AD10)</f>
        <v>-790.6353383500001</v>
      </c>
    </row>
    <row r="11" spans="1:41" ht="14.25" customHeight="1" collapsed="1" x14ac:dyDescent="0.35">
      <c r="B11" s="47" t="s">
        <v>142</v>
      </c>
      <c r="C11" s="49">
        <f t="shared" ref="C11:F11" si="14">IFERROR(C14+C15,"-")</f>
        <v>0.115270501170675</v>
      </c>
      <c r="D11" s="49">
        <f t="shared" si="14"/>
        <v>9.6086807673954527E-2</v>
      </c>
      <c r="E11" s="49">
        <f t="shared" si="14"/>
        <v>9.5752889215767856E-2</v>
      </c>
      <c r="F11" s="49">
        <f t="shared" si="14"/>
        <v>9.1584584258823598E-2</v>
      </c>
      <c r="G11" s="49">
        <f t="shared" ref="G11:Z11" si="15">IFERROR(G14+G15,"-")</f>
        <v>6.6073103209397993E-2</v>
      </c>
      <c r="H11" s="49">
        <f t="shared" si="15"/>
        <v>6.6445053715501662E-2</v>
      </c>
      <c r="I11" s="49">
        <f t="shared" si="15"/>
        <v>6.1027140645945999E-2</v>
      </c>
      <c r="J11" s="49">
        <f t="shared" si="15"/>
        <v>5.8779041393749953E-2</v>
      </c>
      <c r="K11" s="49">
        <f t="shared" si="15"/>
        <v>5.4872333333333335E-2</v>
      </c>
      <c r="L11" s="49">
        <f t="shared" si="15"/>
        <v>5.2965555555555564E-2</v>
      </c>
      <c r="M11" s="49">
        <f t="shared" si="15"/>
        <v>5.3142616822429906E-2</v>
      </c>
      <c r="N11" s="49">
        <f t="shared" si="15"/>
        <v>5.2647352941176472E-2</v>
      </c>
      <c r="O11" s="49">
        <f t="shared" si="15"/>
        <v>4.983931414583332E-2</v>
      </c>
      <c r="P11" s="49">
        <f t="shared" si="15"/>
        <v>5.0168250668639017E-2</v>
      </c>
      <c r="Q11" s="49">
        <f t="shared" si="15"/>
        <v>4.8581087710837453E-2</v>
      </c>
      <c r="R11" s="49">
        <f t="shared" si="15"/>
        <v>4.5931291319918716E-2</v>
      </c>
      <c r="S11" s="49">
        <f t="shared" si="15"/>
        <v>4.6864713114754097E-2</v>
      </c>
      <c r="T11" s="49">
        <f t="shared" si="15"/>
        <v>4.8362537313432832E-2</v>
      </c>
      <c r="U11" s="49">
        <f t="shared" si="15"/>
        <v>4.8200838919727887E-2</v>
      </c>
      <c r="V11" s="49">
        <f t="shared" si="15"/>
        <v>4.5184793700291548E-2</v>
      </c>
      <c r="W11" s="49">
        <f t="shared" si="15"/>
        <v>4.8235709779179813E-2</v>
      </c>
      <c r="X11" s="49">
        <f t="shared" si="15"/>
        <v>4.4151301489597311E-2</v>
      </c>
      <c r="Y11" s="49">
        <f t="shared" si="15"/>
        <v>3.9212635430133931E-2</v>
      </c>
      <c r="Z11" s="49">
        <f t="shared" si="15"/>
        <v>3.7695697791320072E-2</v>
      </c>
      <c r="AA11" s="49">
        <v>4.0839057179399993E-2</v>
      </c>
      <c r="AB11" s="49">
        <v>4.1469561559361996E-2</v>
      </c>
      <c r="AC11" s="49">
        <v>4.0866838770808392E-2</v>
      </c>
      <c r="AD11" s="49">
        <v>4.046425242940431E-2</v>
      </c>
      <c r="AE11" s="49">
        <f t="shared" ref="AE11:AF11" si="16">IFERROR(AE14+AE15,"-")</f>
        <v>4.2264369230521223E-2</v>
      </c>
      <c r="AF11" s="49">
        <f t="shared" si="16"/>
        <v>4.3338454658581257E-2</v>
      </c>
      <c r="AG11" s="49">
        <f t="shared" ref="AG11" si="17">IFERROR(AG14+AG15,"-")</f>
        <v>4.4178301741781556E-2</v>
      </c>
      <c r="AI11" s="49">
        <f t="shared" ref="AI11" si="18">IFERROR(AI14+AI15,"-")</f>
        <v>9.7531945503993023E-2</v>
      </c>
      <c r="AJ11" s="49">
        <f t="shared" ref="AJ11:AM11" si="19">IFERROR(AJ14+AJ15,"-")</f>
        <v>6.2318409874999994E-2</v>
      </c>
      <c r="AK11" s="49">
        <f t="shared" si="19"/>
        <v>5.3200130208333342E-2</v>
      </c>
      <c r="AL11" s="49">
        <f t="shared" si="19"/>
        <v>4.8315425288713909E-2</v>
      </c>
      <c r="AM11" s="49">
        <f t="shared" si="19"/>
        <v>4.7054465519234118E-2</v>
      </c>
      <c r="AN11" s="49">
        <f t="shared" ref="AN11:AO11" si="20">IFERROR(AN14+AN15,"-")</f>
        <v>4.1374250863366338E-2</v>
      </c>
      <c r="AO11" s="49">
        <f t="shared" si="20"/>
        <v>4.086993460846064E-2</v>
      </c>
    </row>
    <row r="12" spans="1:41" ht="14.25" customHeight="1" x14ac:dyDescent="0.35">
      <c r="B12" s="48" t="s">
        <v>106</v>
      </c>
      <c r="C12" s="50">
        <f>IFERROR(SUM(C14:C16),"-")</f>
        <v>8.7470422883175011E-2</v>
      </c>
      <c r="D12" s="50">
        <f t="shared" ref="D12:F12" si="21">IFERROR(SUM(D14:D16),"-")</f>
        <v>6.9682537573954539E-2</v>
      </c>
      <c r="E12" s="50">
        <f t="shared" si="21"/>
        <v>6.4975564094339286E-2</v>
      </c>
      <c r="F12" s="50">
        <f t="shared" si="21"/>
        <v>6.1233774952941251E-2</v>
      </c>
      <c r="G12" s="50">
        <f t="shared" ref="G12:Z12" si="22">IFERROR(SUM(G14:G16),"-")</f>
        <v>4.3104957209397998E-2</v>
      </c>
      <c r="H12" s="50">
        <f t="shared" si="22"/>
        <v>4.4178789382168328E-2</v>
      </c>
      <c r="I12" s="50">
        <f t="shared" si="22"/>
        <v>4.0696093889189246E-2</v>
      </c>
      <c r="J12" s="50">
        <f t="shared" si="22"/>
        <v>4.1240214935416616E-2</v>
      </c>
      <c r="K12" s="50">
        <f t="shared" si="22"/>
        <v>3.739547208833334E-2</v>
      </c>
      <c r="L12" s="50">
        <f t="shared" si="22"/>
        <v>3.5628266270370371E-2</v>
      </c>
      <c r="M12" s="50">
        <f t="shared" si="22"/>
        <v>3.6137940590654206E-2</v>
      </c>
      <c r="N12" s="50">
        <f t="shared" si="22"/>
        <v>3.5454406364705884E-2</v>
      </c>
      <c r="O12" s="50">
        <f t="shared" si="22"/>
        <v>3.2675356330472492E-2</v>
      </c>
      <c r="P12" s="50">
        <f t="shared" si="22"/>
        <v>3.3516883298111713E-2</v>
      </c>
      <c r="Q12" s="50">
        <f t="shared" si="22"/>
        <v>3.2490326789891139E-2</v>
      </c>
      <c r="R12" s="50">
        <f t="shared" si="22"/>
        <v>3.0026073140988537E-2</v>
      </c>
      <c r="S12" s="50">
        <f t="shared" si="22"/>
        <v>3.125045734261641E-2</v>
      </c>
      <c r="T12" s="50">
        <f t="shared" si="22"/>
        <v>3.2216803908308764E-2</v>
      </c>
      <c r="U12" s="50">
        <f t="shared" si="22"/>
        <v>3.2332855251700675E-2</v>
      </c>
      <c r="V12" s="50">
        <f t="shared" si="22"/>
        <v>2.8456951221687465E-2</v>
      </c>
      <c r="W12" s="50">
        <f t="shared" si="22"/>
        <v>3.068258941379224E-2</v>
      </c>
      <c r="X12" s="50">
        <f t="shared" si="22"/>
        <v>2.4372110287179064E-2</v>
      </c>
      <c r="Y12" s="50">
        <f t="shared" si="22"/>
        <v>2.1314123516964285E-2</v>
      </c>
      <c r="Z12" s="50">
        <f t="shared" si="22"/>
        <v>2.2763902756326393E-2</v>
      </c>
      <c r="AA12" s="50">
        <v>2.3921224776199995E-2</v>
      </c>
      <c r="AB12" s="50">
        <v>2.432741533982381E-2</v>
      </c>
      <c r="AC12" s="50">
        <v>2.4217870089670662E-2</v>
      </c>
      <c r="AD12" s="50">
        <v>2.2745560204435994E-2</v>
      </c>
      <c r="AE12" s="50">
        <f t="shared" ref="AE12:AF12" si="23">IFERROR(SUM(AE14:AE16),"-")</f>
        <v>2.599664523813329E-2</v>
      </c>
      <c r="AF12" s="50">
        <f t="shared" si="23"/>
        <v>2.748414238509617E-2</v>
      </c>
      <c r="AG12" s="50">
        <f t="shared" ref="AG12" si="24">IFERROR(SUM(AG14:AG16),"-")</f>
        <v>2.8988746596180406E-2</v>
      </c>
      <c r="AI12" s="50">
        <f t="shared" ref="AI12" si="25">IFERROR(SUM(AI14:AI16),"-")</f>
        <v>6.8338067357993026E-2</v>
      </c>
      <c r="AJ12" s="50">
        <f t="shared" ref="AJ12:AM12" si="26">IFERROR(SUM(AJ14:AJ16),"-")</f>
        <v>4.2059095732142851E-2</v>
      </c>
      <c r="AK12" s="50">
        <f t="shared" si="26"/>
        <v>3.5984835421875014E-2</v>
      </c>
      <c r="AL12" s="50">
        <f t="shared" si="26"/>
        <v>3.1957421154855642E-2</v>
      </c>
      <c r="AM12" s="50">
        <f t="shared" si="26"/>
        <v>3.0918893604929467E-2</v>
      </c>
      <c r="AN12" s="50">
        <f t="shared" ref="AN12:AO12" si="27">IFERROR(SUM(AN14:AN16),"-")</f>
        <v>2.4211903013366336E-2</v>
      </c>
      <c r="AO12" s="50">
        <f t="shared" si="27"/>
        <v>2.3722512478420953E-2</v>
      </c>
    </row>
    <row r="13" spans="1:41" ht="14.25" customHeight="1" x14ac:dyDescent="0.35">
      <c r="B13" s="82" t="s">
        <v>194</v>
      </c>
      <c r="C13" s="83">
        <f>IFERROR(SUM(C14:C17),"-")</f>
        <v>8.4234599845675009E-2</v>
      </c>
      <c r="D13" s="83">
        <f t="shared" ref="D13:AE13" si="28">IFERROR(SUM(D14:D17),"-")</f>
        <v>6.4970622119409085E-2</v>
      </c>
      <c r="E13" s="83">
        <f t="shared" si="28"/>
        <v>5.7629410001482147E-2</v>
      </c>
      <c r="F13" s="83">
        <f t="shared" si="28"/>
        <v>5.4386866282353015E-2</v>
      </c>
      <c r="G13" s="83">
        <f t="shared" si="28"/>
        <v>4.0460671349398E-2</v>
      </c>
      <c r="H13" s="83">
        <f t="shared" si="28"/>
        <v>4.147566018550166E-2</v>
      </c>
      <c r="I13" s="83">
        <f t="shared" si="28"/>
        <v>3.3987900921621676E-2</v>
      </c>
      <c r="J13" s="83">
        <f t="shared" si="28"/>
        <v>3.5248402385416613E-2</v>
      </c>
      <c r="K13" s="83">
        <f t="shared" si="28"/>
        <v>3.4192458033333338E-2</v>
      </c>
      <c r="L13" s="83">
        <f t="shared" si="28"/>
        <v>3.2722079303703702E-2</v>
      </c>
      <c r="M13" s="83">
        <f t="shared" si="28"/>
        <v>3.4172146198130846E-2</v>
      </c>
      <c r="N13" s="83">
        <f t="shared" si="28"/>
        <v>3.2457950391176472E-2</v>
      </c>
      <c r="O13" s="83">
        <f t="shared" si="28"/>
        <v>3.1527925774916934E-2</v>
      </c>
      <c r="P13" s="83">
        <f t="shared" si="28"/>
        <v>3.3350946038940114E-2</v>
      </c>
      <c r="Q13" s="83">
        <f t="shared" si="28"/>
        <v>3.2134373386935471E-2</v>
      </c>
      <c r="R13" s="83">
        <f t="shared" si="28"/>
        <v>2.9836809644647074E-2</v>
      </c>
      <c r="S13" s="83">
        <f t="shared" si="28"/>
        <v>3.1011154063927886E-2</v>
      </c>
      <c r="T13" s="83">
        <f t="shared" si="28"/>
        <v>3.2134565102338614E-2</v>
      </c>
      <c r="U13" s="83">
        <f t="shared" si="28"/>
        <v>3.2111430035034007E-2</v>
      </c>
      <c r="V13" s="83">
        <f t="shared" si="28"/>
        <v>2.7769329953174344E-2</v>
      </c>
      <c r="W13" s="83">
        <f t="shared" si="28"/>
        <v>2.9245302663949969E-2</v>
      </c>
      <c r="X13" s="83">
        <f t="shared" si="28"/>
        <v>2.3772361471742824E-2</v>
      </c>
      <c r="Y13" s="83">
        <f t="shared" si="28"/>
        <v>2.0951270281026786E-2</v>
      </c>
      <c r="Z13" s="83">
        <f t="shared" si="28"/>
        <v>2.2229688251986429E-2</v>
      </c>
      <c r="AA13" s="83">
        <v>2.3033471598599996E-2</v>
      </c>
      <c r="AB13" s="83">
        <v>2.1951132432896633E-2</v>
      </c>
      <c r="AC13" s="83">
        <v>2.1076811605089823E-2</v>
      </c>
      <c r="AD13" s="83">
        <v>1.7642388530925219E-2</v>
      </c>
      <c r="AE13" s="83">
        <f t="shared" si="28"/>
        <v>1.8248482513913564E-2</v>
      </c>
      <c r="AF13" s="83">
        <f t="shared" ref="AF13:AG13" si="29">IFERROR(SUM(AF14:AF17),"-")</f>
        <v>1.9013744285945999E-2</v>
      </c>
      <c r="AG13" s="83">
        <f t="shared" si="29"/>
        <v>1.8793225069070132E-2</v>
      </c>
      <c r="AI13" s="83">
        <f t="shared" ref="AI13" si="30">IFERROR(SUM(AI14:AI17),"-")</f>
        <v>6.2398842177993026E-2</v>
      </c>
      <c r="AJ13" s="83">
        <f t="shared" ref="AJ13" si="31">IFERROR(SUM(AJ14:AJ17),"-")</f>
        <v>3.7180444556428563E-2</v>
      </c>
      <c r="AK13" s="83">
        <f t="shared" ref="AK13" si="32">IFERROR(SUM(AK14:AK17),"-")</f>
        <v>3.3262335421875011E-2</v>
      </c>
      <c r="AL13" s="83">
        <f t="shared" ref="AL13" si="33">IFERROR(SUM(AL14:AL17),"-")</f>
        <v>3.1547853231364831E-2</v>
      </c>
      <c r="AM13" s="83">
        <f t="shared" ref="AM13" si="34">IFERROR(SUM(AM14:AM17),"-")</f>
        <v>3.058696748761006E-2</v>
      </c>
      <c r="AN13" s="83">
        <f t="shared" ref="AN13" si="35">IFERROR(SUM(AN14:AN17),"-")</f>
        <v>2.3535959995235146E-2</v>
      </c>
      <c r="AO13" s="83">
        <f t="shared" ref="AO13" si="36">IFERROR(SUM(AO14:AO17),"-")</f>
        <v>2.0585070659571748E-2</v>
      </c>
    </row>
    <row r="14" spans="1:41" ht="14.25" hidden="1" customHeight="1" outlineLevel="1" x14ac:dyDescent="0.35">
      <c r="B14" s="25" t="s">
        <v>141</v>
      </c>
      <c r="C14" s="34">
        <f t="shared" ref="C14:F14" si="37">IFERROR(C7/C6,"-")</f>
        <v>6.1976837733174993E-2</v>
      </c>
      <c r="D14" s="34">
        <f t="shared" si="37"/>
        <v>5.2946834537590907E-2</v>
      </c>
      <c r="E14" s="34">
        <f t="shared" si="37"/>
        <v>5.1413630204814285E-2</v>
      </c>
      <c r="F14" s="34">
        <f t="shared" si="37"/>
        <v>5.1997464152941243E-2</v>
      </c>
      <c r="G14" s="34">
        <f t="shared" ref="G14:Z14" si="38">IFERROR(G7/G6,"-")</f>
        <v>3.6245258312000005E-2</v>
      </c>
      <c r="H14" s="34">
        <f t="shared" si="38"/>
        <v>3.5269555816666666E-2</v>
      </c>
      <c r="I14" s="34">
        <f t="shared" si="38"/>
        <v>3.3343740181081112E-2</v>
      </c>
      <c r="J14" s="34">
        <f t="shared" si="38"/>
        <v>3.3382237922916627E-2</v>
      </c>
      <c r="K14" s="34">
        <f t="shared" si="38"/>
        <v>3.1737500000000002E-2</v>
      </c>
      <c r="L14" s="34">
        <f t="shared" si="38"/>
        <v>3.1653703703703712E-2</v>
      </c>
      <c r="M14" s="34">
        <f t="shared" si="38"/>
        <v>3.2186448598130843E-2</v>
      </c>
      <c r="N14" s="34">
        <f t="shared" si="38"/>
        <v>3.1841617647058826E-2</v>
      </c>
      <c r="O14" s="34">
        <f t="shared" si="38"/>
        <v>3.0753312765972211E-2</v>
      </c>
      <c r="P14" s="34">
        <f t="shared" si="38"/>
        <v>3.0488106634911215E-2</v>
      </c>
      <c r="Q14" s="34">
        <f t="shared" si="38"/>
        <v>2.9504021196551738E-2</v>
      </c>
      <c r="R14" s="34">
        <f t="shared" si="38"/>
        <v>2.8864824014227661E-2</v>
      </c>
      <c r="S14" s="34">
        <f t="shared" si="38"/>
        <v>2.9221106557377051E-2</v>
      </c>
      <c r="T14" s="34">
        <f t="shared" si="38"/>
        <v>2.9811529850746268E-2</v>
      </c>
      <c r="U14" s="34">
        <f t="shared" si="38"/>
        <v>2.9907233477551021E-2</v>
      </c>
      <c r="V14" s="34">
        <f t="shared" si="38"/>
        <v>2.8711475651311952E-2</v>
      </c>
      <c r="W14" s="34">
        <f t="shared" si="38"/>
        <v>3.0498548895899053E-2</v>
      </c>
      <c r="X14" s="34">
        <f t="shared" si="38"/>
        <v>2.8740334074161072E-2</v>
      </c>
      <c r="Y14" s="34">
        <f t="shared" si="38"/>
        <v>2.705291378125E-2</v>
      </c>
      <c r="Z14" s="34">
        <f t="shared" si="38"/>
        <v>2.6645254837251355E-2</v>
      </c>
      <c r="AA14" s="34">
        <v>2.7699402942599996E-2</v>
      </c>
      <c r="AB14" s="34">
        <v>2.7497822092780115E-2</v>
      </c>
      <c r="AC14" s="34">
        <v>2.68288094486527E-2</v>
      </c>
      <c r="AD14" s="34">
        <v>2.6103285125728772E-2</v>
      </c>
      <c r="AE14" s="34">
        <f t="shared" ref="AE14:AF14" si="39">IFERROR(AE7/AE6,"-")</f>
        <v>2.5650231402431337E-2</v>
      </c>
      <c r="AF14" s="34">
        <f t="shared" si="39"/>
        <v>2.5287989958244932E-2</v>
      </c>
      <c r="AG14" s="34">
        <f t="shared" ref="AG14" si="40">IFERROR(AG7/AG6,"-")</f>
        <v>2.5382925406011902E-2</v>
      </c>
      <c r="AI14" s="34">
        <f t="shared" ref="AI14" si="41">IFERROR(AI7/AI6,"-")</f>
        <v>5.3639551904926024E-2</v>
      </c>
      <c r="AJ14" s="34">
        <f t="shared" ref="AJ14:AM14" si="42">IFERROR(AJ7/AJ6,"-")</f>
        <v>3.4287742423571417E-2</v>
      </c>
      <c r="AK14" s="34">
        <f t="shared" si="42"/>
        <v>3.1881796875000007E-2</v>
      </c>
      <c r="AL14" s="34">
        <f t="shared" si="42"/>
        <v>2.9752007965879262E-2</v>
      </c>
      <c r="AM14" s="34">
        <f t="shared" si="42"/>
        <v>2.9382247859704089E-2</v>
      </c>
      <c r="AN14" s="34">
        <f t="shared" ref="AN14:AO14" si="43">IFERROR(AN7/AN6,"-")</f>
        <v>2.7900489389294555E-2</v>
      </c>
      <c r="AO14" s="34">
        <f t="shared" si="43"/>
        <v>2.6923853962474289E-2</v>
      </c>
    </row>
    <row r="15" spans="1:41" ht="14.25" hidden="1" customHeight="1" outlineLevel="1" x14ac:dyDescent="0.35">
      <c r="B15" s="7" t="s">
        <v>1</v>
      </c>
      <c r="C15" s="81">
        <f t="shared" ref="C15:F15" si="44">IFERROR(C8/C6,"-")</f>
        <v>5.3293663437500013E-2</v>
      </c>
      <c r="D15" s="81">
        <f t="shared" si="44"/>
        <v>4.3139973136363627E-2</v>
      </c>
      <c r="E15" s="81">
        <f t="shared" si="44"/>
        <v>4.4339259010953577E-2</v>
      </c>
      <c r="F15" s="81">
        <f t="shared" si="44"/>
        <v>3.9587120105882362E-2</v>
      </c>
      <c r="G15" s="81">
        <f t="shared" ref="G15:Z15" si="45">IFERROR(G8/G6,"-")</f>
        <v>2.9827844897397995E-2</v>
      </c>
      <c r="H15" s="81">
        <f t="shared" si="45"/>
        <v>3.1175497898834996E-2</v>
      </c>
      <c r="I15" s="81">
        <f t="shared" si="45"/>
        <v>2.7683400464864883E-2</v>
      </c>
      <c r="J15" s="81">
        <f t="shared" si="45"/>
        <v>2.5396803470833326E-2</v>
      </c>
      <c r="K15" s="81">
        <f t="shared" si="45"/>
        <v>2.3134833333333334E-2</v>
      </c>
      <c r="L15" s="81">
        <f t="shared" si="45"/>
        <v>2.1311851851851853E-2</v>
      </c>
      <c r="M15" s="81">
        <f t="shared" si="45"/>
        <v>2.0956168224299066E-2</v>
      </c>
      <c r="N15" s="81">
        <f t="shared" si="45"/>
        <v>2.0805735294117646E-2</v>
      </c>
      <c r="O15" s="81">
        <f t="shared" si="45"/>
        <v>1.908600137986111E-2</v>
      </c>
      <c r="P15" s="81">
        <f t="shared" si="45"/>
        <v>1.9680144033727805E-2</v>
      </c>
      <c r="Q15" s="81">
        <f t="shared" si="45"/>
        <v>1.9077066514285715E-2</v>
      </c>
      <c r="R15" s="81">
        <f t="shared" si="45"/>
        <v>1.7066467305691058E-2</v>
      </c>
      <c r="S15" s="81">
        <f t="shared" si="45"/>
        <v>1.764360655737705E-2</v>
      </c>
      <c r="T15" s="81">
        <f t="shared" si="45"/>
        <v>1.8551007462686567E-2</v>
      </c>
      <c r="U15" s="81">
        <f t="shared" si="45"/>
        <v>1.8293605442176869E-2</v>
      </c>
      <c r="V15" s="81">
        <f t="shared" si="45"/>
        <v>1.6473318048979592E-2</v>
      </c>
      <c r="W15" s="81">
        <f t="shared" si="45"/>
        <v>1.7737160883280759E-2</v>
      </c>
      <c r="X15" s="81">
        <f t="shared" si="45"/>
        <v>1.541096741543624E-2</v>
      </c>
      <c r="Y15" s="81">
        <f t="shared" si="45"/>
        <v>1.2159721648883929E-2</v>
      </c>
      <c r="Z15" s="81">
        <f t="shared" si="45"/>
        <v>1.1050442954068715E-2</v>
      </c>
      <c r="AA15" s="81">
        <v>1.31396542368E-2</v>
      </c>
      <c r="AB15" s="81">
        <v>1.3971739466581883E-2</v>
      </c>
      <c r="AC15" s="81">
        <v>1.4038029322155688E-2</v>
      </c>
      <c r="AD15" s="81">
        <v>1.4360967303675538E-2</v>
      </c>
      <c r="AE15" s="81">
        <f t="shared" ref="AE15:AF15" si="46">IFERROR(AE8/AE6,"-")</f>
        <v>1.6614137828089886E-2</v>
      </c>
      <c r="AF15" s="81">
        <f t="shared" si="46"/>
        <v>1.8050464700336322E-2</v>
      </c>
      <c r="AG15" s="81">
        <f t="shared" ref="AG15" si="47">IFERROR(AG8/AG6,"-")</f>
        <v>1.8795376335769658E-2</v>
      </c>
      <c r="AH15" s="5"/>
      <c r="AI15" s="81">
        <f t="shared" ref="AI15" si="48">IFERROR(AI8/AI6,"-")</f>
        <v>4.3892393599067006E-2</v>
      </c>
      <c r="AJ15" s="81">
        <f t="shared" ref="AJ15:AM15" si="49">IFERROR(AJ8/AJ6,"-")</f>
        <v>2.8030667451428574E-2</v>
      </c>
      <c r="AK15" s="81">
        <f t="shared" si="49"/>
        <v>2.1318333333333335E-2</v>
      </c>
      <c r="AL15" s="81">
        <f t="shared" si="49"/>
        <v>1.8563417322834647E-2</v>
      </c>
      <c r="AM15" s="81">
        <f t="shared" si="49"/>
        <v>1.7672217659530025E-2</v>
      </c>
      <c r="AN15" s="81">
        <f t="shared" ref="AN15:AO15" si="50">IFERROR(AN8/AN6,"-")</f>
        <v>1.3473761474071781E-2</v>
      </c>
      <c r="AO15" s="81">
        <f t="shared" si="50"/>
        <v>1.3946080645986351E-2</v>
      </c>
    </row>
    <row r="16" spans="1:41" ht="14.25" hidden="1" customHeight="1" outlineLevel="1" x14ac:dyDescent="0.35">
      <c r="B16" s="7" t="s">
        <v>67</v>
      </c>
      <c r="C16" s="81">
        <f>IFERROR(C9/C6,"-")</f>
        <v>-2.7800078287499985E-2</v>
      </c>
      <c r="D16" s="81">
        <f t="shared" ref="D16:F16" si="51">IFERROR(D9/D6,"-")</f>
        <v>-2.6404270099999988E-2</v>
      </c>
      <c r="E16" s="81">
        <f t="shared" si="51"/>
        <v>-3.0777325121428573E-2</v>
      </c>
      <c r="F16" s="81">
        <f t="shared" si="51"/>
        <v>-3.0350809305882347E-2</v>
      </c>
      <c r="G16" s="81">
        <f t="shared" ref="G16:Z16" si="52">IFERROR(G9/G6,"-")</f>
        <v>-2.2968145999999998E-2</v>
      </c>
      <c r="H16" s="81">
        <f t="shared" si="52"/>
        <v>-2.2266264333333334E-2</v>
      </c>
      <c r="I16" s="81">
        <f t="shared" si="52"/>
        <v>-2.0331046756756753E-2</v>
      </c>
      <c r="J16" s="81">
        <f t="shared" si="52"/>
        <v>-1.7538826458333334E-2</v>
      </c>
      <c r="K16" s="81">
        <f t="shared" si="52"/>
        <v>-1.7476861244999999E-2</v>
      </c>
      <c r="L16" s="81">
        <f t="shared" si="52"/>
        <v>-1.733728928518519E-2</v>
      </c>
      <c r="M16" s="81">
        <f t="shared" si="52"/>
        <v>-1.7004676231775699E-2</v>
      </c>
      <c r="N16" s="81">
        <f t="shared" si="52"/>
        <v>-1.7192946576470584E-2</v>
      </c>
      <c r="O16" s="81">
        <f t="shared" si="52"/>
        <v>-1.7163957815360828E-2</v>
      </c>
      <c r="P16" s="81">
        <f t="shared" si="52"/>
        <v>-1.6651367370527307E-2</v>
      </c>
      <c r="Q16" s="81">
        <f t="shared" si="52"/>
        <v>-1.6090760920946315E-2</v>
      </c>
      <c r="R16" s="81">
        <f t="shared" si="52"/>
        <v>-1.5905218178930178E-2</v>
      </c>
      <c r="S16" s="81">
        <f t="shared" si="52"/>
        <v>-1.5614255772137689E-2</v>
      </c>
      <c r="T16" s="81">
        <f t="shared" si="52"/>
        <v>-1.6145733405124065E-2</v>
      </c>
      <c r="U16" s="81">
        <f t="shared" si="52"/>
        <v>-1.5867983668027212E-2</v>
      </c>
      <c r="V16" s="81">
        <f t="shared" si="52"/>
        <v>-1.6727842478604083E-2</v>
      </c>
      <c r="W16" s="81">
        <f t="shared" si="52"/>
        <v>-1.7553120365387573E-2</v>
      </c>
      <c r="X16" s="81">
        <f t="shared" si="52"/>
        <v>-1.9779191202418247E-2</v>
      </c>
      <c r="Y16" s="81">
        <f t="shared" si="52"/>
        <v>-1.7898511913169646E-2</v>
      </c>
      <c r="Z16" s="81">
        <f t="shared" si="52"/>
        <v>-1.4931795034993679E-2</v>
      </c>
      <c r="AA16" s="81">
        <v>-1.6917832403199998E-2</v>
      </c>
      <c r="AB16" s="81">
        <v>-1.7142146219538187E-2</v>
      </c>
      <c r="AC16" s="81">
        <v>-1.664896868113773E-2</v>
      </c>
      <c r="AD16" s="81">
        <v>-1.7718692224968316E-2</v>
      </c>
      <c r="AE16" s="81">
        <f t="shared" ref="AE16:AF16" si="53">IFERROR(AE9/AE6,"-")</f>
        <v>-1.6267723992387934E-2</v>
      </c>
      <c r="AF16" s="81">
        <f t="shared" si="53"/>
        <v>-1.5854312273485088E-2</v>
      </c>
      <c r="AG16" s="81">
        <f t="shared" ref="AG16" si="54">IFERROR(AG9/AG6,"-")</f>
        <v>-1.5189555145601151E-2</v>
      </c>
      <c r="AH16" s="5"/>
      <c r="AI16" s="81">
        <f t="shared" ref="AI16" si="55">IFERROR(AI9/AI6,"-")</f>
        <v>-2.9193878145999993E-2</v>
      </c>
      <c r="AJ16" s="81">
        <f t="shared" ref="AJ16:AM16" si="56">IFERROR(AJ9/AJ6,"-")</f>
        <v>-2.0259314142857143E-2</v>
      </c>
      <c r="AK16" s="81">
        <f t="shared" si="56"/>
        <v>-1.7215294786458332E-2</v>
      </c>
      <c r="AL16" s="81">
        <f t="shared" si="56"/>
        <v>-1.6358004133858267E-2</v>
      </c>
      <c r="AM16" s="81">
        <f t="shared" si="56"/>
        <v>-1.6135571914304651E-2</v>
      </c>
      <c r="AN16" s="81">
        <f t="shared" ref="AN16:AO16" si="57">IFERROR(AN9/AN6,"-")</f>
        <v>-1.7162347850000002E-2</v>
      </c>
      <c r="AO16" s="81">
        <f t="shared" si="57"/>
        <v>-1.7147422130039686E-2</v>
      </c>
    </row>
    <row r="17" spans="2:41" ht="14.25" hidden="1" customHeight="1" outlineLevel="1" x14ac:dyDescent="0.35">
      <c r="B17" s="33" t="s">
        <v>26</v>
      </c>
      <c r="C17" s="35">
        <f>IFERROR(C10/C6,"-")</f>
        <v>-3.2358230374999993E-3</v>
      </c>
      <c r="D17" s="35">
        <f t="shared" ref="D17:AO17" si="58">IFERROR(D10/D6,"-")</f>
        <v>-4.7119154545454539E-3</v>
      </c>
      <c r="E17" s="35">
        <f t="shared" si="58"/>
        <v>-7.3461540928571418E-3</v>
      </c>
      <c r="F17" s="35">
        <f t="shared" si="58"/>
        <v>-6.8469086705882348E-3</v>
      </c>
      <c r="G17" s="35">
        <f t="shared" si="58"/>
        <v>-2.6442858600000006E-3</v>
      </c>
      <c r="H17" s="35">
        <f t="shared" si="58"/>
        <v>-2.7031291966666663E-3</v>
      </c>
      <c r="I17" s="35">
        <f t="shared" si="58"/>
        <v>-6.7081929675675686E-3</v>
      </c>
      <c r="J17" s="35">
        <f t="shared" si="58"/>
        <v>-5.9918125499999995E-3</v>
      </c>
      <c r="K17" s="35">
        <f t="shared" si="58"/>
        <v>-3.2030140549999995E-3</v>
      </c>
      <c r="L17" s="35">
        <f t="shared" si="58"/>
        <v>-2.9061869666666667E-3</v>
      </c>
      <c r="M17" s="35">
        <f t="shared" si="58"/>
        <v>-1.9657943925233644E-3</v>
      </c>
      <c r="N17" s="35">
        <f t="shared" si="58"/>
        <v>-2.996455973529411E-3</v>
      </c>
      <c r="O17" s="35">
        <f t="shared" si="58"/>
        <v>-1.1474305555555556E-3</v>
      </c>
      <c r="P17" s="35">
        <f t="shared" si="58"/>
        <v>-1.6593725917159747E-4</v>
      </c>
      <c r="Q17" s="35">
        <f t="shared" si="58"/>
        <v>-3.5595340295566525E-4</v>
      </c>
      <c r="R17" s="35">
        <f t="shared" si="58"/>
        <v>-1.892634963414633E-4</v>
      </c>
      <c r="S17" s="35">
        <f t="shared" si="58"/>
        <v>-2.3930327868852461E-4</v>
      </c>
      <c r="T17" s="35">
        <f t="shared" si="58"/>
        <v>-8.2238805970149257E-5</v>
      </c>
      <c r="U17" s="35">
        <f t="shared" si="58"/>
        <v>-2.2142521666666668E-4</v>
      </c>
      <c r="V17" s="35">
        <f t="shared" si="58"/>
        <v>-6.8762126851311931E-4</v>
      </c>
      <c r="W17" s="35">
        <f t="shared" si="58"/>
        <v>-1.4372867498422712E-3</v>
      </c>
      <c r="X17" s="35">
        <f t="shared" si="58"/>
        <v>-5.9974881543624174E-4</v>
      </c>
      <c r="Y17" s="35">
        <f t="shared" si="58"/>
        <v>-3.6285323593749996E-4</v>
      </c>
      <c r="Z17" s="35">
        <f t="shared" si="58"/>
        <v>-5.3421450433996387E-4</v>
      </c>
      <c r="AA17" s="35">
        <v>-8.8775317760000005E-4</v>
      </c>
      <c r="AB17" s="35">
        <v>-2.3762829069271757E-3</v>
      </c>
      <c r="AC17" s="35">
        <v>-3.1410584845808381E-3</v>
      </c>
      <c r="AD17" s="35">
        <v>-5.1031716735107742E-3</v>
      </c>
      <c r="AE17" s="35">
        <f t="shared" ref="AE17:AF17" si="59">IFERROR(AE10/AE6,"-")</f>
        <v>-7.7481627242197244E-3</v>
      </c>
      <c r="AF17" s="35">
        <f t="shared" si="59"/>
        <v>-8.4703980991501712E-3</v>
      </c>
      <c r="AG17" s="35">
        <f t="shared" ref="AG17" si="60">IFERROR(AG10/AG6,"-")</f>
        <v>-1.0195521527110275E-2</v>
      </c>
      <c r="AI17" s="35">
        <f t="shared" si="58"/>
        <v>-5.9392251799999995E-3</v>
      </c>
      <c r="AJ17" s="35">
        <f t="shared" si="58"/>
        <v>-4.8786511757142863E-3</v>
      </c>
      <c r="AK17" s="35">
        <f t="shared" si="58"/>
        <v>-2.7224999999999997E-3</v>
      </c>
      <c r="AL17" s="35">
        <f t="shared" si="58"/>
        <v>-4.0956792349081361E-4</v>
      </c>
      <c r="AM17" s="35">
        <f t="shared" si="58"/>
        <v>-3.3192611731940811E-4</v>
      </c>
      <c r="AN17" s="35">
        <f t="shared" si="58"/>
        <v>-6.759430181311881E-4</v>
      </c>
      <c r="AO17" s="35">
        <f t="shared" si="58"/>
        <v>-3.1374418188492067E-3</v>
      </c>
    </row>
    <row r="18" spans="2:41" ht="14.25" customHeight="1" collapsed="1" x14ac:dyDescent="0.35">
      <c r="B18" s="7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I18" s="81"/>
      <c r="AJ18" s="81"/>
      <c r="AK18" s="81"/>
      <c r="AL18" s="81"/>
      <c r="AM18" s="81"/>
      <c r="AN18" s="81"/>
      <c r="AO18" s="81"/>
    </row>
    <row r="19" spans="2:41" ht="14.25" customHeight="1" x14ac:dyDescent="0.35">
      <c r="B19" s="54" t="s">
        <v>203</v>
      </c>
      <c r="C19" s="61" t="s">
        <v>21</v>
      </c>
      <c r="D19" s="61" t="s">
        <v>20</v>
      </c>
      <c r="E19" s="61" t="s">
        <v>19</v>
      </c>
      <c r="F19" s="61" t="s">
        <v>18</v>
      </c>
      <c r="G19" s="61" t="s">
        <v>17</v>
      </c>
      <c r="H19" s="61" t="s">
        <v>16</v>
      </c>
      <c r="I19" s="61" t="s">
        <v>15</v>
      </c>
      <c r="J19" s="61" t="s">
        <v>14</v>
      </c>
      <c r="K19" s="61" t="s">
        <v>13</v>
      </c>
      <c r="L19" s="61" t="s">
        <v>12</v>
      </c>
      <c r="M19" s="61" t="s">
        <v>11</v>
      </c>
      <c r="N19" s="61" t="s">
        <v>10</v>
      </c>
      <c r="O19" s="61" t="s">
        <v>9</v>
      </c>
      <c r="P19" s="61" t="s">
        <v>8</v>
      </c>
      <c r="Q19" s="61" t="s">
        <v>7</v>
      </c>
      <c r="R19" s="61" t="s">
        <v>6</v>
      </c>
      <c r="S19" s="61" t="s">
        <v>5</v>
      </c>
      <c r="T19" s="61" t="s">
        <v>4</v>
      </c>
      <c r="U19" s="61" t="s">
        <v>101</v>
      </c>
      <c r="V19" s="61" t="s">
        <v>102</v>
      </c>
      <c r="W19" s="61" t="s">
        <v>104</v>
      </c>
      <c r="X19" s="61" t="s">
        <v>107</v>
      </c>
      <c r="Y19" s="61" t="s">
        <v>112</v>
      </c>
      <c r="Z19" s="61" t="s">
        <v>122</v>
      </c>
      <c r="AA19" s="61" t="s">
        <v>139</v>
      </c>
      <c r="AB19" s="61" t="s">
        <v>149</v>
      </c>
      <c r="AC19" s="61" t="s">
        <v>154</v>
      </c>
      <c r="AD19" s="61" t="s">
        <v>168</v>
      </c>
      <c r="AE19" s="61" t="s">
        <v>187</v>
      </c>
      <c r="AF19" s="61" t="s">
        <v>206</v>
      </c>
      <c r="AG19" s="61" t="s">
        <v>216</v>
      </c>
      <c r="AI19" s="26">
        <v>2015</v>
      </c>
      <c r="AJ19" s="26">
        <v>2016</v>
      </c>
      <c r="AK19" s="26">
        <v>2017</v>
      </c>
      <c r="AL19" s="26">
        <v>2018</v>
      </c>
      <c r="AM19" s="26">
        <v>2019</v>
      </c>
      <c r="AN19" s="26">
        <v>2020</v>
      </c>
      <c r="AO19" s="26">
        <v>2021</v>
      </c>
    </row>
    <row r="20" spans="2:41" ht="14.25" customHeight="1" x14ac:dyDescent="0.35">
      <c r="B20" s="58" t="s">
        <v>195</v>
      </c>
      <c r="C20" s="28">
        <f t="shared" ref="C20:Z20" si="61">C6</f>
        <v>800</v>
      </c>
      <c r="D20" s="28">
        <f t="shared" si="61"/>
        <v>1100</v>
      </c>
      <c r="E20" s="28">
        <f t="shared" si="61"/>
        <v>1400</v>
      </c>
      <c r="F20" s="28">
        <f t="shared" si="61"/>
        <v>1700</v>
      </c>
      <c r="G20" s="28">
        <f t="shared" si="61"/>
        <v>2500</v>
      </c>
      <c r="H20" s="28">
        <f t="shared" si="61"/>
        <v>3000</v>
      </c>
      <c r="I20" s="28">
        <f t="shared" si="61"/>
        <v>3700</v>
      </c>
      <c r="J20" s="28">
        <f t="shared" si="61"/>
        <v>4800</v>
      </c>
      <c r="K20" s="28">
        <f t="shared" si="61"/>
        <v>6000</v>
      </c>
      <c r="L20" s="28">
        <f t="shared" si="61"/>
        <v>8100</v>
      </c>
      <c r="M20" s="28">
        <f t="shared" si="61"/>
        <v>10700</v>
      </c>
      <c r="N20" s="28">
        <f t="shared" si="61"/>
        <v>13600</v>
      </c>
      <c r="O20" s="28">
        <f t="shared" si="61"/>
        <v>14400</v>
      </c>
      <c r="P20" s="28">
        <f t="shared" si="61"/>
        <v>16900</v>
      </c>
      <c r="Q20" s="28">
        <f t="shared" si="61"/>
        <v>20300</v>
      </c>
      <c r="R20" s="28">
        <f t="shared" si="61"/>
        <v>24600</v>
      </c>
      <c r="S20" s="28">
        <f t="shared" si="61"/>
        <v>24400</v>
      </c>
      <c r="T20" s="28">
        <f t="shared" si="61"/>
        <v>26800</v>
      </c>
      <c r="U20" s="28">
        <f t="shared" si="61"/>
        <v>29400</v>
      </c>
      <c r="V20" s="28">
        <f t="shared" si="61"/>
        <v>34300</v>
      </c>
      <c r="W20" s="28">
        <f t="shared" si="61"/>
        <v>31700</v>
      </c>
      <c r="X20" s="28">
        <f t="shared" si="61"/>
        <v>29800</v>
      </c>
      <c r="Y20" s="28">
        <f t="shared" si="61"/>
        <v>44800</v>
      </c>
      <c r="Z20" s="28">
        <f t="shared" si="61"/>
        <v>55300</v>
      </c>
      <c r="AA20" s="28">
        <v>50000</v>
      </c>
      <c r="AB20" s="28">
        <v>56300</v>
      </c>
      <c r="AC20" s="28">
        <v>66800</v>
      </c>
      <c r="AD20" s="28">
        <v>78900</v>
      </c>
      <c r="AE20" s="28">
        <f t="shared" ref="AE20" si="62">AE6</f>
        <v>80100</v>
      </c>
      <c r="AF20" s="28">
        <f t="shared" ref="AF20" si="63">AF6</f>
        <v>89200</v>
      </c>
      <c r="AG20" s="28">
        <f t="shared" ref="AG20" si="64">AG6</f>
        <v>90300</v>
      </c>
      <c r="AI20" s="28">
        <f t="shared" ref="AI20:AO20" si="65">AI6</f>
        <v>5000</v>
      </c>
      <c r="AJ20" s="28">
        <f t="shared" si="65"/>
        <v>14000</v>
      </c>
      <c r="AK20" s="28">
        <f t="shared" si="65"/>
        <v>38400</v>
      </c>
      <c r="AL20" s="28">
        <f t="shared" si="65"/>
        <v>76200</v>
      </c>
      <c r="AM20" s="28">
        <f t="shared" si="65"/>
        <v>114900</v>
      </c>
      <c r="AN20" s="28">
        <f t="shared" si="65"/>
        <v>161600</v>
      </c>
      <c r="AO20" s="28">
        <f t="shared" si="65"/>
        <v>252000</v>
      </c>
    </row>
    <row r="21" spans="2:41" ht="14.25" hidden="1" customHeight="1" outlineLevel="1" x14ac:dyDescent="0.35">
      <c r="B21" s="59" t="s">
        <v>141</v>
      </c>
      <c r="C21" s="23">
        <v>49.581470186539995</v>
      </c>
      <c r="D21" s="23">
        <v>58.241517991350001</v>
      </c>
      <c r="E21" s="23">
        <v>71.979082286739995</v>
      </c>
      <c r="F21" s="23">
        <v>88.395689060000109</v>
      </c>
      <c r="G21" s="23">
        <v>90.613145780000011</v>
      </c>
      <c r="H21" s="23">
        <v>105.80866744999999</v>
      </c>
      <c r="I21" s="23">
        <v>123.3718386700001</v>
      </c>
      <c r="J21" s="23">
        <v>160.23474202999981</v>
      </c>
      <c r="K21" s="23">
        <v>190.42500000000001</v>
      </c>
      <c r="L21" s="23">
        <v>256.39500000000004</v>
      </c>
      <c r="M21" s="23">
        <v>344.39500000000004</v>
      </c>
      <c r="N21" s="23">
        <v>433.04600000000005</v>
      </c>
      <c r="O21" s="23">
        <v>442.84770382999983</v>
      </c>
      <c r="P21" s="23">
        <v>515.24900212999955</v>
      </c>
      <c r="Q21" s="23">
        <v>598.93163029000027</v>
      </c>
      <c r="R21" s="23">
        <v>710.07467075000045</v>
      </c>
      <c r="S21" s="23">
        <v>670.41929268000001</v>
      </c>
      <c r="T21" s="23">
        <v>742.58542715346493</v>
      </c>
      <c r="U21" s="23">
        <v>815.43197737296839</v>
      </c>
      <c r="V21" s="23">
        <v>899.34951579303004</v>
      </c>
      <c r="W21" s="23">
        <v>808.18980248755156</v>
      </c>
      <c r="X21" s="23">
        <v>771.57305469522282</v>
      </c>
      <c r="Y21" s="23">
        <v>1067.6097660912008</v>
      </c>
      <c r="Z21" s="23">
        <v>1297.111724358067</v>
      </c>
      <c r="AA21" s="23">
        <v>1235.9069330637487</v>
      </c>
      <c r="AB21" s="23">
        <v>1365.9947567280442</v>
      </c>
      <c r="AC21" s="23">
        <v>1553.3816101753309</v>
      </c>
      <c r="AD21" s="23">
        <v>1783.0917184705547</v>
      </c>
      <c r="AE21" s="23">
        <v>1794.3631452502689</v>
      </c>
      <c r="AF21" s="23">
        <v>1995.5574237040403</v>
      </c>
      <c r="AG21" s="23">
        <v>2015.1409065386213</v>
      </c>
      <c r="AI21" s="23">
        <f>SUM(C21:F21)</f>
        <v>268.1977595246301</v>
      </c>
      <c r="AJ21" s="23">
        <f>SUM(G21:J21)</f>
        <v>480.02839392999988</v>
      </c>
      <c r="AK21" s="23">
        <f>SUM(K21:N21)</f>
        <v>1224.2610000000002</v>
      </c>
      <c r="AL21" s="23">
        <f>SUM(O21:R21)</f>
        <v>2267.1030069999997</v>
      </c>
      <c r="AM21" s="23">
        <f>SUM(S21:V21)</f>
        <v>3127.7862129994637</v>
      </c>
      <c r="AN21" s="23">
        <f>SUM(W21:Z21)</f>
        <v>3944.4843476320425</v>
      </c>
      <c r="AO21" s="23">
        <f>SUM(AA21:AD21)</f>
        <v>5938.3750184376786</v>
      </c>
    </row>
    <row r="22" spans="2:41" ht="14.25" hidden="1" customHeight="1" outlineLevel="1" x14ac:dyDescent="0.35">
      <c r="B22" s="59" t="s">
        <v>1</v>
      </c>
      <c r="C22" s="23">
        <v>42.634930750000009</v>
      </c>
      <c r="D22" s="23">
        <v>47.453970449999993</v>
      </c>
      <c r="E22" s="23">
        <v>62.074962615335004</v>
      </c>
      <c r="F22" s="23">
        <v>67.29810418000001</v>
      </c>
      <c r="G22" s="23">
        <v>74.569612243494987</v>
      </c>
      <c r="H22" s="23">
        <v>93.526493696504986</v>
      </c>
      <c r="I22" s="23">
        <v>102.42858172000007</v>
      </c>
      <c r="J22" s="23">
        <v>121.90465665999997</v>
      </c>
      <c r="K22" s="23">
        <v>138.809</v>
      </c>
      <c r="L22" s="23">
        <v>172.626</v>
      </c>
      <c r="M22" s="23">
        <v>224.23100000000002</v>
      </c>
      <c r="N22" s="23">
        <v>282.95799999999997</v>
      </c>
      <c r="O22" s="23">
        <v>274.83841987</v>
      </c>
      <c r="P22" s="23">
        <v>332.59443416999989</v>
      </c>
      <c r="Q22" s="23">
        <v>387.26445024000003</v>
      </c>
      <c r="R22" s="23">
        <v>419.83509572000003</v>
      </c>
      <c r="S22" s="23">
        <v>430.50400000000002</v>
      </c>
      <c r="T22" s="23">
        <v>497.16699999999997</v>
      </c>
      <c r="U22" s="23">
        <v>537.83199999999999</v>
      </c>
      <c r="V22" s="23">
        <v>565.03480907999995</v>
      </c>
      <c r="W22" s="23">
        <v>562.26800000000003</v>
      </c>
      <c r="X22" s="23">
        <v>459.24682897999998</v>
      </c>
      <c r="Y22" s="23">
        <v>544.75552987000003</v>
      </c>
      <c r="Z22" s="23">
        <v>611.08949536</v>
      </c>
      <c r="AA22" s="23">
        <v>656.98271183999998</v>
      </c>
      <c r="AB22" s="23">
        <v>786.60893196856</v>
      </c>
      <c r="AC22" s="23">
        <v>937.74035872000002</v>
      </c>
      <c r="AD22" s="23">
        <v>1133.08032026</v>
      </c>
      <c r="AE22" s="23">
        <v>1330.7924400299999</v>
      </c>
      <c r="AF22" s="23">
        <v>1610.1014512699999</v>
      </c>
      <c r="AG22" s="23">
        <v>1697.2224831200001</v>
      </c>
      <c r="AI22" s="23">
        <f>SUM(C22:F22)</f>
        <v>219.46196799533504</v>
      </c>
      <c r="AJ22" s="23">
        <f>SUM(G22:J22)</f>
        <v>392.42934432000004</v>
      </c>
      <c r="AK22" s="23">
        <f>SUM(K22:N22)</f>
        <v>818.62400000000002</v>
      </c>
      <c r="AL22" s="23">
        <f>SUM(O22:R22)</f>
        <v>1414.5324000000001</v>
      </c>
      <c r="AM22" s="23">
        <f>SUM(S22:V22)</f>
        <v>2030.53780908</v>
      </c>
      <c r="AN22" s="23">
        <f>SUM(W22:Z22)</f>
        <v>2177.3598542099999</v>
      </c>
      <c r="AO22" s="23">
        <f>SUM(AA22:AD22)</f>
        <v>3514.4123227885602</v>
      </c>
    </row>
    <row r="23" spans="2:41" ht="14.25" hidden="1" customHeight="1" outlineLevel="1" x14ac:dyDescent="0.35">
      <c r="B23" s="59" t="s">
        <v>67</v>
      </c>
      <c r="C23" s="23">
        <v>-22.240062629999986</v>
      </c>
      <c r="D23" s="23">
        <v>-29.044697109999987</v>
      </c>
      <c r="E23" s="23">
        <v>-43.088255170000004</v>
      </c>
      <c r="F23" s="23">
        <v>-51.596375819999992</v>
      </c>
      <c r="G23" s="23">
        <v>-57.420364999999997</v>
      </c>
      <c r="H23" s="23">
        <v>-66.798793000000003</v>
      </c>
      <c r="I23" s="23">
        <v>-75.224872999999988</v>
      </c>
      <c r="J23" s="23">
        <v>-84.186367000000004</v>
      </c>
      <c r="K23" s="23">
        <v>-104.86116747</v>
      </c>
      <c r="L23" s="23">
        <v>-140.43204321000005</v>
      </c>
      <c r="M23" s="23">
        <v>-181.95003567999998</v>
      </c>
      <c r="N23" s="23">
        <v>-233.82407343999995</v>
      </c>
      <c r="O23" s="23">
        <v>-247.16099254119592</v>
      </c>
      <c r="P23" s="23">
        <v>-281.40810856191149</v>
      </c>
      <c r="Q23" s="23">
        <v>-326.6424466952102</v>
      </c>
      <c r="R23" s="23">
        <v>-391.26836720168239</v>
      </c>
      <c r="S23" s="23">
        <v>-361.01493832015962</v>
      </c>
      <c r="T23" s="23">
        <v>-411.19209189532319</v>
      </c>
      <c r="U23" s="23">
        <v>-431.02455050000003</v>
      </c>
      <c r="V23" s="23">
        <v>-538.13858400369179</v>
      </c>
      <c r="W23" s="23">
        <v>-518.75627519995624</v>
      </c>
      <c r="X23" s="23">
        <v>-548.8705749156627</v>
      </c>
      <c r="Y23" s="23">
        <v>-729.50485601111814</v>
      </c>
      <c r="Z23" s="23">
        <v>-787.95234125889715</v>
      </c>
      <c r="AA23" s="23">
        <v>-772.23600963310423</v>
      </c>
      <c r="AB23" s="23">
        <v>-877.75794659494341</v>
      </c>
      <c r="AC23" s="23">
        <v>-1040.9327914857702</v>
      </c>
      <c r="AD23" s="23">
        <v>-1330.5137955160094</v>
      </c>
      <c r="AE23" s="23">
        <v>-1242.9103084679045</v>
      </c>
      <c r="AF23" s="23">
        <v>-1368.0794707334946</v>
      </c>
      <c r="AG23" s="23">
        <v>-1318.7884923206354</v>
      </c>
      <c r="AI23" s="23">
        <f>SUM(C23:F23)</f>
        <v>-145.96939072999996</v>
      </c>
      <c r="AJ23" s="23">
        <f>SUM(G23:J23)</f>
        <v>-283.63039800000001</v>
      </c>
      <c r="AK23" s="23">
        <f>SUM(K23:N23)</f>
        <v>-661.06731979999995</v>
      </c>
      <c r="AL23" s="23">
        <f>SUM(O23:R23)</f>
        <v>-1246.4799149999999</v>
      </c>
      <c r="AM23" s="23">
        <f>SUM(S23:V23)</f>
        <v>-1741.3701647191747</v>
      </c>
      <c r="AN23" s="23">
        <f>SUM(W23:Z23)</f>
        <v>-2585.0840473856342</v>
      </c>
      <c r="AO23" s="23">
        <f>SUM(AA23:AD23)</f>
        <v>-4021.4405432298272</v>
      </c>
    </row>
    <row r="24" spans="2:41" ht="14.25" hidden="1" customHeight="1" outlineLevel="1" x14ac:dyDescent="0.35">
      <c r="B24" s="59" t="s">
        <v>26</v>
      </c>
      <c r="C24" s="23">
        <v>-2.5886584299999993</v>
      </c>
      <c r="D24" s="23">
        <v>-5.1831069999999997</v>
      </c>
      <c r="E24" s="23">
        <v>-10.284615729999999</v>
      </c>
      <c r="F24" s="23">
        <v>-11.639744739999999</v>
      </c>
      <c r="G24" s="23">
        <v>-6.6107146500000011</v>
      </c>
      <c r="H24" s="23">
        <v>-8.109387589999999</v>
      </c>
      <c r="I24" s="23">
        <v>-24.820313980000005</v>
      </c>
      <c r="J24" s="23">
        <v>-28.760700239999998</v>
      </c>
      <c r="K24" s="23">
        <v>-19.218084329999996</v>
      </c>
      <c r="L24" s="23">
        <v>-23.540114429999999</v>
      </c>
      <c r="M24" s="23">
        <v>-21.033999999999999</v>
      </c>
      <c r="N24" s="23">
        <v>-40.751801239999992</v>
      </c>
      <c r="O24" s="23">
        <v>-3.43</v>
      </c>
      <c r="P24" s="23">
        <v>-2.0713396800000003</v>
      </c>
      <c r="Q24" s="23">
        <v>-3.0766402599999987</v>
      </c>
      <c r="R24" s="23">
        <v>-4.6559999999999997</v>
      </c>
      <c r="S24" s="23">
        <v>-5.8390000000000004</v>
      </c>
      <c r="T24" s="23">
        <v>-2.2040000000000002</v>
      </c>
      <c r="U24" s="23">
        <v>-1.5166735100000004</v>
      </c>
      <c r="V24" s="23">
        <v>-20.361849251895503</v>
      </c>
      <c r="W24" s="23">
        <v>-43.284717043372495</v>
      </c>
      <c r="X24" s="23">
        <v>-16.273815906809681</v>
      </c>
      <c r="Y24" s="23">
        <v>-14.516294384589461</v>
      </c>
      <c r="Z24" s="23">
        <v>-27.165580167589258</v>
      </c>
      <c r="AA24" s="23">
        <v>-42.011176957589264</v>
      </c>
      <c r="AB24" s="23">
        <v>-128.26831678500881</v>
      </c>
      <c r="AC24" s="23">
        <v>-197.49212282188358</v>
      </c>
      <c r="AD24" s="23">
        <v>-377.34761507683965</v>
      </c>
      <c r="AE24" s="23">
        <v>-587.87359827126409</v>
      </c>
      <c r="AF24" s="23">
        <v>-710.91889222044108</v>
      </c>
      <c r="AG24" s="23">
        <v>-862.35505119726031</v>
      </c>
      <c r="AI24" s="23">
        <f>SUM(C24:F24)</f>
        <v>-29.696125899999998</v>
      </c>
      <c r="AJ24" s="23">
        <f>SUM(G24:J24)</f>
        <v>-68.301116460000003</v>
      </c>
      <c r="AK24" s="23">
        <f>SUM(K24:N24)</f>
        <v>-104.54399999999998</v>
      </c>
      <c r="AL24" s="23">
        <f>SUM(O24:R24)</f>
        <v>-13.233979939999998</v>
      </c>
      <c r="AM24" s="23">
        <f>SUM(S24:V24)</f>
        <v>-29.921522761895503</v>
      </c>
      <c r="AN24" s="23">
        <f>SUM(W24:Z24)</f>
        <v>-101.2404075023609</v>
      </c>
      <c r="AO24" s="23">
        <f>SUM(AA24:AD24)</f>
        <v>-745.11923164132122</v>
      </c>
    </row>
    <row r="25" spans="2:41" ht="14.25" customHeight="1" collapsed="1" x14ac:dyDescent="0.35">
      <c r="B25" s="94" t="s">
        <v>142</v>
      </c>
      <c r="C25" s="49">
        <v>0.1151196971843428</v>
      </c>
      <c r="D25" s="49">
        <v>0.10044600345144922</v>
      </c>
      <c r="E25" s="49">
        <v>9.87774797553371E-2</v>
      </c>
      <c r="F25" s="49">
        <v>9.3122844735867155E-2</v>
      </c>
      <c r="G25" s="49">
        <v>6.5189008491906453E-2</v>
      </c>
      <c r="H25" s="49">
        <v>6.5821197707050028E-2</v>
      </c>
      <c r="I25" s="49">
        <v>6.0869106052645401E-2</v>
      </c>
      <c r="J25" s="49">
        <v>5.8618405956792359E-2</v>
      </c>
      <c r="K25" s="49">
        <v>5.4664392009677931E-2</v>
      </c>
      <c r="L25" s="49">
        <v>5.265774506059831E-2</v>
      </c>
      <c r="M25" s="49">
        <v>5.3296916205556467E-2</v>
      </c>
      <c r="N25" s="49">
        <v>5.2489672281352429E-2</v>
      </c>
      <c r="O25" s="49">
        <v>4.9914409829478701E-2</v>
      </c>
      <c r="P25" s="49">
        <v>5.0311358741465688E-2</v>
      </c>
      <c r="Q25" s="49">
        <v>4.8670381838894036E-2</v>
      </c>
      <c r="R25" s="49">
        <v>4.5840251692336006E-2</v>
      </c>
      <c r="S25" s="49">
        <v>4.5095912566630536E-2</v>
      </c>
      <c r="T25" s="49">
        <v>4.6344303729027703E-2</v>
      </c>
      <c r="U25" s="49">
        <v>4.6054845863460536E-2</v>
      </c>
      <c r="V25" s="49">
        <v>4.2729355868252619E-2</v>
      </c>
      <c r="W25" s="49">
        <v>4.3287396798820398E-2</v>
      </c>
      <c r="X25" s="49">
        <v>4.1310501764126886E-2</v>
      </c>
      <c r="Y25" s="49">
        <v>3.5979551254754334E-2</v>
      </c>
      <c r="Z25" s="49">
        <v>3.4527770678779574E-2</v>
      </c>
      <c r="AA25" s="49">
        <v>3.7835108501125411E-2</v>
      </c>
      <c r="AB25" s="49">
        <v>3.8210290004128233E-2</v>
      </c>
      <c r="AC25" s="49">
        <v>3.7283043512667119E-2</v>
      </c>
      <c r="AD25" s="49">
        <v>3.6958356793815345E-2</v>
      </c>
      <c r="AE25" s="49">
        <v>3.9000157870970935E-2</v>
      </c>
      <c r="AF25" s="49">
        <v>4.0428822106851163E-2</v>
      </c>
      <c r="AG25" s="49">
        <v>4.1129200570235461E-2</v>
      </c>
      <c r="AI25" s="49">
        <f>SUM(AI28:AI29)</f>
        <v>9.7531945503993023E-2</v>
      </c>
      <c r="AJ25" s="49">
        <f t="shared" ref="AJ25:AK25" si="66">SUM(AJ28:AJ29)</f>
        <v>6.2318409874999994E-2</v>
      </c>
      <c r="AK25" s="49">
        <f t="shared" si="66"/>
        <v>5.3200130208333342E-2</v>
      </c>
      <c r="AL25" s="49">
        <f t="shared" ref="AL25:AN25" si="67">SUM(AL28:AL29)</f>
        <v>4.8315425288713909E-2</v>
      </c>
      <c r="AM25" s="49">
        <f t="shared" ref="AM25" si="68">SUM(AM28:AM29)</f>
        <v>4.4894029783111085E-2</v>
      </c>
      <c r="AN25" s="49">
        <f t="shared" si="67"/>
        <v>3.7882699268824517E-2</v>
      </c>
      <c r="AO25" s="49">
        <f t="shared" ref="AO25" si="69">SUM(AO28:AO29)</f>
        <v>3.7511060877881905E-2</v>
      </c>
    </row>
    <row r="26" spans="2:41" ht="14.25" customHeight="1" x14ac:dyDescent="0.35">
      <c r="B26" s="95" t="s">
        <v>106</v>
      </c>
      <c r="C26" s="50">
        <v>8.7355988675611229E-2</v>
      </c>
      <c r="D26" s="50">
        <v>7.2843843802258307E-2</v>
      </c>
      <c r="E26" s="50">
        <v>6.7027977113648482E-2</v>
      </c>
      <c r="F26" s="50">
        <v>6.2262261314839154E-2</v>
      </c>
      <c r="G26" s="50">
        <v>4.2528189006975997E-2</v>
      </c>
      <c r="H26" s="50">
        <v>4.3763992468613344E-2</v>
      </c>
      <c r="I26" s="50">
        <v>4.0590708144770817E-2</v>
      </c>
      <c r="J26" s="50">
        <v>4.1127510818620996E-2</v>
      </c>
      <c r="K26" s="50">
        <v>3.7253760163718619E-2</v>
      </c>
      <c r="L26" s="50">
        <v>3.5421211814694015E-2</v>
      </c>
      <c r="M26" s="50">
        <v>3.6242866961879658E-2</v>
      </c>
      <c r="N26" s="50">
        <v>3.5348219180033891E-2</v>
      </c>
      <c r="O26" s="50">
        <v>3.2724590118377625E-2</v>
      </c>
      <c r="P26" s="50">
        <v>3.3612492304047163E-2</v>
      </c>
      <c r="Q26" s="50">
        <v>3.2550045407519573E-2</v>
      </c>
      <c r="R26" s="50">
        <v>2.9966558974546163E-2</v>
      </c>
      <c r="S26" s="50">
        <v>3.0308053864774961E-2</v>
      </c>
      <c r="T26" s="50">
        <v>3.0973161248971724E-2</v>
      </c>
      <c r="U26" s="50">
        <v>3.1386038026588764E-2</v>
      </c>
      <c r="V26" s="50">
        <v>2.7026978649536463E-2</v>
      </c>
      <c r="W26" s="50">
        <v>2.6901916935304093E-2</v>
      </c>
      <c r="X26" s="50">
        <v>2.2888538360654721E-2</v>
      </c>
      <c r="Y26" s="50">
        <v>1.9700822468423643E-2</v>
      </c>
      <c r="Z26" s="50">
        <v>2.0270239835772183E-2</v>
      </c>
      <c r="AA26" s="50">
        <v>2.2399642787840096E-2</v>
      </c>
      <c r="AB26" s="50">
        <v>2.2629444412839251E-2</v>
      </c>
      <c r="AC26" s="50">
        <v>2.1704062216967801E-2</v>
      </c>
      <c r="AD26" s="50">
        <v>2.0095975932643652E-2</v>
      </c>
      <c r="AE26" s="50">
        <v>2.34893466723156E-2</v>
      </c>
      <c r="AF26" s="50">
        <v>2.5089089905834847E-2</v>
      </c>
      <c r="AG26" s="50">
        <v>2.6518368947051698E-2</v>
      </c>
      <c r="AI26" s="50">
        <f>SUM(AI28:AI30)</f>
        <v>6.8338067357993026E-2</v>
      </c>
      <c r="AJ26" s="50">
        <f t="shared" ref="AJ26:AK26" si="70">SUM(AJ28:AJ30)</f>
        <v>4.2059095732142851E-2</v>
      </c>
      <c r="AK26" s="50">
        <f t="shared" si="70"/>
        <v>3.5984835421875014E-2</v>
      </c>
      <c r="AL26" s="50">
        <f t="shared" ref="AL26:AN26" si="71">SUM(AL28:AL30)</f>
        <v>3.1957421154855642E-2</v>
      </c>
      <c r="AM26" s="50">
        <f t="shared" ref="AM26" si="72">SUM(AM28:AM30)</f>
        <v>2.9738501804702253E-2</v>
      </c>
      <c r="AN26" s="50">
        <f t="shared" si="71"/>
        <v>2.1885892044903512E-2</v>
      </c>
      <c r="AO26" s="50">
        <f t="shared" ref="AO26" si="73">SUM(AO28:AO30)</f>
        <v>2.1552963484112748E-2</v>
      </c>
    </row>
    <row r="27" spans="2:41" ht="14.25" customHeight="1" x14ac:dyDescent="0.35">
      <c r="B27" s="82" t="s">
        <v>194</v>
      </c>
      <c r="C27" s="83">
        <v>8.4124398941585798E-2</v>
      </c>
      <c r="D27" s="83">
        <v>6.7918161625198106E-2</v>
      </c>
      <c r="E27" s="83">
        <v>5.9449776673642422E-2</v>
      </c>
      <c r="F27" s="83">
        <v>5.5300351532621389E-2</v>
      </c>
      <c r="G27" s="83">
        <v>3.9919285156399024E-2</v>
      </c>
      <c r="H27" s="83">
        <v>4.1086243090257636E-2</v>
      </c>
      <c r="I27" s="83">
        <v>3.38998865719006E-2</v>
      </c>
      <c r="J27" s="83">
        <v>3.515207310911371E-2</v>
      </c>
      <c r="K27" s="83">
        <v>3.4062884083210017E-2</v>
      </c>
      <c r="L27" s="83">
        <v>3.2531914217717992E-2</v>
      </c>
      <c r="M27" s="83">
        <v>3.4271364892913984E-2</v>
      </c>
      <c r="N27" s="83">
        <v>3.236073769674272E-2</v>
      </c>
      <c r="O27" s="83">
        <v>3.2486036773034306E-2</v>
      </c>
      <c r="P27" s="83">
        <v>3.3489578203101007E-2</v>
      </c>
      <c r="Q27" s="83">
        <v>3.2398208202737089E-2</v>
      </c>
      <c r="R27" s="83">
        <v>2.9777665827311665E-2</v>
      </c>
      <c r="S27" s="83">
        <v>3.0068877316120457E-2</v>
      </c>
      <c r="T27" s="83">
        <v>3.0890771536976322E-2</v>
      </c>
      <c r="U27" s="83">
        <v>3.1334421959142822E-2</v>
      </c>
      <c r="V27" s="83">
        <v>2.6432839059237725E-2</v>
      </c>
      <c r="W27" s="83">
        <v>2.5534722178500811E-2</v>
      </c>
      <c r="X27" s="83">
        <v>2.2342333745630213E-2</v>
      </c>
      <c r="Y27" s="83">
        <v>1.9376894783334094E-2</v>
      </c>
      <c r="Z27" s="83">
        <v>1.9778694755153741E-2</v>
      </c>
      <c r="AA27" s="83">
        <v>2.1559922710798207E-2</v>
      </c>
      <c r="AB27" s="83">
        <v>2.0352587967580524E-2</v>
      </c>
      <c r="AC27" s="83">
        <v>1.8748322794926414E-2</v>
      </c>
      <c r="AD27" s="83">
        <v>1.5313628523752076E-2</v>
      </c>
      <c r="AE27" s="83">
        <v>1.6153019723109036E-2</v>
      </c>
      <c r="AF27" s="83">
        <v>1.711783848616558E-2</v>
      </c>
      <c r="AG27" s="83">
        <v>1.6964354390650922E-2</v>
      </c>
      <c r="AI27" s="83">
        <f t="shared" ref="AI27:AK27" si="74">SUM(AI28:AI31)</f>
        <v>6.2398842177993026E-2</v>
      </c>
      <c r="AJ27" s="83">
        <f t="shared" si="74"/>
        <v>3.7180444556428563E-2</v>
      </c>
      <c r="AK27" s="83">
        <f t="shared" si="74"/>
        <v>3.3262335421875011E-2</v>
      </c>
      <c r="AL27" s="83">
        <f t="shared" ref="AL27:AN27" si="75">SUM(AL28:AL31)</f>
        <v>3.178374687742782E-2</v>
      </c>
      <c r="AM27" s="83">
        <f t="shared" ref="AM27" si="76">SUM(AM28:AM31)</f>
        <v>2.9478088203641371E-2</v>
      </c>
      <c r="AN27" s="83">
        <f t="shared" si="75"/>
        <v>2.1259404374715636E-2</v>
      </c>
      <c r="AO27" s="83">
        <f t="shared" ref="AO27" si="77">SUM(AO28:AO31)</f>
        <v>1.8596141136329729E-2</v>
      </c>
    </row>
    <row r="28" spans="2:41" ht="14.25" hidden="1" customHeight="1" outlineLevel="1" x14ac:dyDescent="0.35">
      <c r="B28" s="59" t="s">
        <v>141</v>
      </c>
      <c r="C28" s="91">
        <v>6.1895755807656265E-2</v>
      </c>
      <c r="D28" s="91">
        <v>5.5348887671993648E-2</v>
      </c>
      <c r="E28" s="91">
        <v>5.3037656182474135E-2</v>
      </c>
      <c r="F28" s="91">
        <v>5.2870816853728901E-2</v>
      </c>
      <c r="G28" s="91">
        <v>3.5760276680273068E-2</v>
      </c>
      <c r="H28" s="91">
        <v>3.4938408152826124E-2</v>
      </c>
      <c r="I28" s="91">
        <v>3.3257393936396158E-2</v>
      </c>
      <c r="J28" s="91">
        <v>3.32910086301582E-2</v>
      </c>
      <c r="K28" s="91">
        <v>3.1617229230404269E-2</v>
      </c>
      <c r="L28" s="91">
        <v>3.1469747506094353E-2</v>
      </c>
      <c r="M28" s="91">
        <v>3.2279901827585479E-2</v>
      </c>
      <c r="N28" s="91">
        <v>3.174625089070808E-2</v>
      </c>
      <c r="O28" s="91">
        <v>3.079965050328062E-2</v>
      </c>
      <c r="P28" s="91">
        <v>3.0575075865978775E-2</v>
      </c>
      <c r="Q28" s="91">
        <v>2.9558250856097243E-2</v>
      </c>
      <c r="R28" s="91">
        <v>2.8807611539834282E-2</v>
      </c>
      <c r="S28" s="91">
        <v>2.7461649695940525E-2</v>
      </c>
      <c r="T28" s="91">
        <v>2.7759255660235044E-2</v>
      </c>
      <c r="U28" s="91">
        <v>2.7751122218557814E-2</v>
      </c>
      <c r="V28" s="91">
        <v>2.6242172124857337E-2</v>
      </c>
      <c r="W28" s="91">
        <v>2.5527551892176342E-2</v>
      </c>
      <c r="X28" s="91">
        <v>2.5896616117350928E-2</v>
      </c>
      <c r="Y28" s="91">
        <v>2.3823460102603805E-2</v>
      </c>
      <c r="Z28" s="91">
        <v>2.3470468261208206E-2</v>
      </c>
      <c r="AA28" s="91">
        <v>2.470332754772812E-2</v>
      </c>
      <c r="AB28" s="91">
        <v>2.4247406093734387E-2</v>
      </c>
      <c r="AC28" s="91">
        <v>2.3248477949727068E-2</v>
      </c>
      <c r="AD28" s="91">
        <v>2.2598166038248976E-2</v>
      </c>
      <c r="AE28" s="91">
        <v>2.2392627833387208E-2</v>
      </c>
      <c r="AF28" s="91">
        <v>2.2375393481314208E-2</v>
      </c>
      <c r="AG28" s="91">
        <v>2.2325706247721237E-2</v>
      </c>
      <c r="AI28" s="91">
        <f t="shared" ref="AI28:AK31" si="78">IFERROR(AI21/AI$6,"-")</f>
        <v>5.3639551904926024E-2</v>
      </c>
      <c r="AJ28" s="91">
        <f t="shared" si="78"/>
        <v>3.4287742423571417E-2</v>
      </c>
      <c r="AK28" s="91">
        <f t="shared" si="78"/>
        <v>3.1881796875000007E-2</v>
      </c>
      <c r="AL28" s="91">
        <f t="shared" ref="AL28:AN31" si="79">IFERROR(AL21/AL$6,"-")</f>
        <v>2.9752007965879262E-2</v>
      </c>
      <c r="AM28" s="91">
        <f t="shared" ref="AM28" si="80">IFERROR(AM21/AM$6,"-")</f>
        <v>2.722181212358106E-2</v>
      </c>
      <c r="AN28" s="91">
        <f t="shared" si="79"/>
        <v>2.4408937794752738E-2</v>
      </c>
      <c r="AO28" s="91">
        <f t="shared" ref="AO28:AO31" si="81">IFERROR(AO21/AO$6,"-")</f>
        <v>2.3564980231895551E-2</v>
      </c>
    </row>
    <row r="29" spans="2:41" ht="14.25" hidden="1" customHeight="1" outlineLevel="1" x14ac:dyDescent="0.35">
      <c r="B29" s="59" t="s">
        <v>1</v>
      </c>
      <c r="C29" s="91">
        <v>5.3223941376686533E-2</v>
      </c>
      <c r="D29" s="91">
        <v>4.509711577945557E-2</v>
      </c>
      <c r="E29" s="91">
        <v>4.5739823572862971E-2</v>
      </c>
      <c r="F29" s="91">
        <v>4.0252027882138254E-2</v>
      </c>
      <c r="G29" s="91">
        <v>2.9428731811633378E-2</v>
      </c>
      <c r="H29" s="91">
        <v>3.0882789554223911E-2</v>
      </c>
      <c r="I29" s="91">
        <v>2.7611712116249243E-2</v>
      </c>
      <c r="J29" s="91">
        <v>2.5327397326634159E-2</v>
      </c>
      <c r="K29" s="91">
        <v>2.3047162779273659E-2</v>
      </c>
      <c r="L29" s="91">
        <v>2.118799755450396E-2</v>
      </c>
      <c r="M29" s="91">
        <v>2.1017014377970988E-2</v>
      </c>
      <c r="N29" s="91">
        <v>2.0743421390644352E-2</v>
      </c>
      <c r="O29" s="91">
        <v>1.9114759326198081E-2</v>
      </c>
      <c r="P29" s="91">
        <v>1.9736282875486913E-2</v>
      </c>
      <c r="Q29" s="91">
        <v>1.9112130982796793E-2</v>
      </c>
      <c r="R29" s="91">
        <v>1.7032640152501728E-2</v>
      </c>
      <c r="S29" s="91">
        <v>1.7634262870690007E-2</v>
      </c>
      <c r="T29" s="91">
        <v>1.8585048068792659E-2</v>
      </c>
      <c r="U29" s="91">
        <v>1.8303723644902726E-2</v>
      </c>
      <c r="V29" s="91">
        <v>1.6487183743395282E-2</v>
      </c>
      <c r="W29" s="91">
        <v>1.7759844906644055E-2</v>
      </c>
      <c r="X29" s="91">
        <v>1.5413885646775954E-2</v>
      </c>
      <c r="Y29" s="91">
        <v>1.2156091152150529E-2</v>
      </c>
      <c r="Z29" s="91">
        <v>1.1057302417571368E-2</v>
      </c>
      <c r="AA29" s="91">
        <v>1.3131780953397291E-2</v>
      </c>
      <c r="AB29" s="91">
        <v>1.3962883910393842E-2</v>
      </c>
      <c r="AC29" s="91">
        <v>1.4034565562940053E-2</v>
      </c>
      <c r="AD29" s="91">
        <v>1.4360190755566367E-2</v>
      </c>
      <c r="AE29" s="91">
        <v>1.6607530037583727E-2</v>
      </c>
      <c r="AF29" s="91">
        <v>1.8053428625536955E-2</v>
      </c>
      <c r="AG29" s="91">
        <v>1.8803494322514228E-2</v>
      </c>
      <c r="AI29" s="91">
        <f t="shared" si="78"/>
        <v>4.3892393599067006E-2</v>
      </c>
      <c r="AJ29" s="91">
        <f t="shared" si="78"/>
        <v>2.8030667451428574E-2</v>
      </c>
      <c r="AK29" s="91">
        <f t="shared" si="78"/>
        <v>2.1318333333333335E-2</v>
      </c>
      <c r="AL29" s="91">
        <f t="shared" si="79"/>
        <v>1.8563417322834647E-2</v>
      </c>
      <c r="AM29" s="91">
        <f t="shared" ref="AM29" si="82">IFERROR(AM22/AM$6,"-")</f>
        <v>1.7672217659530025E-2</v>
      </c>
      <c r="AN29" s="91">
        <f t="shared" si="79"/>
        <v>1.3473761474071781E-2</v>
      </c>
      <c r="AO29" s="91">
        <f t="shared" si="81"/>
        <v>1.3946080645986351E-2</v>
      </c>
    </row>
    <row r="30" spans="2:41" ht="14.25" hidden="1" customHeight="1" outlineLevel="1" x14ac:dyDescent="0.35">
      <c r="B30" s="59" t="s">
        <v>67</v>
      </c>
      <c r="C30" s="92">
        <v>-2.7763708508731562E-2</v>
      </c>
      <c r="D30" s="92">
        <v>-2.7602159649190917E-2</v>
      </c>
      <c r="E30" s="92">
        <v>-3.1749502641688618E-2</v>
      </c>
      <c r="F30" s="92">
        <v>-3.0860583421028005E-2</v>
      </c>
      <c r="G30" s="92">
        <v>-2.2660819484930452E-2</v>
      </c>
      <c r="H30" s="92">
        <v>-2.2057205238436683E-2</v>
      </c>
      <c r="I30" s="92">
        <v>-2.0278397907874585E-2</v>
      </c>
      <c r="J30" s="92">
        <v>-1.7490895138171359E-2</v>
      </c>
      <c r="K30" s="92">
        <v>-1.7410631845959309E-2</v>
      </c>
      <c r="L30" s="92">
        <v>-1.7236533245904299E-2</v>
      </c>
      <c r="M30" s="92">
        <v>-1.7054049243676806E-2</v>
      </c>
      <c r="N30" s="92">
        <v>-1.7141453101318541E-2</v>
      </c>
      <c r="O30" s="92">
        <v>-1.7189819711101076E-2</v>
      </c>
      <c r="P30" s="92">
        <v>-1.6698866437418525E-2</v>
      </c>
      <c r="Q30" s="92">
        <v>-1.6120336431374466E-2</v>
      </c>
      <c r="R30" s="92">
        <v>-1.5873692717789843E-2</v>
      </c>
      <c r="S30" s="92">
        <v>-1.4787858701855576E-2</v>
      </c>
      <c r="T30" s="92">
        <v>-1.5371142480055977E-2</v>
      </c>
      <c r="U30" s="92">
        <v>-1.4668807836871774E-2</v>
      </c>
      <c r="V30" s="92">
        <v>-1.5702377218716156E-2</v>
      </c>
      <c r="W30" s="92">
        <v>-1.6385479863516305E-2</v>
      </c>
      <c r="X30" s="92">
        <v>-1.8421963403472165E-2</v>
      </c>
      <c r="Y30" s="92">
        <v>-1.6278728786330691E-2</v>
      </c>
      <c r="Z30" s="92">
        <v>-1.4257530843007392E-2</v>
      </c>
      <c r="AA30" s="92">
        <v>-1.5435465713285313E-2</v>
      </c>
      <c r="AB30" s="92">
        <v>-1.5580845591288982E-2</v>
      </c>
      <c r="AC30" s="92">
        <v>-1.5578981295699318E-2</v>
      </c>
      <c r="AD30" s="92">
        <v>-1.6862380861171693E-2</v>
      </c>
      <c r="AE30" s="92">
        <v>-1.5510811198655335E-2</v>
      </c>
      <c r="AF30" s="92">
        <v>-1.5339732201016316E-2</v>
      </c>
      <c r="AG30" s="92">
        <v>-1.4610831623183763E-2</v>
      </c>
      <c r="AI30" s="92">
        <f t="shared" si="78"/>
        <v>-2.9193878145999993E-2</v>
      </c>
      <c r="AJ30" s="92">
        <f t="shared" si="78"/>
        <v>-2.0259314142857143E-2</v>
      </c>
      <c r="AK30" s="92">
        <f t="shared" si="78"/>
        <v>-1.7215294786458332E-2</v>
      </c>
      <c r="AL30" s="92">
        <f t="shared" si="79"/>
        <v>-1.6358004133858267E-2</v>
      </c>
      <c r="AM30" s="92">
        <f t="shared" ref="AM30" si="83">IFERROR(AM23/AM$6,"-")</f>
        <v>-1.5155527978408832E-2</v>
      </c>
      <c r="AN30" s="92">
        <f t="shared" si="79"/>
        <v>-1.5996807223921005E-2</v>
      </c>
      <c r="AO30" s="92">
        <f t="shared" si="81"/>
        <v>-1.5958097393769157E-2</v>
      </c>
    </row>
    <row r="31" spans="2:41" ht="14.25" hidden="1" customHeight="1" outlineLevel="1" x14ac:dyDescent="0.35">
      <c r="B31" s="60" t="s">
        <v>26</v>
      </c>
      <c r="C31" s="93">
        <v>-3.231589734025435E-3</v>
      </c>
      <c r="D31" s="93">
        <v>-4.9256821770602048E-3</v>
      </c>
      <c r="E31" s="93">
        <v>-7.578200440006057E-3</v>
      </c>
      <c r="F31" s="93">
        <v>-6.9619097822177615E-3</v>
      </c>
      <c r="G31" s="93">
        <v>-2.6089038505769727E-3</v>
      </c>
      <c r="H31" s="93">
        <v>-2.6777493783557049E-3</v>
      </c>
      <c r="I31" s="93">
        <v>-6.6908215728702187E-3</v>
      </c>
      <c r="J31" s="93">
        <v>-5.9754377095072864E-3</v>
      </c>
      <c r="K31" s="93">
        <v>-3.1908760805085998E-3</v>
      </c>
      <c r="L31" s="93">
        <v>-2.8892975969760253E-3</v>
      </c>
      <c r="M31" s="93">
        <v>-1.9715020689656726E-3</v>
      </c>
      <c r="N31" s="93">
        <v>-2.9874814832911703E-3</v>
      </c>
      <c r="O31" s="93">
        <v>-2.3855334534331614E-4</v>
      </c>
      <c r="P31" s="93">
        <v>-1.2291410094615463E-4</v>
      </c>
      <c r="Q31" s="93">
        <v>-1.5183720478248138E-4</v>
      </c>
      <c r="R31" s="93">
        <v>-1.8889314723449923E-4</v>
      </c>
      <c r="S31" s="93">
        <v>-2.3917654865450485E-4</v>
      </c>
      <c r="T31" s="93">
        <v>-8.2389711995404014E-5</v>
      </c>
      <c r="U31" s="93">
        <v>-5.1616067445939657E-5</v>
      </c>
      <c r="V31" s="93">
        <v>-5.9413959029873821E-4</v>
      </c>
      <c r="W31" s="93">
        <v>-1.3671947568032828E-3</v>
      </c>
      <c r="X31" s="93">
        <v>-5.4620461502451016E-4</v>
      </c>
      <c r="Y31" s="93">
        <v>-3.2392768508955004E-4</v>
      </c>
      <c r="Z31" s="93">
        <v>-4.9154508061844077E-4</v>
      </c>
      <c r="AA31" s="93">
        <v>-8.3972007704188889E-4</v>
      </c>
      <c r="AB31" s="93">
        <v>-2.2768564452587277E-3</v>
      </c>
      <c r="AC31" s="93">
        <v>-2.955739422041386E-3</v>
      </c>
      <c r="AD31" s="93">
        <v>-4.7823474088915761E-3</v>
      </c>
      <c r="AE31" s="93">
        <v>-7.336326949206563E-3</v>
      </c>
      <c r="AF31" s="93">
        <v>-7.9712514196692667E-3</v>
      </c>
      <c r="AG31" s="93">
        <v>-9.5540145564007757E-3</v>
      </c>
      <c r="AI31" s="93">
        <f t="shared" si="78"/>
        <v>-5.9392251799999995E-3</v>
      </c>
      <c r="AJ31" s="93">
        <f t="shared" si="78"/>
        <v>-4.8786511757142863E-3</v>
      </c>
      <c r="AK31" s="93">
        <f t="shared" si="78"/>
        <v>-2.7224999999999997E-3</v>
      </c>
      <c r="AL31" s="93">
        <f t="shared" si="79"/>
        <v>-1.7367427742782148E-4</v>
      </c>
      <c r="AM31" s="93">
        <f t="shared" ref="AM31" si="84">IFERROR(AM24/AM$6,"-")</f>
        <v>-2.6041360106088339E-4</v>
      </c>
      <c r="AN31" s="93">
        <f t="shared" si="79"/>
        <v>-6.2648767018787688E-4</v>
      </c>
      <c r="AO31" s="93">
        <f t="shared" si="81"/>
        <v>-2.9568223477830207E-3</v>
      </c>
    </row>
    <row r="32" spans="2:41" ht="14.25" customHeight="1" collapsed="1" x14ac:dyDescent="0.35">
      <c r="B32" s="7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I32" s="81"/>
      <c r="AJ32" s="81"/>
      <c r="AK32" s="81"/>
      <c r="AL32" s="81"/>
      <c r="AM32" s="81"/>
      <c r="AN32" s="81"/>
      <c r="AO32" s="81"/>
    </row>
  </sheetData>
  <phoneticPr fontId="13" type="noConversion"/>
  <hyperlinks>
    <hyperlink ref="B3" r:id="rId1" xr:uid="{FE1580DE-3FDA-4A3F-B0E1-AA5E95BAA040}"/>
  </hyperlinks>
  <pageMargins left="0.511811024" right="0.511811024" top="0.78740157499999996" bottom="0.78740157499999996" header="0.31496062000000002" footer="0.31496062000000002"/>
  <pageSetup paperSize="9" orientation="portrait" r:id="rId2"/>
  <ignoredErrors>
    <ignoredError sqref="AN21:AO22 AI21:AM24 AN24:AO24 AN2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4267-06D9-42CD-A475-E511F3CEFDE1}">
  <dimension ref="A1:AP13"/>
  <sheetViews>
    <sheetView showGridLines="0" zoomScaleNormal="100" workbookViewId="0">
      <pane xSplit="2" ySplit="5" topLeftCell="AA6" activePane="bottomRight" state="frozen"/>
      <selection activeCell="B6" sqref="B6"/>
      <selection pane="topRight" activeCell="B6" sqref="B6"/>
      <selection pane="bottomLeft" activeCell="B6" sqref="B6"/>
      <selection pane="bottomRight"/>
    </sheetView>
  </sheetViews>
  <sheetFormatPr defaultColWidth="0" defaultRowHeight="14.25" customHeight="1" zeroHeight="1" outlineLevelRow="1" outlineLevelCol="1" x14ac:dyDescent="0.35"/>
  <cols>
    <col min="1" max="1" width="2.54296875" style="1" customWidth="1"/>
    <col min="2" max="2" width="60.54296875" style="1" customWidth="1"/>
    <col min="3" max="22" width="10.54296875" style="1" hidden="1" customWidth="1" outlineLevel="1"/>
    <col min="23" max="23" width="10.54296875" style="1" hidden="1" customWidth="1" outlineLevel="1" collapsed="1"/>
    <col min="24" max="26" width="10.54296875" style="1" hidden="1" customWidth="1" outlineLevel="1"/>
    <col min="27" max="27" width="10.54296875" style="1" customWidth="1" collapsed="1"/>
    <col min="28" max="33" width="10.54296875" style="1" customWidth="1"/>
    <col min="34" max="34" width="2.54296875" style="1" customWidth="1"/>
    <col min="35" max="39" width="10.54296875" style="1" hidden="1" customWidth="1" outlineLevel="1"/>
    <col min="40" max="40" width="10.54296875" style="1" customWidth="1" collapsed="1"/>
    <col min="41" max="41" width="10.54296875" style="1" customWidth="1"/>
    <col min="42" max="42" width="2.54296875" style="1" customWidth="1"/>
    <col min="43" max="16384" width="10.54296875" style="1" hidden="1"/>
  </cols>
  <sheetData>
    <row r="1" spans="2:41" ht="14.25" customHeight="1" x14ac:dyDescent="0.35"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12"/>
    </row>
    <row r="2" spans="2:41" ht="14.25" customHeight="1" x14ac:dyDescent="0.35">
      <c r="B2" s="8" t="s">
        <v>199</v>
      </c>
      <c r="C2" s="8"/>
      <c r="D2" s="8"/>
      <c r="E2" s="8"/>
      <c r="F2" s="8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2"/>
    </row>
    <row r="3" spans="2:41" ht="14.25" customHeight="1" x14ac:dyDescent="0.35">
      <c r="B3" s="11" t="s">
        <v>32</v>
      </c>
      <c r="C3" s="11"/>
      <c r="D3" s="11"/>
      <c r="E3" s="11"/>
      <c r="F3" s="11"/>
      <c r="G3" s="11"/>
      <c r="H3" s="11"/>
      <c r="I3" s="11"/>
      <c r="J3" s="11"/>
      <c r="K3" s="17"/>
      <c r="L3" s="17"/>
      <c r="M3" s="17"/>
      <c r="N3" s="17"/>
      <c r="O3" s="17"/>
      <c r="P3" s="17"/>
      <c r="Q3" s="17"/>
      <c r="R3" s="17"/>
      <c r="S3" s="17"/>
      <c r="T3" s="46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2:41" ht="14.25" customHeight="1" x14ac:dyDescent="0.35"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2:41" ht="14.25" customHeight="1" x14ac:dyDescent="0.35">
      <c r="B5" s="27" t="s">
        <v>191</v>
      </c>
      <c r="C5" s="26" t="s">
        <v>21</v>
      </c>
      <c r="D5" s="26" t="s">
        <v>20</v>
      </c>
      <c r="E5" s="26" t="s">
        <v>19</v>
      </c>
      <c r="F5" s="26" t="s">
        <v>18</v>
      </c>
      <c r="G5" s="26" t="s">
        <v>17</v>
      </c>
      <c r="H5" s="26" t="s">
        <v>16</v>
      </c>
      <c r="I5" s="26" t="s">
        <v>15</v>
      </c>
      <c r="J5" s="26" t="s">
        <v>14</v>
      </c>
      <c r="K5" s="26" t="s">
        <v>13</v>
      </c>
      <c r="L5" s="26" t="s">
        <v>12</v>
      </c>
      <c r="M5" s="26" t="s">
        <v>11</v>
      </c>
      <c r="N5" s="26" t="s">
        <v>10</v>
      </c>
      <c r="O5" s="26" t="s">
        <v>9</v>
      </c>
      <c r="P5" s="26" t="s">
        <v>8</v>
      </c>
      <c r="Q5" s="26" t="s">
        <v>7</v>
      </c>
      <c r="R5" s="26" t="s">
        <v>6</v>
      </c>
      <c r="S5" s="26" t="s">
        <v>5</v>
      </c>
      <c r="T5" s="26" t="s">
        <v>4</v>
      </c>
      <c r="U5" s="26" t="s">
        <v>101</v>
      </c>
      <c r="V5" s="26" t="s">
        <v>102</v>
      </c>
      <c r="W5" s="26" t="s">
        <v>104</v>
      </c>
      <c r="X5" s="26" t="s">
        <v>107</v>
      </c>
      <c r="Y5" s="26" t="s">
        <v>112</v>
      </c>
      <c r="Z5" s="26" t="s">
        <v>122</v>
      </c>
      <c r="AA5" s="26" t="s">
        <v>139</v>
      </c>
      <c r="AB5" s="26" t="s">
        <v>149</v>
      </c>
      <c r="AC5" s="26" t="s">
        <v>154</v>
      </c>
      <c r="AD5" s="26" t="s">
        <v>168</v>
      </c>
      <c r="AE5" s="26" t="s">
        <v>187</v>
      </c>
      <c r="AF5" s="26" t="s">
        <v>206</v>
      </c>
      <c r="AG5" s="26" t="s">
        <v>216</v>
      </c>
      <c r="AI5" s="26">
        <v>2015</v>
      </c>
      <c r="AJ5" s="26">
        <v>2016</v>
      </c>
      <c r="AK5" s="26">
        <v>2017</v>
      </c>
      <c r="AL5" s="26">
        <v>2018</v>
      </c>
      <c r="AM5" s="26">
        <v>2019</v>
      </c>
      <c r="AN5" s="26">
        <v>2020</v>
      </c>
      <c r="AO5" s="26">
        <v>2021</v>
      </c>
    </row>
    <row r="6" spans="2:41" ht="14.25" customHeight="1" x14ac:dyDescent="0.35">
      <c r="B6" s="18" t="s">
        <v>123</v>
      </c>
      <c r="C6" s="28">
        <f>'PAGS | IS NON-GAAP'!C10</f>
        <v>106.97437677654001</v>
      </c>
      <c r="D6" s="28">
        <f>'PAGS | IS NON-GAAP'!D10</f>
        <v>161.15145656135002</v>
      </c>
      <c r="E6" s="28">
        <f>'PAGS | IS NON-GAAP'!E10</f>
        <v>203.85160162207501</v>
      </c>
      <c r="F6" s="28">
        <f>'PAGS | IS NON-GAAP'!F10</f>
        <v>202.94204094999998</v>
      </c>
      <c r="G6" s="28">
        <f>'PAGS | IS NON-GAAP'!G10</f>
        <v>210.41844931</v>
      </c>
      <c r="H6" s="28">
        <f>'PAGS | IS NON-GAAP'!H10</f>
        <v>251.75563999999994</v>
      </c>
      <c r="I6" s="28">
        <f>'PAGS | IS NON-GAAP'!I10</f>
        <v>295.21721109000003</v>
      </c>
      <c r="J6" s="28">
        <f>'PAGS | IS NON-GAAP'!J10</f>
        <v>380.99711843999984</v>
      </c>
      <c r="K6" s="28">
        <f>'PAGS | IS NON-GAAP'!K10</f>
        <v>448.50800000000004</v>
      </c>
      <c r="L6" s="28">
        <f>'PAGS | IS NON-GAAP'!L10</f>
        <v>557.19100000000003</v>
      </c>
      <c r="M6" s="28">
        <f>'PAGS | IS NON-GAAP'!M10</f>
        <v>686.63700000000006</v>
      </c>
      <c r="N6" s="28">
        <f>'PAGS | IS NON-GAAP'!N10</f>
        <v>831.04899999999998</v>
      </c>
      <c r="O6" s="28">
        <f>'PAGS | IS NON-GAAP'!O10</f>
        <v>838.25504647999992</v>
      </c>
      <c r="P6" s="28">
        <f>'PAGS | IS NON-GAAP'!P10</f>
        <v>974.46305518999952</v>
      </c>
      <c r="Q6" s="28">
        <f>'PAGS | IS NON-GAAP'!Q10</f>
        <v>1123.0747652700004</v>
      </c>
      <c r="R6" s="28">
        <f>'PAGS | IS NON-GAAP'!R10</f>
        <v>1267.6491449900004</v>
      </c>
      <c r="S6" s="28">
        <f>'PAGS | IS NON-GAAP'!S10</f>
        <v>1251.3360000000002</v>
      </c>
      <c r="T6" s="28">
        <f>'PAGS | IS NON-GAAP'!T10</f>
        <v>1389.7459999999999</v>
      </c>
      <c r="U6" s="28">
        <f>'PAGS | IS NON-GAAP'!U10</f>
        <v>1462.8766694800001</v>
      </c>
      <c r="V6" s="28">
        <f>'PAGS | IS NON-GAAP'!V10</f>
        <v>1574.94783923</v>
      </c>
      <c r="W6" s="28">
        <f>'PAGS | IS NON-GAAP'!W10</f>
        <v>1587.2950000000001</v>
      </c>
      <c r="X6" s="28">
        <f>'PAGS | IS NON-GAAP'!X10</f>
        <v>1357.4440749999999</v>
      </c>
      <c r="Y6" s="28">
        <f>'PAGS | IS NON-GAAP'!Y10</f>
        <v>1781.4732348099999</v>
      </c>
      <c r="Z6" s="28">
        <f>'PAGS | IS NON-GAAP'!Z10</f>
        <v>2088.4612430900002</v>
      </c>
      <c r="AA6" s="28">
        <f>'PAGS | IS NON-GAAP'!AA10</f>
        <v>2067.2006798399998</v>
      </c>
      <c r="AB6" s="28">
        <f>'PAGS | IS NON-GAAP'!AB10</f>
        <v>2369.5986161600003</v>
      </c>
      <c r="AC6" s="28">
        <f>'PAGS | IS NON-GAAP'!AC10</f>
        <v>2775.7653725200003</v>
      </c>
      <c r="AD6" s="28">
        <f>'PAGS | IS NON-GAAP'!AD10</f>
        <v>3236.1570348999999</v>
      </c>
      <c r="AE6" s="28">
        <f>'PAGS | IS NON-GAAP'!AE10</f>
        <v>3426.9516367130236</v>
      </c>
      <c r="AF6" s="28">
        <f>'PAGS | IS NON-GAAP'!AF10</f>
        <v>3910.5576167523677</v>
      </c>
      <c r="AG6" s="28">
        <f>'PAGS | IS NON-GAAP'!AG10</f>
        <v>4035.4261785002154</v>
      </c>
      <c r="AI6" s="28">
        <f t="shared" ref="AI6" si="0">SUM(C6:F6)</f>
        <v>674.91947590996506</v>
      </c>
      <c r="AJ6" s="28">
        <f t="shared" ref="AJ6" si="1">SUM(G6:J6)</f>
        <v>1138.3884188399998</v>
      </c>
      <c r="AK6" s="28">
        <f t="shared" ref="AK6" si="2">SUM(K6:N6)</f>
        <v>2523.3850000000002</v>
      </c>
      <c r="AL6" s="28">
        <f t="shared" ref="AL6" si="3">SUM(O6:R6)</f>
        <v>4203.4420119300003</v>
      </c>
      <c r="AM6" s="28">
        <f t="shared" ref="AM6" si="4">SUM(S6:V6)</f>
        <v>5678.9065087099998</v>
      </c>
      <c r="AN6" s="28">
        <f t="shared" ref="AN6" si="5">SUM(W6:Z6)</f>
        <v>6814.6735528999998</v>
      </c>
      <c r="AO6" s="28">
        <f t="shared" ref="AO6" si="6">SUM(AA6:AD6)</f>
        <v>10448.72170342</v>
      </c>
    </row>
    <row r="7" spans="2:41" ht="14.25" customHeight="1" x14ac:dyDescent="0.35">
      <c r="B7" s="18" t="s">
        <v>196</v>
      </c>
      <c r="C7" s="28">
        <f>SUM(C9:C10)</f>
        <v>0</v>
      </c>
      <c r="D7" s="28">
        <f t="shared" ref="D7:AO7" si="7">SUM(D9:D10)</f>
        <v>0</v>
      </c>
      <c r="E7" s="28">
        <f t="shared" si="7"/>
        <v>0</v>
      </c>
      <c r="F7" s="28">
        <f t="shared" si="7"/>
        <v>0</v>
      </c>
      <c r="G7" s="28">
        <f t="shared" si="7"/>
        <v>0</v>
      </c>
      <c r="H7" s="28">
        <f t="shared" si="7"/>
        <v>0</v>
      </c>
      <c r="I7" s="28">
        <f t="shared" si="7"/>
        <v>0</v>
      </c>
      <c r="J7" s="28">
        <f t="shared" si="7"/>
        <v>0</v>
      </c>
      <c r="K7" s="28">
        <f t="shared" si="7"/>
        <v>0</v>
      </c>
      <c r="L7" s="28">
        <f t="shared" si="7"/>
        <v>0</v>
      </c>
      <c r="M7" s="28">
        <f t="shared" si="7"/>
        <v>0</v>
      </c>
      <c r="N7" s="28">
        <f t="shared" si="7"/>
        <v>0</v>
      </c>
      <c r="O7" s="28">
        <f t="shared" si="7"/>
        <v>30.670999999999999</v>
      </c>
      <c r="P7" s="28">
        <f t="shared" si="7"/>
        <v>47.440983040960006</v>
      </c>
      <c r="Q7" s="28">
        <f t="shared" si="7"/>
        <v>68.387696725039874</v>
      </c>
      <c r="R7" s="28">
        <f t="shared" si="7"/>
        <v>107.10832023400013</v>
      </c>
      <c r="S7" s="28">
        <f t="shared" si="7"/>
        <v>111.197</v>
      </c>
      <c r="T7" s="28">
        <f t="shared" si="7"/>
        <v>127.67934408999999</v>
      </c>
      <c r="U7" s="28">
        <f t="shared" si="7"/>
        <v>224.82611997999999</v>
      </c>
      <c r="V7" s="28">
        <f t="shared" si="7"/>
        <v>229.69202829</v>
      </c>
      <c r="W7" s="28">
        <f t="shared" si="7"/>
        <v>350.93144047999999</v>
      </c>
      <c r="X7" s="28">
        <f t="shared" si="7"/>
        <v>342.60955952000006</v>
      </c>
      <c r="Y7" s="28">
        <f t="shared" si="7"/>
        <v>597.31890806210833</v>
      </c>
      <c r="Z7" s="28">
        <f t="shared" si="7"/>
        <v>755.69358349304844</v>
      </c>
      <c r="AA7" s="28">
        <f t="shared" si="7"/>
        <v>398.834</v>
      </c>
      <c r="AB7" s="28">
        <f t="shared" si="7"/>
        <v>401.892</v>
      </c>
      <c r="AC7" s="28">
        <f t="shared" si="7"/>
        <v>428.16699999999992</v>
      </c>
      <c r="AD7" s="28">
        <f t="shared" si="7"/>
        <v>522.93550585000003</v>
      </c>
      <c r="AE7" s="28">
        <f t="shared" si="7"/>
        <v>681.37300000000005</v>
      </c>
      <c r="AF7" s="28">
        <f t="shared" ref="AF7:AG7" si="8">SUM(AF9:AF10)</f>
        <v>574.84100000000001</v>
      </c>
      <c r="AG7" s="28">
        <f t="shared" si="8"/>
        <v>502.17200000000008</v>
      </c>
      <c r="AI7" s="28">
        <f t="shared" si="7"/>
        <v>0</v>
      </c>
      <c r="AJ7" s="28">
        <f t="shared" si="7"/>
        <v>0</v>
      </c>
      <c r="AK7" s="28">
        <f t="shared" si="7"/>
        <v>0</v>
      </c>
      <c r="AL7" s="28">
        <f t="shared" si="7"/>
        <v>253.608</v>
      </c>
      <c r="AM7" s="28">
        <f t="shared" si="7"/>
        <v>693.39449235999996</v>
      </c>
      <c r="AN7" s="28">
        <f t="shared" si="7"/>
        <v>2046.5534915551566</v>
      </c>
      <c r="AO7" s="28">
        <f t="shared" si="7"/>
        <v>1751.8285058500001</v>
      </c>
    </row>
    <row r="8" spans="2:41" ht="14.25" customHeight="1" x14ac:dyDescent="0.35">
      <c r="B8" s="85" t="s">
        <v>197</v>
      </c>
      <c r="C8" s="87">
        <f>IFERROR(C7/C6,"-")</f>
        <v>0</v>
      </c>
      <c r="D8" s="87">
        <f t="shared" ref="D8:AE8" si="9">IFERROR(D7/D6,"-")</f>
        <v>0</v>
      </c>
      <c r="E8" s="87">
        <f t="shared" si="9"/>
        <v>0</v>
      </c>
      <c r="F8" s="87">
        <f t="shared" si="9"/>
        <v>0</v>
      </c>
      <c r="G8" s="87">
        <f t="shared" si="9"/>
        <v>0</v>
      </c>
      <c r="H8" s="87">
        <f t="shared" si="9"/>
        <v>0</v>
      </c>
      <c r="I8" s="87">
        <f t="shared" si="9"/>
        <v>0</v>
      </c>
      <c r="J8" s="87">
        <f t="shared" si="9"/>
        <v>0</v>
      </c>
      <c r="K8" s="87">
        <f t="shared" si="9"/>
        <v>0</v>
      </c>
      <c r="L8" s="87">
        <f t="shared" si="9"/>
        <v>0</v>
      </c>
      <c r="M8" s="87">
        <f t="shared" si="9"/>
        <v>0</v>
      </c>
      <c r="N8" s="87">
        <f t="shared" si="9"/>
        <v>0</v>
      </c>
      <c r="O8" s="87">
        <f t="shared" si="9"/>
        <v>3.6589102718550454E-2</v>
      </c>
      <c r="P8" s="87">
        <f t="shared" si="9"/>
        <v>4.8684229523416903E-2</v>
      </c>
      <c r="Q8" s="87">
        <f t="shared" si="9"/>
        <v>6.0893271614556016E-2</v>
      </c>
      <c r="R8" s="87">
        <f t="shared" si="9"/>
        <v>8.4493663453577311E-2</v>
      </c>
      <c r="S8" s="87">
        <f t="shared" si="9"/>
        <v>8.8862623627866524E-2</v>
      </c>
      <c r="T8" s="87">
        <f t="shared" si="9"/>
        <v>9.1872431429915968E-2</v>
      </c>
      <c r="U8" s="87">
        <f t="shared" si="9"/>
        <v>0.15368767898931462</v>
      </c>
      <c r="V8" s="87">
        <f t="shared" si="9"/>
        <v>0.14584103839419699</v>
      </c>
      <c r="W8" s="87">
        <f t="shared" si="9"/>
        <v>0.22108772501645879</v>
      </c>
      <c r="X8" s="87">
        <f t="shared" si="9"/>
        <v>0.25239313046469342</v>
      </c>
      <c r="Y8" s="87">
        <f t="shared" si="9"/>
        <v>0.33529491007245721</v>
      </c>
      <c r="Z8" s="87">
        <f t="shared" si="9"/>
        <v>0.36184228268222768</v>
      </c>
      <c r="AA8" s="87">
        <f t="shared" si="9"/>
        <v>0.19293434057445721</v>
      </c>
      <c r="AB8" s="87">
        <f t="shared" si="9"/>
        <v>0.1696034076232189</v>
      </c>
      <c r="AC8" s="87">
        <f t="shared" si="9"/>
        <v>0.15425187021887415</v>
      </c>
      <c r="AD8" s="87">
        <f t="shared" si="9"/>
        <v>0.16159151123090021</v>
      </c>
      <c r="AE8" s="87">
        <f t="shared" si="9"/>
        <v>0.19882772569663168</v>
      </c>
      <c r="AF8" s="87">
        <f t="shared" ref="AF8:AG8" si="10">IFERROR(AF7/AF6,"-")</f>
        <v>0.146997194859743</v>
      </c>
      <c r="AG8" s="87">
        <f t="shared" si="10"/>
        <v>0.12444088375980021</v>
      </c>
      <c r="AH8" s="84"/>
      <c r="AI8" s="87">
        <f t="shared" ref="AI8" si="11">IFERROR(AI7/AI6,"-")</f>
        <v>0</v>
      </c>
      <c r="AJ8" s="87">
        <f t="shared" ref="AJ8" si="12">IFERROR(AJ7/AJ6,"-")</f>
        <v>0</v>
      </c>
      <c r="AK8" s="87">
        <f t="shared" ref="AK8" si="13">IFERROR(AK7/AK6,"-")</f>
        <v>0</v>
      </c>
      <c r="AL8" s="87">
        <f t="shared" ref="AL8" si="14">IFERROR(AL7/AL6,"-")</f>
        <v>6.0333412303588914E-2</v>
      </c>
      <c r="AM8" s="87">
        <f t="shared" ref="AM8" si="15">IFERROR(AM7/AM6,"-")</f>
        <v>0.12210000134647558</v>
      </c>
      <c r="AN8" s="87">
        <f t="shared" ref="AN8" si="16">IFERROR(AN7/AN6,"-")</f>
        <v>0.30031570487837106</v>
      </c>
      <c r="AO8" s="87">
        <f t="shared" ref="AO8" si="17">IFERROR(AO7/AO6,"-")</f>
        <v>0.16765960043481723</v>
      </c>
    </row>
    <row r="9" spans="2:41" ht="14.25" hidden="1" customHeight="1" outlineLevel="1" x14ac:dyDescent="0.35">
      <c r="B9" s="25" t="s">
        <v>80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>
        <f>-'PAGS | Cash Flow'!O40</f>
        <v>0.97599999999999998</v>
      </c>
      <c r="P9" s="23">
        <f>-('PAGS | Cash Flow'!P40+SUM(O9))</f>
        <v>10.773</v>
      </c>
      <c r="Q9" s="23">
        <f>-('PAGS | Cash Flow'!Q40+SUM(O9:P9))</f>
        <v>17.305336019999888</v>
      </c>
      <c r="R9" s="23">
        <f>-('PAGS | Cash Flow'!R40+SUM(O9:Q9))</f>
        <v>32.505663980000115</v>
      </c>
      <c r="S9" s="23">
        <f>-'PAGS | Cash Flow'!S40</f>
        <v>30.202999999999999</v>
      </c>
      <c r="T9" s="23">
        <f>-('PAGS | Cash Flow'!T40+SUM(S9))</f>
        <v>60.145344089999995</v>
      </c>
      <c r="U9" s="23">
        <f>-('PAGS | Cash Flow'!U40+SUM(S9:T9))</f>
        <v>116.61311997999998</v>
      </c>
      <c r="V9" s="23">
        <f>-('PAGS | Cash Flow'!V40+SUM(S9:U9))</f>
        <v>121.36469159000001</v>
      </c>
      <c r="W9" s="23">
        <f>-'PAGS | Cash Flow'!W40</f>
        <v>231.93844048</v>
      </c>
      <c r="X9" s="23">
        <f>-('PAGS | Cash Flow'!X40+SUM(W9))</f>
        <v>244.30855952000002</v>
      </c>
      <c r="Y9" s="23">
        <f>-('PAGS | Cash Flow'!Y40+SUM(W9:X9))</f>
        <v>441.0083081121083</v>
      </c>
      <c r="Z9" s="23">
        <f>-('PAGS | Cash Flow'!Z40+SUM(W9:Y9))</f>
        <v>605.51357457804863</v>
      </c>
      <c r="AA9" s="23">
        <f>-'PAGS | Cash Flow'!AA40</f>
        <v>249.84700000000001</v>
      </c>
      <c r="AB9" s="23">
        <f>-('PAGS | Cash Flow'!AB40+SUM(AA9))</f>
        <v>225.715</v>
      </c>
      <c r="AC9" s="23">
        <f>-('PAGS | Cash Flow'!AC40+SUM(AA9:AB9))</f>
        <v>225.77599999999995</v>
      </c>
      <c r="AD9" s="23">
        <f>-('PAGS | Cash Flow'!AD40+SUM(AA9:AC9))</f>
        <v>270.93600000000004</v>
      </c>
      <c r="AE9" s="23">
        <f>-'PAGS | Cash Flow'!AE40</f>
        <v>439.55900000000003</v>
      </c>
      <c r="AF9" s="23">
        <f>-('PAGS | Cash Flow'!AF40+SUM($AE9:AE9))</f>
        <v>340.89699999999999</v>
      </c>
      <c r="AG9" s="23">
        <f>-('PAGS | Cash Flow'!AG40+SUM($AE9:AF9))</f>
        <v>246.56900000000007</v>
      </c>
      <c r="AI9" s="23">
        <f t="shared" ref="AI9:AI10" si="18">SUM(C9:F9)</f>
        <v>0</v>
      </c>
      <c r="AJ9" s="23">
        <f t="shared" ref="AJ9:AJ10" si="19">SUM(G9:J9)</f>
        <v>0</v>
      </c>
      <c r="AK9" s="23">
        <f t="shared" ref="AK9:AK10" si="20">SUM(K9:N9)</f>
        <v>0</v>
      </c>
      <c r="AL9" s="23">
        <f t="shared" ref="AL9:AL10" si="21">SUM(O9:R9)</f>
        <v>61.56</v>
      </c>
      <c r="AM9" s="23">
        <f t="shared" ref="AM9:AM10" si="22">SUM(S9:V9)</f>
        <v>328.32615565999998</v>
      </c>
      <c r="AN9" s="23">
        <f t="shared" ref="AN9:AN10" si="23">SUM(W9:Z9)</f>
        <v>1522.7688826901569</v>
      </c>
      <c r="AO9" s="23">
        <f t="shared" ref="AO9:AO10" si="24">SUM(AA9:AD9)</f>
        <v>972.274</v>
      </c>
    </row>
    <row r="10" spans="2:41" ht="14.25" hidden="1" customHeight="1" outlineLevel="1" x14ac:dyDescent="0.35">
      <c r="B10" s="25" t="s">
        <v>81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>
        <f>-'PAGS | Cash Flow'!O41</f>
        <v>29.695</v>
      </c>
      <c r="P10" s="23">
        <f>-('PAGS | Cash Flow'!P41+SUM(O10))</f>
        <v>36.667983040960003</v>
      </c>
      <c r="Q10" s="23">
        <f>-('PAGS | Cash Flow'!Q41+SUM(O10:P10))</f>
        <v>51.082360705039989</v>
      </c>
      <c r="R10" s="23">
        <f>-('PAGS | Cash Flow'!R41+SUM(O10:Q10))</f>
        <v>74.60265625400001</v>
      </c>
      <c r="S10" s="23">
        <f>-'PAGS | Cash Flow'!S41</f>
        <v>80.994</v>
      </c>
      <c r="T10" s="23">
        <f>-('PAGS | Cash Flow'!T41+SUM(S10))</f>
        <v>67.533999999999992</v>
      </c>
      <c r="U10" s="23">
        <f>-('PAGS | Cash Flow'!U41+SUM(S10:T10))</f>
        <v>108.21299999999999</v>
      </c>
      <c r="V10" s="23">
        <f>-('PAGS | Cash Flow'!V41+SUM(S10:U10))</f>
        <v>108.32733669999999</v>
      </c>
      <c r="W10" s="23">
        <f>-'PAGS | Cash Flow'!W41</f>
        <v>118.99299999999999</v>
      </c>
      <c r="X10" s="23">
        <f>-('PAGS | Cash Flow'!X41+SUM(W10))</f>
        <v>98.301000000000016</v>
      </c>
      <c r="Y10" s="23">
        <f>-('PAGS | Cash Flow'!Y41+SUM(W10:X10))</f>
        <v>156.31059995000001</v>
      </c>
      <c r="Z10" s="23">
        <f>-('PAGS | Cash Flow'!Z41+SUM(W10:Y10))</f>
        <v>150.18000891499975</v>
      </c>
      <c r="AA10" s="23">
        <f>-'PAGS | Cash Flow'!AA41</f>
        <v>148.98699999999999</v>
      </c>
      <c r="AB10" s="23">
        <f>-('PAGS | Cash Flow'!AB41+SUM(AA10))</f>
        <v>176.17699999999999</v>
      </c>
      <c r="AC10" s="23">
        <f>-('PAGS | Cash Flow'!AC41+SUM(AA10:AB10))</f>
        <v>202.39099999999996</v>
      </c>
      <c r="AD10" s="23">
        <f>-('PAGS | Cash Flow'!AD41+SUM(AA10:AC10))</f>
        <v>251.99950584999999</v>
      </c>
      <c r="AE10" s="23">
        <f>-'PAGS | Cash Flow'!AE41</f>
        <v>241.81399999999999</v>
      </c>
      <c r="AF10" s="23">
        <f>-('PAGS | Cash Flow'!AF41+SUM($AE10:AE10))</f>
        <v>233.94399999999999</v>
      </c>
      <c r="AG10" s="23">
        <f>-('PAGS | Cash Flow'!AG41+SUM($AE10:AF10))</f>
        <v>255.60300000000001</v>
      </c>
      <c r="AI10" s="23">
        <f t="shared" si="18"/>
        <v>0</v>
      </c>
      <c r="AJ10" s="23">
        <f t="shared" si="19"/>
        <v>0</v>
      </c>
      <c r="AK10" s="23">
        <f t="shared" si="20"/>
        <v>0</v>
      </c>
      <c r="AL10" s="23">
        <f t="shared" si="21"/>
        <v>192.048</v>
      </c>
      <c r="AM10" s="23">
        <f t="shared" si="22"/>
        <v>365.06833669999997</v>
      </c>
      <c r="AN10" s="23">
        <f t="shared" si="23"/>
        <v>523.78460886499977</v>
      </c>
      <c r="AO10" s="23">
        <f t="shared" si="24"/>
        <v>779.55450584999994</v>
      </c>
    </row>
    <row r="11" spans="2:41" ht="14.25" customHeight="1" collapsed="1" x14ac:dyDescent="0.35">
      <c r="B11" s="18" t="s">
        <v>71</v>
      </c>
      <c r="C11" s="28">
        <f>'PAGS | Total Costs and Expenses'!C17</f>
        <v>-3.8193371600000008</v>
      </c>
      <c r="D11" s="28">
        <f>'PAGS | Total Costs and Expenses'!D17</f>
        <v>-4.3005770799999983</v>
      </c>
      <c r="E11" s="28">
        <f>'PAGS | Total Costs and Expenses'!E17</f>
        <v>-4.8432917900000012</v>
      </c>
      <c r="F11" s="28">
        <f>'PAGS | Total Costs and Expenses'!F17</f>
        <v>-5.6170832900000027</v>
      </c>
      <c r="G11" s="28">
        <f>'PAGS | Total Costs and Expenses'!G17</f>
        <v>-6.2863829999999998</v>
      </c>
      <c r="H11" s="28">
        <f>'PAGS | Total Costs and Expenses'!H17</f>
        <v>-7.0978070000000004</v>
      </c>
      <c r="I11" s="28">
        <f>'PAGS | Total Costs and Expenses'!I17</f>
        <v>-8.228076999999999</v>
      </c>
      <c r="J11" s="28">
        <f>'PAGS | Total Costs and Expenses'!J17</f>
        <v>-9.6336809999999993</v>
      </c>
      <c r="K11" s="28">
        <f>'PAGS | Total Costs and Expenses'!K17</f>
        <v>-10.739059286122002</v>
      </c>
      <c r="L11" s="28">
        <f>'PAGS | Total Costs and Expenses'!L17</f>
        <v>-11.933667379328</v>
      </c>
      <c r="M11" s="28">
        <f>'PAGS | Total Costs and Expenses'!M17</f>
        <v>-13.492266995413001</v>
      </c>
      <c r="N11" s="28">
        <f>'PAGS | Total Costs and Expenses'!N17</f>
        <v>-15.406494519136968</v>
      </c>
      <c r="O11" s="28">
        <f>'PAGS | Total Costs and Expenses'!O17</f>
        <v>-18.006200776278</v>
      </c>
      <c r="P11" s="28">
        <f>'PAGS | Total Costs and Expenses'!P17</f>
        <v>-20.540659115095991</v>
      </c>
      <c r="Q11" s="28">
        <f>'PAGS | Total Costs and Expenses'!Q17</f>
        <v>-23.925763707406396</v>
      </c>
      <c r="R11" s="28">
        <f>'PAGS | Total Costs and Expenses'!R17</f>
        <v>-32.889000000000003</v>
      </c>
      <c r="S11" s="28">
        <f>'PAGS | Total Costs and Expenses'!S17</f>
        <v>-26.4</v>
      </c>
      <c r="T11" s="28">
        <f>'PAGS | Total Costs and Expenses'!T17</f>
        <v>-21.7</v>
      </c>
      <c r="U11" s="28">
        <f>'PAGS | Total Costs and Expenses'!U17</f>
        <v>-34.1</v>
      </c>
      <c r="V11" s="28">
        <f>'PAGS | Total Costs and Expenses'!V17</f>
        <v>-46.099999999999994</v>
      </c>
      <c r="W11" s="28">
        <f>'PAGS | Total Costs and Expenses'!W17</f>
        <v>-59.6</v>
      </c>
      <c r="X11" s="28">
        <f>'PAGS | Total Costs and Expenses'!X17</f>
        <v>-81.400000000000006</v>
      </c>
      <c r="Y11" s="28">
        <f>'PAGS | Total Costs and Expenses'!Y17</f>
        <v>-101.52798060813829</v>
      </c>
      <c r="Z11" s="28">
        <f>'PAGS | Total Costs and Expenses'!Z17</f>
        <v>-133.82178216510505</v>
      </c>
      <c r="AA11" s="28">
        <f>'PAGS | Total Costs and Expenses'!AA17</f>
        <v>-158.29787135049457</v>
      </c>
      <c r="AB11" s="28">
        <f>'PAGS | Total Costs and Expenses'!AB17</f>
        <v>-181.52033899584535</v>
      </c>
      <c r="AC11" s="28">
        <f>'PAGS | Total Costs and Expenses'!AC17</f>
        <v>-203.27671777909396</v>
      </c>
      <c r="AD11" s="28">
        <f>'PAGS | Total Costs and Expenses'!AD17</f>
        <v>-225.5</v>
      </c>
      <c r="AE11" s="28">
        <f>'PAGS | Total Costs and Expenses'!AE17</f>
        <v>-249.02219570682448</v>
      </c>
      <c r="AF11" s="28">
        <f>'PAGS | Total Costs and Expenses'!AF17</f>
        <v>-280.56612036482954</v>
      </c>
      <c r="AG11" s="28">
        <f>'PAGS | Total Costs and Expenses'!AG17</f>
        <v>-294.41611663115395</v>
      </c>
      <c r="AI11" s="28">
        <f t="shared" ref="AI11" si="25">SUM(C11:F11)</f>
        <v>-18.580289320000006</v>
      </c>
      <c r="AJ11" s="28">
        <f t="shared" ref="AJ11" si="26">SUM(G11:J11)</f>
        <v>-31.245947999999999</v>
      </c>
      <c r="AK11" s="28">
        <f t="shared" ref="AK11" si="27">SUM(K11:N11)</f>
        <v>-51.571488179999974</v>
      </c>
      <c r="AL11" s="28">
        <f t="shared" ref="AL11" si="28">SUM(O11:R11)</f>
        <v>-95.361623598780398</v>
      </c>
      <c r="AM11" s="28">
        <f t="shared" ref="AM11" si="29">SUM(S11:V11)</f>
        <v>-128.29999999999998</v>
      </c>
      <c r="AN11" s="28">
        <f t="shared" ref="AN11" si="30">SUM(W11:Z11)</f>
        <v>-376.34976277324336</v>
      </c>
      <c r="AO11" s="28">
        <f t="shared" ref="AO11" si="31">SUM(AA11:AD11)</f>
        <v>-768.59492812543385</v>
      </c>
    </row>
    <row r="12" spans="2:41" ht="14.25" customHeight="1" x14ac:dyDescent="0.35">
      <c r="B12" s="86" t="s">
        <v>198</v>
      </c>
      <c r="C12" s="88">
        <f>IFERROR(-C11/C6,"-")</f>
        <v>3.5703289657655658E-2</v>
      </c>
      <c r="D12" s="88">
        <f t="shared" ref="D12:AE12" si="32">IFERROR(-D11/D6,"-")</f>
        <v>2.6686554200413184E-2</v>
      </c>
      <c r="E12" s="88">
        <f t="shared" si="32"/>
        <v>2.3758909674789247E-2</v>
      </c>
      <c r="F12" s="88">
        <f t="shared" si="32"/>
        <v>2.7678263526402184E-2</v>
      </c>
      <c r="G12" s="88">
        <f t="shared" si="32"/>
        <v>2.9875626498599255E-2</v>
      </c>
      <c r="H12" s="88">
        <f t="shared" si="32"/>
        <v>2.8193239285523065E-2</v>
      </c>
      <c r="I12" s="88">
        <f t="shared" si="32"/>
        <v>2.7871264583864606E-2</v>
      </c>
      <c r="J12" s="88">
        <f t="shared" si="32"/>
        <v>2.5285443206093775E-2</v>
      </c>
      <c r="K12" s="88">
        <f t="shared" si="32"/>
        <v>2.3943963733360388E-2</v>
      </c>
      <c r="L12" s="88">
        <f t="shared" si="32"/>
        <v>2.1417552292352173E-2</v>
      </c>
      <c r="M12" s="88">
        <f t="shared" si="32"/>
        <v>1.9649781464460843E-2</v>
      </c>
      <c r="N12" s="88">
        <f t="shared" si="32"/>
        <v>1.8538611464711429E-2</v>
      </c>
      <c r="O12" s="88">
        <f t="shared" si="32"/>
        <v>2.1480575454796993E-2</v>
      </c>
      <c r="P12" s="88">
        <f t="shared" si="32"/>
        <v>2.1078951126670471E-2</v>
      </c>
      <c r="Q12" s="88">
        <f t="shared" si="32"/>
        <v>2.1303803136966008E-2</v>
      </c>
      <c r="R12" s="88">
        <f t="shared" si="32"/>
        <v>2.5944876096026904E-2</v>
      </c>
      <c r="S12" s="88">
        <f t="shared" si="32"/>
        <v>2.1097451044323822E-2</v>
      </c>
      <c r="T12" s="88">
        <f t="shared" si="32"/>
        <v>1.5614364063649041E-2</v>
      </c>
      <c r="U12" s="88">
        <f t="shared" si="32"/>
        <v>2.3310235723508613E-2</v>
      </c>
      <c r="V12" s="88">
        <f t="shared" si="32"/>
        <v>2.92708106590619E-2</v>
      </c>
      <c r="W12" s="88">
        <f t="shared" si="32"/>
        <v>3.754815582484667E-2</v>
      </c>
      <c r="X12" s="88">
        <f t="shared" si="32"/>
        <v>5.9965637995068058E-2</v>
      </c>
      <c r="Y12" s="88">
        <f t="shared" si="32"/>
        <v>5.6991022163162944E-2</v>
      </c>
      <c r="Z12" s="88">
        <f t="shared" si="32"/>
        <v>6.4076737170907672E-2</v>
      </c>
      <c r="AA12" s="88">
        <f t="shared" si="32"/>
        <v>7.6575957474407735E-2</v>
      </c>
      <c r="AB12" s="88">
        <f t="shared" si="32"/>
        <v>7.6603833981809144E-2</v>
      </c>
      <c r="AC12" s="88">
        <f t="shared" si="32"/>
        <v>7.3232672974282265E-2</v>
      </c>
      <c r="AD12" s="88">
        <f t="shared" si="32"/>
        <v>6.9681414581591258E-2</v>
      </c>
      <c r="AE12" s="88">
        <f t="shared" si="32"/>
        <v>7.2665803928787062E-2</v>
      </c>
      <c r="AF12" s="88">
        <f t="shared" ref="AF12:AG12" si="33">IFERROR(-AF11/AF6,"-")</f>
        <v>7.1745809130369889E-2</v>
      </c>
      <c r="AG12" s="88">
        <f t="shared" si="33"/>
        <v>7.2957874486648408E-2</v>
      </c>
      <c r="AH12" s="84"/>
      <c r="AI12" s="88">
        <f t="shared" ref="AI12" si="34">IFERROR(-AI11/AI6,"-")</f>
        <v>2.7529638694970236E-2</v>
      </c>
      <c r="AJ12" s="88">
        <f t="shared" ref="AJ12" si="35">IFERROR(-AJ11/AJ6,"-")</f>
        <v>2.7447527999133317E-2</v>
      </c>
      <c r="AK12" s="88">
        <f t="shared" ref="AK12" si="36">IFERROR(-AK11/AK6,"-")</f>
        <v>2.0437423611537664E-2</v>
      </c>
      <c r="AL12" s="88">
        <f t="shared" ref="AL12" si="37">IFERROR(-AL11/AL6,"-")</f>
        <v>2.2686556238465945E-2</v>
      </c>
      <c r="AM12" s="88">
        <f t="shared" ref="AM12" si="38">IFERROR(-AM11/AM6,"-")</f>
        <v>2.2592377564804134E-2</v>
      </c>
      <c r="AN12" s="88">
        <f t="shared" ref="AN12" si="39">IFERROR(-AN11/AN6,"-")</f>
        <v>5.522638169704943E-2</v>
      </c>
      <c r="AO12" s="88">
        <f t="shared" ref="AO12" si="40">IFERROR(-AO11/AO6,"-")</f>
        <v>7.3558751964258262E-2</v>
      </c>
    </row>
    <row r="13" spans="2:41" ht="14.25" customHeight="1" x14ac:dyDescent="0.35"/>
  </sheetData>
  <hyperlinks>
    <hyperlink ref="B3" r:id="rId1" xr:uid="{10124A94-8D0C-48B5-8373-E4B50639EDC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E0678-0DB4-4FF6-B2B5-031F36D427FC}">
  <sheetPr codeName="Planilha6"/>
  <dimension ref="A1:AQ183"/>
  <sheetViews>
    <sheetView showGridLines="0" zoomScaleNormal="100" workbookViewId="0">
      <pane xSplit="2" ySplit="5" topLeftCell="C6" activePane="bottomRight" state="frozen"/>
      <selection activeCell="B6" sqref="B6"/>
      <selection pane="topRight" activeCell="B6" sqref="B6"/>
      <selection pane="bottomLeft" activeCell="B6" sqref="B6"/>
      <selection pane="bottomRight"/>
    </sheetView>
  </sheetViews>
  <sheetFormatPr defaultColWidth="0" defaultRowHeight="14.25" customHeight="1" zeroHeight="1" outlineLevelRow="1" outlineLevelCol="1" x14ac:dyDescent="0.35"/>
  <cols>
    <col min="1" max="1" width="2.54296875" style="1" customWidth="1"/>
    <col min="2" max="2" width="60.54296875" style="1" customWidth="1"/>
    <col min="3" max="22" width="10.54296875" style="1" hidden="1" customWidth="1" outlineLevel="1"/>
    <col min="23" max="23" width="10.54296875" style="1" hidden="1" customWidth="1" outlineLevel="1" collapsed="1"/>
    <col min="24" max="26" width="10.54296875" style="1" hidden="1" customWidth="1" outlineLevel="1"/>
    <col min="27" max="27" width="10.54296875" style="1" customWidth="1" collapsed="1"/>
    <col min="28" max="33" width="10.54296875" style="1" customWidth="1"/>
    <col min="34" max="34" width="2.54296875" style="1" customWidth="1"/>
    <col min="35" max="39" width="10.54296875" style="1" hidden="1" customWidth="1" outlineLevel="1"/>
    <col min="40" max="40" width="10.54296875" style="1" customWidth="1" collapsed="1"/>
    <col min="41" max="41" width="10.54296875" style="1" customWidth="1"/>
    <col min="42" max="42" width="2.54296875" style="1" customWidth="1"/>
    <col min="43" max="16384" width="10.54296875" style="1" hidden="1"/>
  </cols>
  <sheetData>
    <row r="1" spans="1:43" s="69" customFormat="1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I1" s="6"/>
      <c r="AJ1" s="6"/>
      <c r="AK1" s="6"/>
      <c r="AL1" s="6"/>
      <c r="AM1" s="6"/>
      <c r="AN1" s="6"/>
      <c r="AO1" s="6"/>
      <c r="AP1" s="6"/>
      <c r="AQ1" s="6"/>
    </row>
    <row r="2" spans="1:43" s="69" customFormat="1" ht="14.25" customHeight="1" x14ac:dyDescent="0.35">
      <c r="A2" s="1"/>
      <c r="B2" s="8" t="s">
        <v>200</v>
      </c>
      <c r="C2" s="8"/>
      <c r="D2" s="8"/>
      <c r="E2" s="8"/>
      <c r="F2" s="8"/>
      <c r="G2" s="8"/>
      <c r="H2" s="8"/>
      <c r="I2" s="8"/>
      <c r="J2" s="8"/>
      <c r="K2" s="1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I2" s="6"/>
      <c r="AK2" s="45"/>
      <c r="AL2" s="45"/>
      <c r="AM2" s="45"/>
      <c r="AN2" s="45"/>
      <c r="AO2" s="45"/>
      <c r="AP2" s="6"/>
      <c r="AQ2" s="6"/>
    </row>
    <row r="3" spans="1:43" s="69" customFormat="1" ht="14.25" customHeight="1" x14ac:dyDescent="0.35">
      <c r="A3" s="1"/>
      <c r="B3" s="11" t="s">
        <v>32</v>
      </c>
      <c r="C3" s="11"/>
      <c r="D3" s="11"/>
      <c r="E3" s="11"/>
      <c r="F3" s="11"/>
      <c r="G3" s="11"/>
      <c r="H3" s="11"/>
      <c r="I3" s="11"/>
      <c r="J3" s="11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6"/>
      <c r="AG3" s="6"/>
      <c r="AI3" s="6"/>
      <c r="AJ3" s="4"/>
      <c r="AK3" s="4"/>
      <c r="AL3" s="4"/>
      <c r="AM3" s="4"/>
      <c r="AN3" s="4"/>
      <c r="AO3" s="4"/>
      <c r="AP3" s="6"/>
      <c r="AQ3" s="6"/>
    </row>
    <row r="4" spans="1:43" s="69" customFormat="1" ht="14.25" customHeight="1" x14ac:dyDescent="0.35">
      <c r="A4" s="12"/>
      <c r="B4" s="97"/>
      <c r="C4" s="1"/>
      <c r="D4" s="1"/>
      <c r="E4" s="1"/>
      <c r="F4" s="1"/>
      <c r="G4" s="1"/>
      <c r="H4" s="1"/>
      <c r="I4" s="1"/>
      <c r="J4" s="1"/>
      <c r="K4" s="44"/>
      <c r="L4" s="44"/>
      <c r="M4" s="44"/>
      <c r="N4" s="44"/>
      <c r="O4" s="44"/>
      <c r="P4" s="44"/>
      <c r="Q4" s="44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I4" s="6"/>
      <c r="AJ4" s="6"/>
      <c r="AK4" s="6"/>
      <c r="AL4" s="6"/>
      <c r="AM4" s="6"/>
      <c r="AN4" s="6"/>
      <c r="AO4" s="6"/>
      <c r="AP4" s="6"/>
      <c r="AQ4" s="6"/>
    </row>
    <row r="5" spans="1:43" s="69" customFormat="1" ht="14.25" customHeight="1" x14ac:dyDescent="0.35">
      <c r="A5" s="6"/>
      <c r="B5" s="54" t="s">
        <v>22</v>
      </c>
      <c r="C5" s="61" t="s">
        <v>21</v>
      </c>
      <c r="D5" s="61" t="s">
        <v>180</v>
      </c>
      <c r="E5" s="61" t="s">
        <v>181</v>
      </c>
      <c r="F5" s="61">
        <v>2015</v>
      </c>
      <c r="G5" s="61" t="s">
        <v>17</v>
      </c>
      <c r="H5" s="61" t="s">
        <v>178</v>
      </c>
      <c r="I5" s="61" t="s">
        <v>179</v>
      </c>
      <c r="J5" s="61">
        <v>2016</v>
      </c>
      <c r="K5" s="61" t="s">
        <v>13</v>
      </c>
      <c r="L5" s="61" t="s">
        <v>131</v>
      </c>
      <c r="M5" s="61" t="s">
        <v>132</v>
      </c>
      <c r="N5" s="61">
        <v>2017</v>
      </c>
      <c r="O5" s="61" t="s">
        <v>9</v>
      </c>
      <c r="P5" s="61" t="s">
        <v>133</v>
      </c>
      <c r="Q5" s="61" t="s">
        <v>134</v>
      </c>
      <c r="R5" s="61">
        <v>2018</v>
      </c>
      <c r="S5" s="61" t="s">
        <v>5</v>
      </c>
      <c r="T5" s="61" t="s">
        <v>135</v>
      </c>
      <c r="U5" s="61" t="s">
        <v>136</v>
      </c>
      <c r="V5" s="61">
        <v>2019</v>
      </c>
      <c r="W5" s="61" t="s">
        <v>104</v>
      </c>
      <c r="X5" s="61" t="s">
        <v>137</v>
      </c>
      <c r="Y5" s="61" t="s">
        <v>138</v>
      </c>
      <c r="Z5" s="61">
        <v>2020</v>
      </c>
      <c r="AA5" s="61" t="s">
        <v>139</v>
      </c>
      <c r="AB5" s="61" t="s">
        <v>150</v>
      </c>
      <c r="AC5" s="61" t="s">
        <v>155</v>
      </c>
      <c r="AD5" s="61">
        <v>2021</v>
      </c>
      <c r="AE5" s="61" t="s">
        <v>187</v>
      </c>
      <c r="AF5" s="61" t="s">
        <v>208</v>
      </c>
      <c r="AG5" s="61" t="s">
        <v>217</v>
      </c>
      <c r="AI5" s="61">
        <v>2015</v>
      </c>
      <c r="AJ5" s="61">
        <v>2016</v>
      </c>
      <c r="AK5" s="61">
        <v>2017</v>
      </c>
      <c r="AL5" s="61">
        <v>2018</v>
      </c>
      <c r="AM5" s="61">
        <v>2019</v>
      </c>
      <c r="AN5" s="61">
        <v>2020</v>
      </c>
      <c r="AO5" s="61">
        <v>2021</v>
      </c>
      <c r="AP5" s="6"/>
      <c r="AQ5" s="6"/>
    </row>
    <row r="6" spans="1:43" s="69" customFormat="1" ht="14.25" customHeight="1" x14ac:dyDescent="0.35">
      <c r="A6" s="99"/>
      <c r="B6" s="55" t="s">
        <v>146</v>
      </c>
      <c r="C6" s="55"/>
      <c r="D6" s="55"/>
      <c r="E6" s="55"/>
      <c r="F6" s="55"/>
      <c r="G6" s="55"/>
      <c r="H6" s="55"/>
      <c r="I6" s="55"/>
      <c r="J6" s="42">
        <v>155.35900000000001</v>
      </c>
      <c r="K6" s="42">
        <v>82.177000000000007</v>
      </c>
      <c r="L6" s="42">
        <v>198.58548693803789</v>
      </c>
      <c r="M6" s="42">
        <v>413.25764869203692</v>
      </c>
      <c r="N6" s="42">
        <v>683.50400000000002</v>
      </c>
      <c r="O6" s="42">
        <v>162.99992600000002</v>
      </c>
      <c r="P6" s="42">
        <v>475.74759699999998</v>
      </c>
      <c r="Q6" s="42">
        <v>796.28099999999995</v>
      </c>
      <c r="R6" s="42">
        <v>1217.623</v>
      </c>
      <c r="S6" s="42">
        <v>449.37700000000001</v>
      </c>
      <c r="T6" s="42">
        <v>910.5</v>
      </c>
      <c r="U6" s="42">
        <v>1378.6369999999999</v>
      </c>
      <c r="V6" s="42">
        <v>1912.54</v>
      </c>
      <c r="W6" s="42">
        <v>496.154</v>
      </c>
      <c r="X6" s="42">
        <v>908.59</v>
      </c>
      <c r="Y6" s="42">
        <v>1260.7809999999999</v>
      </c>
      <c r="Z6" s="42">
        <v>1774.691</v>
      </c>
      <c r="AA6" s="42">
        <v>360.35199999999998</v>
      </c>
      <c r="AB6" s="42">
        <v>698.52800000000002</v>
      </c>
      <c r="AC6" s="42">
        <v>1119.7090000000001</v>
      </c>
      <c r="AD6" s="42">
        <v>1488.027</v>
      </c>
      <c r="AE6" s="42">
        <v>416.47199999999998</v>
      </c>
      <c r="AF6" s="42">
        <v>859.18299999999999</v>
      </c>
      <c r="AG6" s="42">
        <v>1284.4839999999999</v>
      </c>
      <c r="AI6" s="42">
        <f>F6</f>
        <v>0</v>
      </c>
      <c r="AJ6" s="42">
        <f>J6</f>
        <v>155.35900000000001</v>
      </c>
      <c r="AK6" s="42">
        <f>N6</f>
        <v>683.50400000000002</v>
      </c>
      <c r="AL6" s="42">
        <f>R6</f>
        <v>1217.623</v>
      </c>
      <c r="AM6" s="42">
        <f>V6</f>
        <v>1912.54</v>
      </c>
      <c r="AN6" s="42">
        <f>Z6</f>
        <v>1774.691</v>
      </c>
      <c r="AO6" s="42">
        <f>AD6</f>
        <v>1488.027</v>
      </c>
      <c r="AP6" s="6"/>
      <c r="AQ6" s="6"/>
    </row>
    <row r="7" spans="1:43" s="69" customFormat="1" ht="14.25" hidden="1" customHeight="1" outlineLevel="1" x14ac:dyDescent="0.35">
      <c r="A7" s="100"/>
      <c r="B7" s="56" t="s">
        <v>113</v>
      </c>
      <c r="C7" s="56"/>
      <c r="D7" s="56"/>
      <c r="E7" s="56"/>
      <c r="F7" s="56"/>
      <c r="G7" s="56"/>
      <c r="H7" s="56"/>
      <c r="I7" s="56"/>
      <c r="J7" s="28">
        <f t="shared" ref="J7" si="0">SUM(J8:J18)</f>
        <v>75.568000000000012</v>
      </c>
      <c r="K7" s="28">
        <f>SUM(K8:K18)</f>
        <v>31.914162156122</v>
      </c>
      <c r="L7" s="28">
        <f t="shared" ref="L7:AC7" si="1">SUM(L8:L18)</f>
        <v>50.422904755449927</v>
      </c>
      <c r="M7" s="28">
        <f t="shared" si="1"/>
        <v>74.649596060862976</v>
      </c>
      <c r="N7" s="28">
        <f t="shared" si="1"/>
        <v>103.62299999999999</v>
      </c>
      <c r="O7" s="28">
        <f t="shared" si="1"/>
        <v>162.06103054444048</v>
      </c>
      <c r="P7" s="28">
        <f t="shared" si="1"/>
        <v>231.78791153412897</v>
      </c>
      <c r="Q7" s="28">
        <f t="shared" si="1"/>
        <v>364.00635434641555</v>
      </c>
      <c r="R7" s="28">
        <f t="shared" si="1"/>
        <v>454.84868705999997</v>
      </c>
      <c r="S7" s="28">
        <f t="shared" si="1"/>
        <v>72.466999999999999</v>
      </c>
      <c r="T7" s="28">
        <f t="shared" si="1"/>
        <v>188.92008029699954</v>
      </c>
      <c r="U7" s="28">
        <f t="shared" si="1"/>
        <v>210.31441830046992</v>
      </c>
      <c r="V7" s="28">
        <f t="shared" si="1"/>
        <v>325.21463534097563</v>
      </c>
      <c r="W7" s="28">
        <f t="shared" si="1"/>
        <v>142.99384669991542</v>
      </c>
      <c r="X7" s="28">
        <f t="shared" si="1"/>
        <v>311.42940438423972</v>
      </c>
      <c r="Y7" s="28">
        <f t="shared" si="1"/>
        <v>433.34543469179323</v>
      </c>
      <c r="Z7" s="28">
        <f t="shared" si="1"/>
        <v>728.13162172171917</v>
      </c>
      <c r="AA7" s="28">
        <f t="shared" si="1"/>
        <v>400.79325538059851</v>
      </c>
      <c r="AB7" s="28">
        <f t="shared" si="1"/>
        <v>879.36124861481517</v>
      </c>
      <c r="AC7" s="28">
        <f t="shared" si="1"/>
        <v>1416.5792316976319</v>
      </c>
      <c r="AD7" s="28">
        <f t="shared" ref="AD7:AI7" si="2">SUM(AD8:AD18)</f>
        <v>2193.3571027075805</v>
      </c>
      <c r="AE7" s="28">
        <f t="shared" si="2"/>
        <v>756.40655175113409</v>
      </c>
      <c r="AF7" s="28">
        <f t="shared" ref="AF7" si="3">SUM(AF8:AF18)</f>
        <v>1788.1358105440463</v>
      </c>
      <c r="AG7" s="28">
        <v>3025.9040000000005</v>
      </c>
      <c r="AI7" s="28">
        <f t="shared" si="2"/>
        <v>0</v>
      </c>
      <c r="AJ7" s="28">
        <f t="shared" ref="AJ7:AO7" si="4">SUM(AJ8:AJ18)</f>
        <v>75.568000000000012</v>
      </c>
      <c r="AK7" s="28">
        <f t="shared" si="4"/>
        <v>103.62299999999999</v>
      </c>
      <c r="AL7" s="28">
        <f t="shared" si="4"/>
        <v>454.84868705999997</v>
      </c>
      <c r="AM7" s="28">
        <f t="shared" si="4"/>
        <v>325.21463534097563</v>
      </c>
      <c r="AN7" s="28">
        <f t="shared" si="4"/>
        <v>728.13162172171917</v>
      </c>
      <c r="AO7" s="28">
        <f t="shared" si="4"/>
        <v>2193.3571027075805</v>
      </c>
      <c r="AP7" s="6"/>
      <c r="AQ7" s="6"/>
    </row>
    <row r="8" spans="1:43" s="69" customFormat="1" ht="14.25" hidden="1" customHeight="1" outlineLevel="1" x14ac:dyDescent="0.35">
      <c r="A8" s="99"/>
      <c r="B8" s="57" t="s">
        <v>71</v>
      </c>
      <c r="C8" s="57"/>
      <c r="D8" s="57"/>
      <c r="E8" s="57"/>
      <c r="F8" s="57"/>
      <c r="G8" s="57"/>
      <c r="H8" s="57"/>
      <c r="I8" s="57"/>
      <c r="J8" s="23">
        <v>31.245999999999999</v>
      </c>
      <c r="K8" s="23">
        <v>10.762454746122001</v>
      </c>
      <c r="L8" s="23">
        <v>22.672967885449932</v>
      </c>
      <c r="M8" s="23">
        <v>36.165493660862992</v>
      </c>
      <c r="N8" s="23">
        <v>51.570999999999998</v>
      </c>
      <c r="O8" s="23">
        <v>18.007200776277998</v>
      </c>
      <c r="P8" s="23">
        <v>38.547859891374003</v>
      </c>
      <c r="Q8" s="23">
        <v>62.473623598780371</v>
      </c>
      <c r="R8" s="23">
        <v>95.363</v>
      </c>
      <c r="S8" s="23">
        <v>26.420999999999999</v>
      </c>
      <c r="T8" s="23">
        <v>48.134999999999998</v>
      </c>
      <c r="U8" s="23">
        <v>82.207942510469806</v>
      </c>
      <c r="V8" s="23">
        <v>128.34789706097561</v>
      </c>
      <c r="W8" s="23">
        <v>59.5938835459594</v>
      </c>
      <c r="X8" s="23">
        <v>140.98539404423968</v>
      </c>
      <c r="Y8" s="23">
        <v>242.51337465237799</v>
      </c>
      <c r="Z8" s="23">
        <v>376.33515681748304</v>
      </c>
      <c r="AA8" s="23">
        <v>158.30187700049461</v>
      </c>
      <c r="AB8" s="23">
        <v>339.82606899000001</v>
      </c>
      <c r="AC8" s="23">
        <v>543.12599999999998</v>
      </c>
      <c r="AD8" s="23">
        <v>768.59299999999996</v>
      </c>
      <c r="AE8" s="23">
        <v>249.02193445682451</v>
      </c>
      <c r="AF8" s="23">
        <v>529.58779357165406</v>
      </c>
      <c r="AG8" s="23">
        <v>824.00400000000002</v>
      </c>
      <c r="AI8" s="23">
        <f t="shared" ref="AI8:AI18" si="5">F8</f>
        <v>0</v>
      </c>
      <c r="AJ8" s="23">
        <f t="shared" ref="AJ8:AJ18" si="6">J8</f>
        <v>31.245999999999999</v>
      </c>
      <c r="AK8" s="23">
        <f t="shared" ref="AK8:AK18" si="7">N8</f>
        <v>51.570999999999998</v>
      </c>
      <c r="AL8" s="23">
        <f t="shared" ref="AL8:AL18" si="8">R8</f>
        <v>95.363</v>
      </c>
      <c r="AM8" s="23">
        <f t="shared" ref="AM8:AM18" si="9">V8</f>
        <v>128.34789706097561</v>
      </c>
      <c r="AN8" s="23">
        <f t="shared" ref="AN8:AN18" si="10">Z8</f>
        <v>376.33515681748304</v>
      </c>
      <c r="AO8" s="23">
        <f t="shared" ref="AO8:AO18" si="11">AD8</f>
        <v>768.59299999999996</v>
      </c>
      <c r="AP8" s="6"/>
      <c r="AQ8" s="6"/>
    </row>
    <row r="9" spans="1:43" s="69" customFormat="1" ht="14.25" hidden="1" customHeight="1" outlineLevel="1" x14ac:dyDescent="0.35">
      <c r="A9" s="99"/>
      <c r="B9" s="57" t="s">
        <v>66</v>
      </c>
      <c r="C9" s="57"/>
      <c r="D9" s="57"/>
      <c r="E9" s="57"/>
      <c r="F9" s="57"/>
      <c r="G9" s="57"/>
      <c r="H9" s="57"/>
      <c r="I9" s="57"/>
      <c r="J9" s="23">
        <v>31.556999999999999</v>
      </c>
      <c r="K9" s="23">
        <v>17.434000000000001</v>
      </c>
      <c r="L9" s="23">
        <v>25.283632439999998</v>
      </c>
      <c r="M9" s="23">
        <v>35.428522559999998</v>
      </c>
      <c r="N9" s="23">
        <v>47.853999999999999</v>
      </c>
      <c r="O9" s="23">
        <v>14.43797298</v>
      </c>
      <c r="P9" s="23">
        <v>28.145748309999995</v>
      </c>
      <c r="Q9" s="23">
        <v>50.397086090000002</v>
      </c>
      <c r="R9" s="23">
        <v>71.491</v>
      </c>
      <c r="S9" s="23">
        <v>32.835000000000001</v>
      </c>
      <c r="T9" s="23">
        <v>74.483000000000004</v>
      </c>
      <c r="U9" s="23">
        <v>136.74064914000002</v>
      </c>
      <c r="V9" s="23">
        <v>200.63340344</v>
      </c>
      <c r="W9" s="23">
        <v>70.171495870000001</v>
      </c>
      <c r="X9" s="23">
        <v>130.49592222999999</v>
      </c>
      <c r="Y9" s="23">
        <v>0</v>
      </c>
      <c r="Z9" s="23">
        <v>288.30903783999997</v>
      </c>
      <c r="AA9" s="23">
        <v>173.13273331999997</v>
      </c>
      <c r="AB9" s="23">
        <v>320.15991940999999</v>
      </c>
      <c r="AC9" s="23">
        <v>450.05099999999999</v>
      </c>
      <c r="AD9" s="23">
        <v>664.26797418000001</v>
      </c>
      <c r="AE9" s="23">
        <v>249.71464084000002</v>
      </c>
      <c r="AF9" s="23">
        <v>520.19846679791999</v>
      </c>
      <c r="AG9" s="23">
        <v>792.95</v>
      </c>
      <c r="AI9" s="23">
        <f t="shared" si="5"/>
        <v>0</v>
      </c>
      <c r="AJ9" s="23">
        <f t="shared" si="6"/>
        <v>31.556999999999999</v>
      </c>
      <c r="AK9" s="23">
        <f t="shared" si="7"/>
        <v>47.853999999999999</v>
      </c>
      <c r="AL9" s="23">
        <f t="shared" si="8"/>
        <v>71.491</v>
      </c>
      <c r="AM9" s="23">
        <f t="shared" si="9"/>
        <v>200.63340344</v>
      </c>
      <c r="AN9" s="23">
        <f t="shared" si="10"/>
        <v>288.30903783999997</v>
      </c>
      <c r="AO9" s="23">
        <f t="shared" si="11"/>
        <v>664.26797418000001</v>
      </c>
      <c r="AP9" s="6"/>
      <c r="AQ9" s="6"/>
    </row>
    <row r="10" spans="1:43" s="69" customFormat="1" ht="14.25" hidden="1" customHeight="1" outlineLevel="1" x14ac:dyDescent="0.35">
      <c r="A10" s="100"/>
      <c r="B10" s="57" t="s">
        <v>73</v>
      </c>
      <c r="C10" s="57"/>
      <c r="D10" s="57"/>
      <c r="E10" s="57"/>
      <c r="F10" s="57"/>
      <c r="G10" s="57"/>
      <c r="H10" s="57"/>
      <c r="I10" s="57"/>
      <c r="J10" s="23">
        <v>0.60299999999999998</v>
      </c>
      <c r="K10" s="23">
        <v>0.27200000000000002</v>
      </c>
      <c r="L10" s="23">
        <v>0.56759058000000018</v>
      </c>
      <c r="M10" s="23">
        <v>0.7456421700000001</v>
      </c>
      <c r="N10" s="23">
        <v>3.5379999999999998</v>
      </c>
      <c r="O10" s="23">
        <v>0.72538015999999994</v>
      </c>
      <c r="P10" s="23">
        <v>1.1348092166960007</v>
      </c>
      <c r="Q10" s="23">
        <v>2.6580350266960004</v>
      </c>
      <c r="R10" s="23">
        <v>3.7450000000000001</v>
      </c>
      <c r="S10" s="23">
        <v>0.60899999999999999</v>
      </c>
      <c r="T10" s="23">
        <v>0.8482483999999999</v>
      </c>
      <c r="U10" s="23">
        <v>0.84573000000000043</v>
      </c>
      <c r="V10" s="23">
        <v>8.2267600000000005</v>
      </c>
      <c r="W10" s="23">
        <v>4.3835901039560508</v>
      </c>
      <c r="X10" s="23">
        <v>5.1402929200000003</v>
      </c>
      <c r="Y10" s="23">
        <v>212.96927056999999</v>
      </c>
      <c r="Z10" s="23">
        <v>6.4088777599999958</v>
      </c>
      <c r="AA10" s="23">
        <v>5.3573453100000004</v>
      </c>
      <c r="AB10" s="23">
        <v>12.575087169999996</v>
      </c>
      <c r="AC10" s="23">
        <v>19.910589000000002</v>
      </c>
      <c r="AD10" s="23">
        <v>25.938438689999995</v>
      </c>
      <c r="AE10" s="23">
        <v>5.9284864099999997</v>
      </c>
      <c r="AF10" s="23">
        <v>10.522358629999992</v>
      </c>
      <c r="AG10" s="23">
        <v>27.969000000000001</v>
      </c>
      <c r="AI10" s="23">
        <f t="shared" si="5"/>
        <v>0</v>
      </c>
      <c r="AJ10" s="23">
        <f t="shared" si="6"/>
        <v>0.60299999999999998</v>
      </c>
      <c r="AK10" s="23">
        <f t="shared" si="7"/>
        <v>3.5379999999999998</v>
      </c>
      <c r="AL10" s="23">
        <f t="shared" si="8"/>
        <v>3.7450000000000001</v>
      </c>
      <c r="AM10" s="23">
        <f t="shared" si="9"/>
        <v>8.2267600000000005</v>
      </c>
      <c r="AN10" s="23">
        <f t="shared" si="10"/>
        <v>6.4088777599999958</v>
      </c>
      <c r="AO10" s="23">
        <f t="shared" si="11"/>
        <v>25.938438689999995</v>
      </c>
      <c r="AP10" s="6"/>
      <c r="AQ10" s="6"/>
    </row>
    <row r="11" spans="1:43" s="69" customFormat="1" ht="14.25" hidden="1" customHeight="1" outlineLevel="1" x14ac:dyDescent="0.35">
      <c r="A11" s="99"/>
      <c r="B11" s="57" t="s">
        <v>114</v>
      </c>
      <c r="C11" s="57"/>
      <c r="D11" s="57"/>
      <c r="E11" s="57"/>
      <c r="F11" s="57"/>
      <c r="G11" s="57"/>
      <c r="H11" s="57"/>
      <c r="I11" s="57"/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1.9705913099999994</v>
      </c>
      <c r="Z11" s="23">
        <v>-84.294394579999988</v>
      </c>
      <c r="AA11" s="23">
        <v>-29.114254320000001</v>
      </c>
      <c r="AB11" s="23">
        <v>-29.114254320000001</v>
      </c>
      <c r="AC11" s="23">
        <v>-29.114254320000001</v>
      </c>
      <c r="AD11" s="23">
        <v>-4.6382543199999997</v>
      </c>
      <c r="AE11" s="23">
        <v>0</v>
      </c>
      <c r="AF11" s="23">
        <v>0</v>
      </c>
      <c r="AG11" s="23">
        <v>0</v>
      </c>
      <c r="AI11" s="23">
        <f t="shared" si="5"/>
        <v>0</v>
      </c>
      <c r="AJ11" s="23">
        <f t="shared" si="6"/>
        <v>0</v>
      </c>
      <c r="AK11" s="23">
        <f t="shared" si="7"/>
        <v>0</v>
      </c>
      <c r="AL11" s="23">
        <f t="shared" si="8"/>
        <v>0</v>
      </c>
      <c r="AM11" s="23">
        <f t="shared" si="9"/>
        <v>0</v>
      </c>
      <c r="AN11" s="23">
        <f t="shared" si="10"/>
        <v>-84.294394579999988</v>
      </c>
      <c r="AO11" s="23">
        <f t="shared" si="11"/>
        <v>-4.6382543199999997</v>
      </c>
      <c r="AP11" s="6"/>
      <c r="AQ11" s="6"/>
    </row>
    <row r="12" spans="1:43" s="69" customFormat="1" ht="14.25" hidden="1" customHeight="1" outlineLevel="1" x14ac:dyDescent="0.35">
      <c r="A12" s="99"/>
      <c r="B12" s="57" t="s">
        <v>74</v>
      </c>
      <c r="C12" s="57"/>
      <c r="D12" s="57"/>
      <c r="E12" s="57"/>
      <c r="F12" s="57"/>
      <c r="G12" s="57"/>
      <c r="H12" s="57"/>
      <c r="I12" s="57"/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130.30283365816251</v>
      </c>
      <c r="P12" s="23">
        <v>162.40999552605896</v>
      </c>
      <c r="Q12" s="23">
        <v>245.06609154093917</v>
      </c>
      <c r="R12" s="23">
        <v>264.17899999999997</v>
      </c>
      <c r="S12" s="23">
        <v>16.263000000000002</v>
      </c>
      <c r="T12" s="23">
        <v>27.753600158006474</v>
      </c>
      <c r="U12" s="23">
        <v>72.098773840000064</v>
      </c>
      <c r="V12" s="23">
        <v>93.368903169999939</v>
      </c>
      <c r="W12" s="23">
        <v>11.952583599999999</v>
      </c>
      <c r="X12" s="23">
        <v>30.333143890000002</v>
      </c>
      <c r="Y12" s="23">
        <v>-84.294394579999988</v>
      </c>
      <c r="Z12" s="23">
        <v>122.86990054423624</v>
      </c>
      <c r="AA12" s="23">
        <v>79.67055407010389</v>
      </c>
      <c r="AB12" s="23">
        <v>185.42542736481522</v>
      </c>
      <c r="AC12" s="23">
        <v>326.28227626765363</v>
      </c>
      <c r="AD12" s="23">
        <v>370.62897799689694</v>
      </c>
      <c r="AE12" s="23">
        <v>35.998966519999996</v>
      </c>
      <c r="AF12" s="23">
        <v>76.146771619999996</v>
      </c>
      <c r="AG12" s="23">
        <v>113.307</v>
      </c>
      <c r="AI12" s="23">
        <f t="shared" si="5"/>
        <v>0</v>
      </c>
      <c r="AJ12" s="23">
        <f t="shared" si="6"/>
        <v>0</v>
      </c>
      <c r="AK12" s="23">
        <f t="shared" si="7"/>
        <v>0</v>
      </c>
      <c r="AL12" s="23">
        <f t="shared" si="8"/>
        <v>264.17899999999997</v>
      </c>
      <c r="AM12" s="23">
        <f t="shared" si="9"/>
        <v>93.368903169999939</v>
      </c>
      <c r="AN12" s="23">
        <f t="shared" si="10"/>
        <v>122.86990054423624</v>
      </c>
      <c r="AO12" s="23">
        <f t="shared" si="11"/>
        <v>370.62897799689694</v>
      </c>
      <c r="AP12" s="6"/>
      <c r="AQ12" s="6"/>
    </row>
    <row r="13" spans="1:43" s="69" customFormat="1" ht="14.25" hidden="1" customHeight="1" outlineLevel="1" x14ac:dyDescent="0.35">
      <c r="A13" s="100"/>
      <c r="B13" s="57" t="s">
        <v>98</v>
      </c>
      <c r="C13" s="57"/>
      <c r="D13" s="57"/>
      <c r="E13" s="57"/>
      <c r="F13" s="57"/>
      <c r="G13" s="57"/>
      <c r="H13" s="57"/>
      <c r="I13" s="57"/>
      <c r="J13" s="23">
        <v>6.6130000000000004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47.499246579415214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I13" s="23">
        <f t="shared" si="5"/>
        <v>0</v>
      </c>
      <c r="AJ13" s="23">
        <f t="shared" si="6"/>
        <v>6.6130000000000004</v>
      </c>
      <c r="AK13" s="23">
        <f t="shared" si="7"/>
        <v>0</v>
      </c>
      <c r="AL13" s="23">
        <f t="shared" si="8"/>
        <v>0</v>
      </c>
      <c r="AM13" s="23">
        <f t="shared" si="9"/>
        <v>0</v>
      </c>
      <c r="AN13" s="23">
        <f t="shared" si="10"/>
        <v>0</v>
      </c>
      <c r="AO13" s="23">
        <f t="shared" si="11"/>
        <v>0</v>
      </c>
      <c r="AP13" s="6"/>
      <c r="AQ13" s="6"/>
    </row>
    <row r="14" spans="1:43" s="69" customFormat="1" ht="14.25" hidden="1" customHeight="1" outlineLevel="1" x14ac:dyDescent="0.35">
      <c r="A14" s="99"/>
      <c r="B14" s="57" t="s">
        <v>75</v>
      </c>
      <c r="C14" s="57"/>
      <c r="D14" s="57"/>
      <c r="E14" s="57"/>
      <c r="F14" s="57"/>
      <c r="G14" s="57"/>
      <c r="H14" s="57"/>
      <c r="I14" s="57"/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I14" s="23">
        <f t="shared" si="5"/>
        <v>0</v>
      </c>
      <c r="AJ14" s="23">
        <f t="shared" si="6"/>
        <v>0</v>
      </c>
      <c r="AK14" s="23">
        <f t="shared" si="7"/>
        <v>0</v>
      </c>
      <c r="AL14" s="23">
        <f t="shared" si="8"/>
        <v>0</v>
      </c>
      <c r="AM14" s="23">
        <f t="shared" si="9"/>
        <v>0</v>
      </c>
      <c r="AN14" s="23">
        <f t="shared" si="10"/>
        <v>0</v>
      </c>
      <c r="AO14" s="23">
        <f t="shared" si="11"/>
        <v>0</v>
      </c>
      <c r="AP14" s="6"/>
      <c r="AQ14" s="6"/>
    </row>
    <row r="15" spans="1:43" s="69" customFormat="1" ht="14.25" hidden="1" customHeight="1" outlineLevel="1" x14ac:dyDescent="0.35">
      <c r="A15" s="99"/>
      <c r="B15" s="57" t="s">
        <v>147</v>
      </c>
      <c r="C15" s="57"/>
      <c r="D15" s="57"/>
      <c r="E15" s="57"/>
      <c r="F15" s="57"/>
      <c r="G15" s="57"/>
      <c r="H15" s="57"/>
      <c r="I15" s="57"/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4.6449999999999996</v>
      </c>
      <c r="AB15" s="23">
        <v>12.206</v>
      </c>
      <c r="AC15" s="23">
        <v>20.443999999999999</v>
      </c>
      <c r="AD15" s="23">
        <v>28.393000000000001</v>
      </c>
      <c r="AE15" s="23">
        <v>2.3450000000000002</v>
      </c>
      <c r="AF15" s="23">
        <v>104.958</v>
      </c>
      <c r="AG15" s="23">
        <v>189.30799999999999</v>
      </c>
      <c r="AI15" s="23">
        <f t="shared" si="5"/>
        <v>0</v>
      </c>
      <c r="AJ15" s="23">
        <f t="shared" si="6"/>
        <v>0</v>
      </c>
      <c r="AK15" s="23">
        <f t="shared" si="7"/>
        <v>0</v>
      </c>
      <c r="AL15" s="23">
        <f t="shared" si="8"/>
        <v>0</v>
      </c>
      <c r="AM15" s="23">
        <f t="shared" si="9"/>
        <v>0</v>
      </c>
      <c r="AN15" s="23">
        <f t="shared" si="10"/>
        <v>0</v>
      </c>
      <c r="AO15" s="23">
        <f t="shared" si="11"/>
        <v>28.393000000000001</v>
      </c>
      <c r="AP15" s="6"/>
      <c r="AQ15" s="6"/>
    </row>
    <row r="16" spans="1:43" s="69" customFormat="1" ht="14.25" hidden="1" customHeight="1" outlineLevel="1" x14ac:dyDescent="0.35">
      <c r="A16" s="99"/>
      <c r="B16" s="57" t="s">
        <v>175</v>
      </c>
      <c r="C16" s="57"/>
      <c r="D16" s="57"/>
      <c r="E16" s="57"/>
      <c r="F16" s="57"/>
      <c r="G16" s="57"/>
      <c r="H16" s="57"/>
      <c r="I16" s="57"/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5.9520655699999994</v>
      </c>
      <c r="AE16" s="23">
        <v>0</v>
      </c>
      <c r="AF16" s="23">
        <v>0</v>
      </c>
      <c r="AG16" s="23">
        <v>0</v>
      </c>
      <c r="AI16" s="23">
        <f t="shared" si="5"/>
        <v>0</v>
      </c>
      <c r="AJ16" s="23">
        <f t="shared" si="6"/>
        <v>0</v>
      </c>
      <c r="AK16" s="23">
        <f t="shared" si="7"/>
        <v>0</v>
      </c>
      <c r="AL16" s="23">
        <f t="shared" si="8"/>
        <v>0</v>
      </c>
      <c r="AM16" s="23">
        <f t="shared" si="9"/>
        <v>0</v>
      </c>
      <c r="AN16" s="23">
        <f t="shared" si="10"/>
        <v>0</v>
      </c>
      <c r="AO16" s="23">
        <f t="shared" si="11"/>
        <v>5.9520655699999994</v>
      </c>
      <c r="AP16" s="6"/>
      <c r="AQ16" s="6"/>
    </row>
    <row r="17" spans="1:43" s="69" customFormat="1" ht="14.25" hidden="1" customHeight="1" outlineLevel="1" x14ac:dyDescent="0.35">
      <c r="A17" s="99"/>
      <c r="B17" s="57" t="s">
        <v>156</v>
      </c>
      <c r="C17" s="57"/>
      <c r="D17" s="57"/>
      <c r="E17" s="57"/>
      <c r="F17" s="57"/>
      <c r="G17" s="57"/>
      <c r="H17" s="57"/>
      <c r="I17" s="57"/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12.6</v>
      </c>
      <c r="AB17" s="23">
        <v>43.08</v>
      </c>
      <c r="AC17" s="23">
        <v>84.400045380000009</v>
      </c>
      <c r="AD17" s="23">
        <v>230.55522414000004</v>
      </c>
      <c r="AE17" s="23">
        <v>218.08154686</v>
      </c>
      <c r="AF17" s="23">
        <v>554.43777797999985</v>
      </c>
      <c r="AG17" s="23">
        <v>1063.441</v>
      </c>
      <c r="AI17" s="23">
        <f t="shared" si="5"/>
        <v>0</v>
      </c>
      <c r="AJ17" s="23">
        <f t="shared" si="6"/>
        <v>0</v>
      </c>
      <c r="AK17" s="23">
        <f t="shared" si="7"/>
        <v>0</v>
      </c>
      <c r="AL17" s="23">
        <f t="shared" si="8"/>
        <v>0</v>
      </c>
      <c r="AM17" s="23">
        <f t="shared" si="9"/>
        <v>0</v>
      </c>
      <c r="AN17" s="23">
        <f t="shared" si="10"/>
        <v>0</v>
      </c>
      <c r="AO17" s="23">
        <f t="shared" si="11"/>
        <v>230.55522414000004</v>
      </c>
      <c r="AP17" s="6"/>
      <c r="AQ17" s="6"/>
    </row>
    <row r="18" spans="1:43" s="69" customFormat="1" ht="14.25" hidden="1" customHeight="1" outlineLevel="1" x14ac:dyDescent="0.35">
      <c r="A18" s="100"/>
      <c r="B18" s="57" t="s">
        <v>76</v>
      </c>
      <c r="C18" s="57"/>
      <c r="D18" s="57"/>
      <c r="E18" s="57"/>
      <c r="F18" s="57"/>
      <c r="G18" s="57"/>
      <c r="H18" s="57"/>
      <c r="I18" s="57"/>
      <c r="J18" s="23">
        <v>5.5490000000000004</v>
      </c>
      <c r="K18" s="23">
        <v>3.4457074099999998</v>
      </c>
      <c r="L18" s="23">
        <v>1.8987138499999998</v>
      </c>
      <c r="M18" s="23">
        <v>2.3099376699999996</v>
      </c>
      <c r="N18" s="23">
        <v>0.66</v>
      </c>
      <c r="O18" s="23">
        <v>-1.4123570299999997</v>
      </c>
      <c r="P18" s="23">
        <v>1.5494985899999993</v>
      </c>
      <c r="Q18" s="23">
        <v>3.4115180900000004</v>
      </c>
      <c r="R18" s="23">
        <v>20.070687059999997</v>
      </c>
      <c r="S18" s="23">
        <v>-3.661</v>
      </c>
      <c r="T18" s="23">
        <v>37.700231738993075</v>
      </c>
      <c r="U18" s="23">
        <v>-81.578677189999993</v>
      </c>
      <c r="V18" s="23">
        <v>-105.36232833</v>
      </c>
      <c r="W18" s="23">
        <v>-3.1077064200000022</v>
      </c>
      <c r="X18" s="23">
        <v>4.4746513000000814</v>
      </c>
      <c r="Y18" s="23">
        <v>12.687346160000018</v>
      </c>
      <c r="Z18" s="23">
        <v>18.503043339999973</v>
      </c>
      <c r="AA18" s="23">
        <v>-3.8</v>
      </c>
      <c r="AB18" s="23">
        <v>-4.7969999999999997</v>
      </c>
      <c r="AC18" s="23">
        <v>1.4795753699783971</v>
      </c>
      <c r="AD18" s="23">
        <v>103.66667645068358</v>
      </c>
      <c r="AE18" s="23">
        <v>-4.6840233356903962</v>
      </c>
      <c r="AF18" s="23">
        <v>-7.715358055527795</v>
      </c>
      <c r="AG18" s="23">
        <v>14.925000000000001</v>
      </c>
      <c r="AI18" s="23">
        <f t="shared" si="5"/>
        <v>0</v>
      </c>
      <c r="AJ18" s="23">
        <f t="shared" si="6"/>
        <v>5.5490000000000004</v>
      </c>
      <c r="AK18" s="23">
        <f t="shared" si="7"/>
        <v>0.66</v>
      </c>
      <c r="AL18" s="23">
        <f t="shared" si="8"/>
        <v>20.070687059999997</v>
      </c>
      <c r="AM18" s="23">
        <f t="shared" si="9"/>
        <v>-105.36232833</v>
      </c>
      <c r="AN18" s="23">
        <f t="shared" si="10"/>
        <v>18.503043339999973</v>
      </c>
      <c r="AO18" s="23">
        <f t="shared" si="11"/>
        <v>103.66667645068358</v>
      </c>
      <c r="AP18" s="6"/>
      <c r="AQ18" s="6"/>
    </row>
    <row r="19" spans="1:43" s="69" customFormat="1" ht="14.25" hidden="1" customHeight="1" outlineLevel="1" x14ac:dyDescent="0.35">
      <c r="A19" s="99"/>
      <c r="B19" s="56" t="s">
        <v>91</v>
      </c>
      <c r="C19" s="56"/>
      <c r="D19" s="56"/>
      <c r="E19" s="56"/>
      <c r="F19" s="56"/>
      <c r="G19" s="56"/>
      <c r="H19" s="56"/>
      <c r="I19" s="56"/>
      <c r="J19" s="28">
        <f t="shared" ref="J19" si="12">SUM(J20:J34)</f>
        <v>-282.22499999999997</v>
      </c>
      <c r="K19" s="28">
        <f>SUM(K20:K34)</f>
        <v>-113.21100000000001</v>
      </c>
      <c r="L19" s="28">
        <f t="shared" ref="L19:AC19" si="13">SUM(L20:L34)</f>
        <v>-265.77568136116327</v>
      </c>
      <c r="M19" s="28">
        <f t="shared" si="13"/>
        <v>-382.23724497748071</v>
      </c>
      <c r="N19" s="28">
        <f t="shared" si="13"/>
        <v>-372.55199999999985</v>
      </c>
      <c r="O19" s="28">
        <f t="shared" si="13"/>
        <v>-1378.1334165681985</v>
      </c>
      <c r="P19" s="28">
        <f t="shared" si="13"/>
        <v>-2616.642049988508</v>
      </c>
      <c r="Q19" s="28">
        <f t="shared" si="13"/>
        <v>-3442.2867189170474</v>
      </c>
      <c r="R19" s="28">
        <f t="shared" si="13"/>
        <v>-3626.6864372584619</v>
      </c>
      <c r="S19" s="28">
        <f t="shared" si="13"/>
        <v>-817.30399999999997</v>
      </c>
      <c r="T19" s="28">
        <f t="shared" si="13"/>
        <v>-1633.8048056697639</v>
      </c>
      <c r="U19" s="28">
        <f t="shared" si="13"/>
        <v>-2145.4975206450404</v>
      </c>
      <c r="V19" s="28">
        <f t="shared" si="13"/>
        <v>-2192.5025924556489</v>
      </c>
      <c r="W19" s="28">
        <f t="shared" si="13"/>
        <v>317.63462092488959</v>
      </c>
      <c r="X19" s="28">
        <f t="shared" si="13"/>
        <v>-164.66954674567177</v>
      </c>
      <c r="Y19" s="28">
        <f t="shared" si="13"/>
        <v>-948.08645804067521</v>
      </c>
      <c r="Z19" s="28">
        <f t="shared" si="13"/>
        <v>-570.49506271657663</v>
      </c>
      <c r="AA19" s="28">
        <f t="shared" si="13"/>
        <v>-866.74522996349162</v>
      </c>
      <c r="AB19" s="28">
        <f t="shared" si="13"/>
        <v>-1378.9380972933486</v>
      </c>
      <c r="AC19" s="28">
        <f t="shared" si="13"/>
        <v>-2256.7600082295612</v>
      </c>
      <c r="AD19" s="28">
        <f t="shared" ref="AD19:AI19" si="14">SUM(AD20:AD34)</f>
        <v>-3775.045362159708</v>
      </c>
      <c r="AE19" s="28">
        <f t="shared" si="14"/>
        <v>-1523.3211978946367</v>
      </c>
      <c r="AF19" s="28">
        <f t="shared" ref="AF19:AG19" si="15">SUM(AF20:AF34)</f>
        <v>-3612.7675233890691</v>
      </c>
      <c r="AG19" s="28">
        <f t="shared" si="15"/>
        <v>-5160.3939999999993</v>
      </c>
      <c r="AI19" s="28">
        <f t="shared" si="14"/>
        <v>0</v>
      </c>
      <c r="AJ19" s="28">
        <f t="shared" ref="AJ19:AO19" si="16">SUM(AJ20:AJ34)</f>
        <v>-282.22499999999997</v>
      </c>
      <c r="AK19" s="28">
        <f t="shared" si="16"/>
        <v>-372.55199999999985</v>
      </c>
      <c r="AL19" s="28">
        <f t="shared" si="16"/>
        <v>-3626.6864372584619</v>
      </c>
      <c r="AM19" s="28">
        <f t="shared" si="16"/>
        <v>-2192.5025924556489</v>
      </c>
      <c r="AN19" s="28">
        <f t="shared" si="16"/>
        <v>-570.49506271657663</v>
      </c>
      <c r="AO19" s="28">
        <f t="shared" si="16"/>
        <v>-3775.045362159708</v>
      </c>
      <c r="AP19" s="6"/>
      <c r="AQ19" s="6"/>
    </row>
    <row r="20" spans="1:43" s="69" customFormat="1" ht="14.25" hidden="1" customHeight="1" outlineLevel="1" x14ac:dyDescent="0.35">
      <c r="A20" s="99"/>
      <c r="B20" s="57" t="s">
        <v>140</v>
      </c>
      <c r="C20" s="57"/>
      <c r="D20" s="57"/>
      <c r="E20" s="57"/>
      <c r="F20" s="57"/>
      <c r="G20" s="57"/>
      <c r="H20" s="57"/>
      <c r="I20" s="57"/>
      <c r="J20" s="23">
        <v>-783.95399999999995</v>
      </c>
      <c r="K20" s="23">
        <v>-229.126</v>
      </c>
      <c r="L20" s="23">
        <v>-779.20221163592157</v>
      </c>
      <c r="M20" s="23">
        <v>-1457.4808814726016</v>
      </c>
      <c r="N20" s="23">
        <v>-2066.8670000000002</v>
      </c>
      <c r="O20" s="23">
        <v>-1449.2139683127575</v>
      </c>
      <c r="P20" s="23">
        <v>-2838.067389187403</v>
      </c>
      <c r="Q20" s="23">
        <v>-4281.8493201283964</v>
      </c>
      <c r="R20" s="23">
        <v>-5048.4639999999999</v>
      </c>
      <c r="S20" s="23">
        <v>-904.88099999999997</v>
      </c>
      <c r="T20" s="23">
        <v>-1979.92</v>
      </c>
      <c r="U20" s="23">
        <v>-2322.9545779534851</v>
      </c>
      <c r="V20" s="23">
        <v>-3125.5373803097582</v>
      </c>
      <c r="W20" s="23">
        <v>1047.3826861558393</v>
      </c>
      <c r="X20" s="23">
        <v>-646.28926441228441</v>
      </c>
      <c r="Y20" s="23">
        <v>-3446.6578645899485</v>
      </c>
      <c r="Z20" s="23">
        <v>-5586.9194353430048</v>
      </c>
      <c r="AA20" s="23">
        <v>-78.299848010375769</v>
      </c>
      <c r="AB20" s="23">
        <v>-2196.8759717469261</v>
      </c>
      <c r="AC20" s="23">
        <v>-5194.1076591251203</v>
      </c>
      <c r="AD20" s="23">
        <v>-9303.0595236520876</v>
      </c>
      <c r="AE20" s="23">
        <v>-3181.3790105818498</v>
      </c>
      <c r="AF20" s="23">
        <v>-9956.8144536758173</v>
      </c>
      <c r="AG20" s="23">
        <v>-14955.359</v>
      </c>
      <c r="AI20" s="23">
        <f t="shared" ref="AI20:AI37" si="17">F20</f>
        <v>0</v>
      </c>
      <c r="AJ20" s="23">
        <f t="shared" ref="AJ20:AJ37" si="18">J20</f>
        <v>-783.95399999999995</v>
      </c>
      <c r="AK20" s="23">
        <f t="shared" ref="AK20:AK37" si="19">N20</f>
        <v>-2066.8670000000002</v>
      </c>
      <c r="AL20" s="23">
        <f t="shared" ref="AL20:AL37" si="20">R20</f>
        <v>-5048.4639999999999</v>
      </c>
      <c r="AM20" s="23">
        <f t="shared" ref="AM20:AM37" si="21">V20</f>
        <v>-3125.5373803097582</v>
      </c>
      <c r="AN20" s="23">
        <f t="shared" ref="AN20:AN37" si="22">Z20</f>
        <v>-5586.9194353430048</v>
      </c>
      <c r="AO20" s="23">
        <f t="shared" ref="AO20:AO37" si="23">AD20</f>
        <v>-9303.0595236520876</v>
      </c>
      <c r="AP20" s="6"/>
      <c r="AQ20" s="6"/>
    </row>
    <row r="21" spans="1:43" s="69" customFormat="1" ht="14.25" hidden="1" customHeight="1" outlineLevel="1" x14ac:dyDescent="0.35">
      <c r="A21" s="100"/>
      <c r="B21" s="57" t="s">
        <v>115</v>
      </c>
      <c r="C21" s="57"/>
      <c r="D21" s="57"/>
      <c r="E21" s="57"/>
      <c r="F21" s="57"/>
      <c r="G21" s="57"/>
      <c r="H21" s="57"/>
      <c r="I21" s="57"/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-161.42638509</v>
      </c>
      <c r="W21" s="23">
        <v>-120.78651606000001</v>
      </c>
      <c r="X21" s="23">
        <v>-128.44220809000001</v>
      </c>
      <c r="Y21" s="23">
        <v>-127.83246153</v>
      </c>
      <c r="Z21" s="23">
        <v>43.22912539</v>
      </c>
      <c r="AA21" s="23">
        <v>-20.592132000000007</v>
      </c>
      <c r="AB21" s="23">
        <v>20.60642996</v>
      </c>
      <c r="AC21" s="23">
        <v>2.0691121899999998</v>
      </c>
      <c r="AD21" s="23">
        <v>-84.534169789999979</v>
      </c>
      <c r="AE21" s="23">
        <v>-257.70748093000003</v>
      </c>
      <c r="AF21" s="23">
        <v>-209.22139673000001</v>
      </c>
      <c r="AG21" s="23">
        <v>-209.55600000000001</v>
      </c>
      <c r="AI21" s="23">
        <f t="shared" si="17"/>
        <v>0</v>
      </c>
      <c r="AJ21" s="23">
        <f t="shared" si="18"/>
        <v>0</v>
      </c>
      <c r="AK21" s="23">
        <f t="shared" si="19"/>
        <v>0</v>
      </c>
      <c r="AL21" s="23">
        <f t="shared" si="20"/>
        <v>0</v>
      </c>
      <c r="AM21" s="23">
        <f t="shared" si="21"/>
        <v>-161.42638509</v>
      </c>
      <c r="AN21" s="23">
        <f t="shared" si="22"/>
        <v>43.22912539</v>
      </c>
      <c r="AO21" s="23">
        <f t="shared" si="23"/>
        <v>-84.534169789999979</v>
      </c>
      <c r="AP21" s="6"/>
      <c r="AQ21" s="6"/>
    </row>
    <row r="22" spans="1:43" s="69" customFormat="1" ht="14.25" hidden="1" customHeight="1" outlineLevel="1" x14ac:dyDescent="0.35">
      <c r="A22" s="99"/>
      <c r="B22" s="57" t="s">
        <v>35</v>
      </c>
      <c r="C22" s="57"/>
      <c r="D22" s="57"/>
      <c r="E22" s="57"/>
      <c r="F22" s="57"/>
      <c r="G22" s="57"/>
      <c r="H22" s="57"/>
      <c r="I22" s="57"/>
      <c r="J22" s="23">
        <v>20.181000000000001</v>
      </c>
      <c r="K22" s="23">
        <v>-13.365</v>
      </c>
      <c r="L22" s="23">
        <v>-33.502096260000002</v>
      </c>
      <c r="M22" s="23">
        <v>-45.283053270000011</v>
      </c>
      <c r="N22" s="23">
        <v>-40.585999999999999</v>
      </c>
      <c r="O22" s="23">
        <v>1.6925649645597132</v>
      </c>
      <c r="P22" s="23">
        <v>4.5079203500000045</v>
      </c>
      <c r="Q22" s="23">
        <v>-15.088743649999989</v>
      </c>
      <c r="R22" s="23">
        <v>-47.01168706</v>
      </c>
      <c r="S22" s="23">
        <v>44.084000000000003</v>
      </c>
      <c r="T22" s="23">
        <v>3.138978181006927</v>
      </c>
      <c r="U22" s="23">
        <v>59.497</v>
      </c>
      <c r="V22" s="23">
        <v>14.216213259999996</v>
      </c>
      <c r="W22" s="23">
        <v>-8.274950660000016</v>
      </c>
      <c r="X22" s="23">
        <v>-11.688182939999999</v>
      </c>
      <c r="Y22" s="23">
        <v>27.045999999999999</v>
      </c>
      <c r="Z22" s="23">
        <v>31.601781310000003</v>
      </c>
      <c r="AA22" s="23">
        <v>-22.617126620000001</v>
      </c>
      <c r="AB22" s="23">
        <v>-42.541846320000012</v>
      </c>
      <c r="AC22" s="23">
        <v>-64.403391590000012</v>
      </c>
      <c r="AD22" s="23">
        <v>-132.39755371999999</v>
      </c>
      <c r="AE22" s="23">
        <v>0.26335849000001327</v>
      </c>
      <c r="AF22" s="23">
        <v>1.6471723800000035</v>
      </c>
      <c r="AG22" s="23">
        <v>-2.5249999999999999</v>
      </c>
      <c r="AI22" s="23">
        <f t="shared" si="17"/>
        <v>0</v>
      </c>
      <c r="AJ22" s="23">
        <f t="shared" si="18"/>
        <v>20.181000000000001</v>
      </c>
      <c r="AK22" s="23">
        <f t="shared" si="19"/>
        <v>-40.585999999999999</v>
      </c>
      <c r="AL22" s="23">
        <f t="shared" si="20"/>
        <v>-47.01168706</v>
      </c>
      <c r="AM22" s="23">
        <f t="shared" si="21"/>
        <v>14.216213259999996</v>
      </c>
      <c r="AN22" s="23">
        <f t="shared" si="22"/>
        <v>31.601781310000003</v>
      </c>
      <c r="AO22" s="23">
        <f t="shared" si="23"/>
        <v>-132.39755371999999</v>
      </c>
      <c r="AP22" s="6"/>
      <c r="AQ22" s="6"/>
    </row>
    <row r="23" spans="1:43" s="69" customFormat="1" ht="14.25" hidden="1" customHeight="1" outlineLevel="1" x14ac:dyDescent="0.35">
      <c r="A23" s="99"/>
      <c r="B23" s="57" t="s">
        <v>42</v>
      </c>
      <c r="C23" s="57"/>
      <c r="D23" s="57"/>
      <c r="E23" s="57"/>
      <c r="F23" s="57"/>
      <c r="G23" s="57"/>
      <c r="H23" s="57"/>
      <c r="I23" s="57"/>
      <c r="J23" s="23">
        <v>8.5790000000000006</v>
      </c>
      <c r="K23" s="23">
        <v>-15.942</v>
      </c>
      <c r="L23" s="23">
        <v>43.011308144312004</v>
      </c>
      <c r="M23" s="23">
        <v>9.3093849589919895</v>
      </c>
      <c r="N23" s="23">
        <v>8.0549999999999997</v>
      </c>
      <c r="O23" s="23">
        <v>-2.6996399000000002</v>
      </c>
      <c r="P23" s="23">
        <v>0.26493009999999639</v>
      </c>
      <c r="Q23" s="23">
        <v>-21.681390599999972</v>
      </c>
      <c r="R23" s="23">
        <v>-22.936</v>
      </c>
      <c r="S23" s="23">
        <v>3.7069999999999999</v>
      </c>
      <c r="T23" s="23">
        <v>-13.998999820000009</v>
      </c>
      <c r="U23" s="23">
        <v>-18.763242210000016</v>
      </c>
      <c r="V23" s="23">
        <v>-22.386445019999986</v>
      </c>
      <c r="W23" s="23">
        <v>-18.136846579999983</v>
      </c>
      <c r="X23" s="23">
        <v>-75.404318370000041</v>
      </c>
      <c r="Y23" s="23">
        <v>-103.69286872000002</v>
      </c>
      <c r="Z23" s="23">
        <v>-206.22112443579999</v>
      </c>
      <c r="AA23" s="23">
        <v>25.276752819999999</v>
      </c>
      <c r="AB23" s="23">
        <v>-134.30490653999999</v>
      </c>
      <c r="AC23" s="23">
        <v>-97.709760450000005</v>
      </c>
      <c r="AD23" s="23">
        <v>-36.565408609999992</v>
      </c>
      <c r="AE23" s="23">
        <v>51.162111779999989</v>
      </c>
      <c r="AF23" s="23">
        <v>88.801561737904109</v>
      </c>
      <c r="AG23" s="23">
        <v>102.90900000000001</v>
      </c>
      <c r="AI23" s="23">
        <f t="shared" si="17"/>
        <v>0</v>
      </c>
      <c r="AJ23" s="23">
        <f t="shared" si="18"/>
        <v>8.5790000000000006</v>
      </c>
      <c r="AK23" s="23">
        <f t="shared" si="19"/>
        <v>8.0549999999999997</v>
      </c>
      <c r="AL23" s="23">
        <f t="shared" si="20"/>
        <v>-22.936</v>
      </c>
      <c r="AM23" s="23">
        <f t="shared" si="21"/>
        <v>-22.386445019999986</v>
      </c>
      <c r="AN23" s="23">
        <f t="shared" si="22"/>
        <v>-206.22112443579999</v>
      </c>
      <c r="AO23" s="23">
        <f t="shared" si="23"/>
        <v>-36.565408609999992</v>
      </c>
    </row>
    <row r="24" spans="1:43" s="69" customFormat="1" ht="14.25" hidden="1" customHeight="1" outlineLevel="1" x14ac:dyDescent="0.35">
      <c r="A24" s="100"/>
      <c r="B24" s="57" t="s">
        <v>43</v>
      </c>
      <c r="C24" s="57"/>
      <c r="D24" s="57"/>
      <c r="E24" s="57"/>
      <c r="F24" s="57"/>
      <c r="G24" s="57"/>
      <c r="H24" s="57"/>
      <c r="I24" s="57"/>
      <c r="J24" s="23">
        <v>17.213999999999999</v>
      </c>
      <c r="K24" s="23">
        <v>-0.35099999999999998</v>
      </c>
      <c r="L24" s="23">
        <v>-1.9405527921119914</v>
      </c>
      <c r="M24" s="23">
        <v>-3.4408494063119943</v>
      </c>
      <c r="N24" s="23">
        <v>-23.495000000000001</v>
      </c>
      <c r="O24" s="23">
        <v>3.9481672900000189</v>
      </c>
      <c r="P24" s="23">
        <v>3.9575977699999911</v>
      </c>
      <c r="Q24" s="23">
        <v>4.5464453799999918</v>
      </c>
      <c r="R24" s="23">
        <v>0.7733091399999994</v>
      </c>
      <c r="S24" s="23">
        <v>-11.006</v>
      </c>
      <c r="T24" s="23">
        <v>-22.945</v>
      </c>
      <c r="U24" s="23">
        <v>-21.617103239999949</v>
      </c>
      <c r="V24" s="23">
        <v>-68.008456889999934</v>
      </c>
      <c r="W24" s="23">
        <v>11.67979121000004</v>
      </c>
      <c r="X24" s="23">
        <v>21.05963197000009</v>
      </c>
      <c r="Y24" s="23">
        <v>16.78452133</v>
      </c>
      <c r="Z24" s="23">
        <v>-78.744312880000066</v>
      </c>
      <c r="AA24" s="23">
        <v>-21.984848519999883</v>
      </c>
      <c r="AB24" s="23">
        <v>-4.1322424899999515</v>
      </c>
      <c r="AC24" s="23">
        <v>2.5121264600000415</v>
      </c>
      <c r="AD24" s="23">
        <v>-62.084416279999907</v>
      </c>
      <c r="AE24" s="23">
        <v>-47.250065770000013</v>
      </c>
      <c r="AF24" s="23">
        <v>-17.721004560000086</v>
      </c>
      <c r="AG24" s="23">
        <v>38.186999999999998</v>
      </c>
      <c r="AI24" s="23">
        <f t="shared" si="17"/>
        <v>0</v>
      </c>
      <c r="AJ24" s="23">
        <f t="shared" si="18"/>
        <v>17.213999999999999</v>
      </c>
      <c r="AK24" s="23">
        <f t="shared" si="19"/>
        <v>-23.495000000000001</v>
      </c>
      <c r="AL24" s="23">
        <f t="shared" si="20"/>
        <v>0.7733091399999994</v>
      </c>
      <c r="AM24" s="23">
        <f t="shared" si="21"/>
        <v>-68.008456889999934</v>
      </c>
      <c r="AN24" s="23">
        <f t="shared" si="22"/>
        <v>-78.744312880000066</v>
      </c>
      <c r="AO24" s="23">
        <f t="shared" si="23"/>
        <v>-62.084416279999907</v>
      </c>
    </row>
    <row r="25" spans="1:43" s="69" customFormat="1" ht="14.25" hidden="1" customHeight="1" outlineLevel="1" x14ac:dyDescent="0.35">
      <c r="A25" s="99"/>
      <c r="B25" s="57" t="s">
        <v>130</v>
      </c>
      <c r="C25" s="57"/>
      <c r="D25" s="57"/>
      <c r="E25" s="57"/>
      <c r="F25" s="57"/>
      <c r="G25" s="57"/>
      <c r="H25" s="57"/>
      <c r="I25" s="57"/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68.549752512727338</v>
      </c>
      <c r="W25" s="23">
        <v>0</v>
      </c>
      <c r="X25" s="23">
        <v>0</v>
      </c>
      <c r="Y25" s="23">
        <v>0</v>
      </c>
      <c r="Z25" s="23">
        <v>145.00534479980004</v>
      </c>
      <c r="AA25" s="23">
        <v>5.6993904502000019</v>
      </c>
      <c r="AB25" s="23">
        <v>8.4543660006999559</v>
      </c>
      <c r="AC25" s="23">
        <v>-10.694721195180009</v>
      </c>
      <c r="AD25" s="23">
        <v>-33.689058538420021</v>
      </c>
      <c r="AE25" s="23">
        <v>-15.626406541380016</v>
      </c>
      <c r="AF25" s="23">
        <v>-22.413354631854013</v>
      </c>
      <c r="AG25" s="23">
        <v>-28.872</v>
      </c>
      <c r="AI25" s="23">
        <f t="shared" si="17"/>
        <v>0</v>
      </c>
      <c r="AJ25" s="23">
        <f t="shared" si="18"/>
        <v>0</v>
      </c>
      <c r="AK25" s="23">
        <f t="shared" si="19"/>
        <v>0</v>
      </c>
      <c r="AL25" s="23">
        <f t="shared" si="20"/>
        <v>0</v>
      </c>
      <c r="AM25" s="23">
        <f t="shared" si="21"/>
        <v>68.549752512727338</v>
      </c>
      <c r="AN25" s="23">
        <f t="shared" si="22"/>
        <v>145.00534479980004</v>
      </c>
      <c r="AO25" s="23">
        <f t="shared" si="23"/>
        <v>-33.689058538420021</v>
      </c>
    </row>
    <row r="26" spans="1:43" s="69" customFormat="1" ht="14.25" hidden="1" customHeight="1" outlineLevel="1" x14ac:dyDescent="0.35">
      <c r="A26" s="99"/>
      <c r="B26" s="57" t="s">
        <v>54</v>
      </c>
      <c r="C26" s="57"/>
      <c r="D26" s="57"/>
      <c r="E26" s="57"/>
      <c r="F26" s="57"/>
      <c r="G26" s="57"/>
      <c r="H26" s="57"/>
      <c r="I26" s="57"/>
      <c r="J26" s="23">
        <v>13.491</v>
      </c>
      <c r="K26" s="23">
        <v>3.0150000000000001</v>
      </c>
      <c r="L26" s="23">
        <v>2.1834035557719962</v>
      </c>
      <c r="M26" s="23">
        <v>5.2748617354249578</v>
      </c>
      <c r="N26" s="23">
        <v>-2.0459999999999998</v>
      </c>
      <c r="O26" s="23">
        <v>7.1933023</v>
      </c>
      <c r="P26" s="23">
        <v>2.40389461</v>
      </c>
      <c r="Q26" s="23">
        <v>0.51547610245451692</v>
      </c>
      <c r="R26" s="23">
        <v>-7.3299878484610659</v>
      </c>
      <c r="S26" s="23">
        <v>13.44</v>
      </c>
      <c r="T26" s="23">
        <v>3.7924317457999983</v>
      </c>
      <c r="U26" s="23">
        <v>-5.7667926651080998</v>
      </c>
      <c r="V26" s="23">
        <v>-7.9227525127273406</v>
      </c>
      <c r="W26" s="23">
        <v>41.992835330454547</v>
      </c>
      <c r="X26" s="23">
        <v>77.112834890879938</v>
      </c>
      <c r="Y26" s="23">
        <v>135.76883336397128</v>
      </c>
      <c r="Z26" s="23">
        <v>67.668853600000006</v>
      </c>
      <c r="AA26" s="23">
        <v>-58.358251530000004</v>
      </c>
      <c r="AB26" s="23">
        <v>23.08824847</v>
      </c>
      <c r="AC26" s="23">
        <v>-13.820530060000005</v>
      </c>
      <c r="AD26" s="23">
        <v>-17.312325657640006</v>
      </c>
      <c r="AE26" s="23">
        <v>-34.520003869279996</v>
      </c>
      <c r="AF26" s="23">
        <v>-34.613310808959987</v>
      </c>
      <c r="AG26" s="23">
        <v>-35.478000000000002</v>
      </c>
      <c r="AI26" s="23">
        <f t="shared" si="17"/>
        <v>0</v>
      </c>
      <c r="AJ26" s="23">
        <f t="shared" si="18"/>
        <v>13.491</v>
      </c>
      <c r="AK26" s="23">
        <f t="shared" si="19"/>
        <v>-2.0459999999999998</v>
      </c>
      <c r="AL26" s="23">
        <f t="shared" si="20"/>
        <v>-7.3299878484610659</v>
      </c>
      <c r="AM26" s="23">
        <f t="shared" si="21"/>
        <v>-7.9227525127273406</v>
      </c>
      <c r="AN26" s="23">
        <f t="shared" si="22"/>
        <v>67.668853600000006</v>
      </c>
      <c r="AO26" s="23">
        <f t="shared" si="23"/>
        <v>-17.312325657640006</v>
      </c>
    </row>
    <row r="27" spans="1:43" s="69" customFormat="1" ht="14.25" hidden="1" customHeight="1" outlineLevel="1" x14ac:dyDescent="0.35">
      <c r="A27" s="100"/>
      <c r="B27" s="57" t="s">
        <v>45</v>
      </c>
      <c r="C27" s="57"/>
      <c r="D27" s="57"/>
      <c r="E27" s="57"/>
      <c r="F27" s="57"/>
      <c r="G27" s="57"/>
      <c r="H27" s="57"/>
      <c r="I27" s="57"/>
      <c r="J27" s="23">
        <v>620.94000000000005</v>
      </c>
      <c r="K27" s="23">
        <v>138.71600000000001</v>
      </c>
      <c r="L27" s="23">
        <v>496.10762865999976</v>
      </c>
      <c r="M27" s="23">
        <v>957.44049557000005</v>
      </c>
      <c r="N27" s="23">
        <v>1776.538</v>
      </c>
      <c r="O27" s="23">
        <v>-105.27200000000001</v>
      </c>
      <c r="P27" s="23">
        <v>4.218</v>
      </c>
      <c r="Q27" s="23">
        <v>622.14599999999996</v>
      </c>
      <c r="R27" s="23">
        <v>1243.6289999999999</v>
      </c>
      <c r="S27" s="23">
        <v>43.892000000000003</v>
      </c>
      <c r="T27" s="23">
        <v>257.27720299999976</v>
      </c>
      <c r="U27" s="23">
        <v>84.12814436999895</v>
      </c>
      <c r="V27" s="23">
        <v>1002.0922085199999</v>
      </c>
      <c r="W27" s="23">
        <v>-643.83686793000072</v>
      </c>
      <c r="X27" s="23">
        <v>303.59436710000074</v>
      </c>
      <c r="Y27" s="23">
        <v>2307.5970316900002</v>
      </c>
      <c r="Z27" s="23">
        <v>4173.2644885099971</v>
      </c>
      <c r="AA27" s="23">
        <v>-1363.4422394299988</v>
      </c>
      <c r="AB27" s="23">
        <v>-315.81687596999757</v>
      </c>
      <c r="AC27" s="23">
        <v>883.00444650000145</v>
      </c>
      <c r="AD27" s="23">
        <v>2940.7390909000028</v>
      </c>
      <c r="AE27" s="23">
        <v>-192.61961795198059</v>
      </c>
      <c r="AF27" s="23">
        <v>795.9913436959049</v>
      </c>
      <c r="AG27" s="23">
        <v>1124.71</v>
      </c>
      <c r="AI27" s="23">
        <f t="shared" si="17"/>
        <v>0</v>
      </c>
      <c r="AJ27" s="23">
        <f t="shared" si="18"/>
        <v>620.94000000000005</v>
      </c>
      <c r="AK27" s="23">
        <f t="shared" si="19"/>
        <v>1776.538</v>
      </c>
      <c r="AL27" s="23">
        <f t="shared" si="20"/>
        <v>1243.6289999999999</v>
      </c>
      <c r="AM27" s="23">
        <f t="shared" si="21"/>
        <v>1002.0922085199999</v>
      </c>
      <c r="AN27" s="23">
        <f t="shared" si="22"/>
        <v>4173.2644885099971</v>
      </c>
      <c r="AO27" s="23">
        <f t="shared" si="23"/>
        <v>2940.7390909000028</v>
      </c>
    </row>
    <row r="28" spans="1:43" s="69" customFormat="1" ht="14.25" hidden="1" customHeight="1" outlineLevel="1" x14ac:dyDescent="0.35">
      <c r="A28" s="99"/>
      <c r="B28" s="57" t="s">
        <v>46</v>
      </c>
      <c r="C28" s="57"/>
      <c r="D28" s="57"/>
      <c r="E28" s="57"/>
      <c r="F28" s="57"/>
      <c r="G28" s="57"/>
      <c r="H28" s="57"/>
      <c r="I28" s="57"/>
      <c r="J28" s="23">
        <v>25.43</v>
      </c>
      <c r="K28" s="23">
        <v>31.010999999999999</v>
      </c>
      <c r="L28" s="23">
        <v>41.931731693656111</v>
      </c>
      <c r="M28" s="23">
        <v>51.555966343655932</v>
      </c>
      <c r="N28" s="23">
        <v>29.530999999999999</v>
      </c>
      <c r="O28" s="23">
        <v>25.632872899999349</v>
      </c>
      <c r="P28" s="23">
        <v>64.090740838894774</v>
      </c>
      <c r="Q28" s="23">
        <v>59.223805528894815</v>
      </c>
      <c r="R28" s="23">
        <v>72.578999999999994</v>
      </c>
      <c r="S28" s="23">
        <v>-3.0459999999999998</v>
      </c>
      <c r="T28" s="23">
        <v>73.668200999999996</v>
      </c>
      <c r="U28" s="23">
        <v>19.758329049999944</v>
      </c>
      <c r="V28" s="23">
        <v>89.962393860004497</v>
      </c>
      <c r="W28" s="23">
        <v>21.602026242000168</v>
      </c>
      <c r="X28" s="23">
        <v>-28.221806330343039</v>
      </c>
      <c r="Y28" s="23">
        <v>-44.914447150000001</v>
      </c>
      <c r="Z28" s="23">
        <v>72.328044294224583</v>
      </c>
      <c r="AA28" s="23">
        <v>-29.834653948070073</v>
      </c>
      <c r="AB28" s="23">
        <v>9.200402926546289</v>
      </c>
      <c r="AC28" s="23">
        <v>42.465826676851272</v>
      </c>
      <c r="AD28" s="23">
        <v>243.58510440123121</v>
      </c>
      <c r="AE28" s="23">
        <v>-21.942813516295747</v>
      </c>
      <c r="AF28" s="23">
        <v>-73.525324200267903</v>
      </c>
      <c r="AG28" s="23">
        <v>-219.71</v>
      </c>
      <c r="AI28" s="23">
        <f t="shared" si="17"/>
        <v>0</v>
      </c>
      <c r="AJ28" s="23">
        <f t="shared" si="18"/>
        <v>25.43</v>
      </c>
      <c r="AK28" s="23">
        <f t="shared" si="19"/>
        <v>29.530999999999999</v>
      </c>
      <c r="AL28" s="23">
        <f t="shared" si="20"/>
        <v>72.578999999999994</v>
      </c>
      <c r="AM28" s="23">
        <f t="shared" si="21"/>
        <v>89.962393860004497</v>
      </c>
      <c r="AN28" s="23">
        <f t="shared" si="22"/>
        <v>72.328044294224583</v>
      </c>
      <c r="AO28" s="23">
        <f t="shared" si="23"/>
        <v>243.58510440123121</v>
      </c>
    </row>
    <row r="29" spans="1:43" s="69" customFormat="1" ht="14.25" hidden="1" customHeight="1" outlineLevel="1" x14ac:dyDescent="0.35">
      <c r="A29" s="99"/>
      <c r="B29" s="57" t="s">
        <v>77</v>
      </c>
      <c r="C29" s="57"/>
      <c r="D29" s="57"/>
      <c r="E29" s="57"/>
      <c r="F29" s="57"/>
      <c r="G29" s="57"/>
      <c r="H29" s="57"/>
      <c r="I29" s="57"/>
      <c r="J29" s="23">
        <v>-214.54900000000001</v>
      </c>
      <c r="K29" s="23">
        <v>-47.44</v>
      </c>
      <c r="L29" s="23">
        <v>-3.9760708107994724</v>
      </c>
      <c r="M29" s="23">
        <v>89.30464983284989</v>
      </c>
      <c r="N29" s="23">
        <v>-64.400000000000006</v>
      </c>
      <c r="O29" s="23">
        <v>129.64318335999999</v>
      </c>
      <c r="P29" s="23">
        <v>119.13047449999999</v>
      </c>
      <c r="Q29" s="23">
        <v>117.72957147</v>
      </c>
      <c r="R29" s="23">
        <v>112.79</v>
      </c>
      <c r="S29" s="23">
        <v>-0.25800000000000001</v>
      </c>
      <c r="T29" s="23">
        <v>4.0609999999999999</v>
      </c>
      <c r="U29" s="23">
        <v>4.0781559100080704</v>
      </c>
      <c r="V29" s="23">
        <v>-8.6101462899945549</v>
      </c>
      <c r="W29" s="23">
        <v>13.580433555122166</v>
      </c>
      <c r="X29" s="23">
        <v>119.02389054273215</v>
      </c>
      <c r="Y29" s="23">
        <v>107.37642797000001</v>
      </c>
      <c r="Z29" s="23">
        <v>38.249871850000446</v>
      </c>
      <c r="AA29" s="23">
        <v>21.317684180000004</v>
      </c>
      <c r="AB29" s="23">
        <v>229.83345504996868</v>
      </c>
      <c r="AC29" s="23">
        <v>311.16515234996865</v>
      </c>
      <c r="AD29" s="23">
        <v>471.58502393996861</v>
      </c>
      <c r="AE29" s="23">
        <v>-270.74009843996913</v>
      </c>
      <c r="AF29" s="23">
        <v>-289.5058689399691</v>
      </c>
      <c r="AG29" s="23">
        <v>-118.883</v>
      </c>
      <c r="AI29" s="23">
        <f t="shared" si="17"/>
        <v>0</v>
      </c>
      <c r="AJ29" s="23">
        <f t="shared" si="18"/>
        <v>-214.54900000000001</v>
      </c>
      <c r="AK29" s="23">
        <f t="shared" si="19"/>
        <v>-64.400000000000006</v>
      </c>
      <c r="AL29" s="23">
        <f t="shared" si="20"/>
        <v>112.79</v>
      </c>
      <c r="AM29" s="23">
        <f t="shared" si="21"/>
        <v>-8.6101462899945549</v>
      </c>
      <c r="AN29" s="23">
        <f t="shared" si="22"/>
        <v>38.249871850000446</v>
      </c>
      <c r="AO29" s="23">
        <f t="shared" si="23"/>
        <v>471.58502393996861</v>
      </c>
    </row>
    <row r="30" spans="1:43" s="69" customFormat="1" ht="14.25" hidden="1" customHeight="1" outlineLevel="1" x14ac:dyDescent="0.35">
      <c r="A30" s="100"/>
      <c r="B30" s="57" t="s">
        <v>110</v>
      </c>
      <c r="C30" s="57"/>
      <c r="D30" s="57"/>
      <c r="E30" s="57"/>
      <c r="F30" s="57"/>
      <c r="G30" s="57"/>
      <c r="H30" s="57"/>
      <c r="I30" s="57"/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317.78606474999998</v>
      </c>
      <c r="Y30" s="23">
        <v>193.64230089</v>
      </c>
      <c r="Z30" s="23">
        <v>758.00294513999995</v>
      </c>
      <c r="AA30" s="23">
        <v>672.91877696000006</v>
      </c>
      <c r="AB30" s="23">
        <v>999.78321064999977</v>
      </c>
      <c r="AC30" s="23">
        <v>1854.9356836499999</v>
      </c>
      <c r="AD30" s="23">
        <v>2276.0405267199999</v>
      </c>
      <c r="AE30" s="23">
        <v>2524.7196633899998</v>
      </c>
      <c r="AF30" s="23">
        <v>6104.3714278799998</v>
      </c>
      <c r="AG30" s="23">
        <v>9096.6720000000005</v>
      </c>
      <c r="AI30" s="23">
        <f t="shared" si="17"/>
        <v>0</v>
      </c>
      <c r="AJ30" s="23">
        <f t="shared" si="18"/>
        <v>0</v>
      </c>
      <c r="AK30" s="23">
        <f t="shared" si="19"/>
        <v>0</v>
      </c>
      <c r="AL30" s="23">
        <f t="shared" si="20"/>
        <v>0</v>
      </c>
      <c r="AM30" s="23">
        <f t="shared" si="21"/>
        <v>0</v>
      </c>
      <c r="AN30" s="23">
        <f t="shared" si="22"/>
        <v>758.00294513999995</v>
      </c>
      <c r="AO30" s="23">
        <f t="shared" si="23"/>
        <v>2276.0405267199999</v>
      </c>
    </row>
    <row r="31" spans="1:43" s="69" customFormat="1" ht="14.25" hidden="1" customHeight="1" outlineLevel="1" x14ac:dyDescent="0.35">
      <c r="A31" s="99"/>
      <c r="B31" s="57" t="s">
        <v>51</v>
      </c>
      <c r="C31" s="57"/>
      <c r="D31" s="57"/>
      <c r="E31" s="57"/>
      <c r="F31" s="57"/>
      <c r="G31" s="57"/>
      <c r="H31" s="57"/>
      <c r="I31" s="57"/>
      <c r="J31" s="23">
        <v>6.6180000000000003</v>
      </c>
      <c r="K31" s="23">
        <v>-3.71</v>
      </c>
      <c r="L31" s="23">
        <v>4.5457861933999997</v>
      </c>
      <c r="M31" s="23">
        <v>11.760102044400004</v>
      </c>
      <c r="N31" s="23">
        <v>13.340999999999999</v>
      </c>
      <c r="O31" s="23">
        <v>-8.077</v>
      </c>
      <c r="P31" s="23">
        <v>1.3560000000000001</v>
      </c>
      <c r="Q31" s="23">
        <v>39.228000000000002</v>
      </c>
      <c r="R31" s="23">
        <v>39.311999999999998</v>
      </c>
      <c r="S31" s="23">
        <v>-3.34</v>
      </c>
      <c r="T31" s="23">
        <v>35.048000000000002</v>
      </c>
      <c r="U31" s="23">
        <v>42.225758156125011</v>
      </c>
      <c r="V31" s="23">
        <v>32.865966620000002</v>
      </c>
      <c r="W31" s="23">
        <v>-21.149090449999996</v>
      </c>
      <c r="X31" s="23">
        <v>3.1524579999999731</v>
      </c>
      <c r="Y31" s="23">
        <v>14.038493569999989</v>
      </c>
      <c r="Z31" s="23">
        <v>7.604603899999991</v>
      </c>
      <c r="AA31" s="23">
        <v>-20.724674579999999</v>
      </c>
      <c r="AB31" s="23">
        <v>-4.3437213266334149</v>
      </c>
      <c r="AC31" s="23">
        <v>9.4599748011386549</v>
      </c>
      <c r="AD31" s="23">
        <v>-8.0906548156892963</v>
      </c>
      <c r="AE31" s="23">
        <v>-76.749744899999996</v>
      </c>
      <c r="AF31" s="23">
        <v>-8.2943136562000142</v>
      </c>
      <c r="AG31" s="23">
        <v>41.034999999999997</v>
      </c>
      <c r="AI31" s="23">
        <f t="shared" si="17"/>
        <v>0</v>
      </c>
      <c r="AJ31" s="23">
        <f t="shared" si="18"/>
        <v>6.6180000000000003</v>
      </c>
      <c r="AK31" s="23">
        <f t="shared" si="19"/>
        <v>13.340999999999999</v>
      </c>
      <c r="AL31" s="23">
        <f t="shared" si="20"/>
        <v>39.311999999999998</v>
      </c>
      <c r="AM31" s="23">
        <f t="shared" si="21"/>
        <v>32.865966620000002</v>
      </c>
      <c r="AN31" s="23">
        <f t="shared" si="22"/>
        <v>7.604603899999991</v>
      </c>
      <c r="AO31" s="23">
        <f t="shared" si="23"/>
        <v>-8.0906548156892963</v>
      </c>
    </row>
    <row r="32" spans="1:43" s="69" customFormat="1" ht="14.25" hidden="1" customHeight="1" outlineLevel="1" x14ac:dyDescent="0.35">
      <c r="A32" s="99"/>
      <c r="B32" s="57" t="s">
        <v>52</v>
      </c>
      <c r="C32" s="57"/>
      <c r="D32" s="57"/>
      <c r="E32" s="57"/>
      <c r="F32" s="57"/>
      <c r="G32" s="57"/>
      <c r="H32" s="57"/>
      <c r="I32" s="57"/>
      <c r="J32" s="23">
        <v>3.867</v>
      </c>
      <c r="K32" s="23">
        <v>23.981999999999999</v>
      </c>
      <c r="L32" s="23">
        <v>-34.93460810947002</v>
      </c>
      <c r="M32" s="23">
        <v>0</v>
      </c>
      <c r="N32" s="23">
        <v>-3.109</v>
      </c>
      <c r="O32" s="23">
        <v>19.350000989999963</v>
      </c>
      <c r="P32" s="23">
        <v>22.291206649999985</v>
      </c>
      <c r="Q32" s="23">
        <v>34.260549600000004</v>
      </c>
      <c r="R32" s="23">
        <v>31.76392851</v>
      </c>
      <c r="S32" s="23">
        <v>0.104</v>
      </c>
      <c r="T32" s="23">
        <v>6.0733802234295728</v>
      </c>
      <c r="U32" s="23">
        <v>13.916807937420469</v>
      </c>
      <c r="V32" s="23">
        <v>-1.475311115900813</v>
      </c>
      <c r="W32" s="23">
        <v>-4.7643386804198613</v>
      </c>
      <c r="X32" s="23">
        <v>-112.4738456866571</v>
      </c>
      <c r="Y32" s="23">
        <v>-26.142546934698096</v>
      </c>
      <c r="Z32" s="23">
        <v>-34.438169771793937</v>
      </c>
      <c r="AA32" s="23">
        <v>25.802652844752963</v>
      </c>
      <c r="AB32" s="23">
        <v>38.047652262994013</v>
      </c>
      <c r="AC32" s="23">
        <v>31.357600562780064</v>
      </c>
      <c r="AD32" s="23">
        <v>-11.499003137071433</v>
      </c>
      <c r="AE32" s="23">
        <v>3.1219105161197214</v>
      </c>
      <c r="AF32" s="23">
        <v>14.524271050187718</v>
      </c>
      <c r="AG32" s="23">
        <v>23.614999999999998</v>
      </c>
      <c r="AI32" s="23">
        <f t="shared" si="17"/>
        <v>0</v>
      </c>
      <c r="AJ32" s="23">
        <f t="shared" si="18"/>
        <v>3.867</v>
      </c>
      <c r="AK32" s="23">
        <f t="shared" si="19"/>
        <v>-3.109</v>
      </c>
      <c r="AL32" s="23">
        <f t="shared" si="20"/>
        <v>31.76392851</v>
      </c>
      <c r="AM32" s="23">
        <f t="shared" si="21"/>
        <v>-1.475311115900813</v>
      </c>
      <c r="AN32" s="23">
        <f t="shared" si="22"/>
        <v>-34.438169771793937</v>
      </c>
      <c r="AO32" s="23">
        <f t="shared" si="23"/>
        <v>-11.499003137071433</v>
      </c>
    </row>
    <row r="33" spans="1:41" s="69" customFormat="1" ht="14.25" hidden="1" customHeight="1" outlineLevel="1" x14ac:dyDescent="0.35">
      <c r="A33" s="100"/>
      <c r="B33" s="57" t="s">
        <v>53</v>
      </c>
      <c r="C33" s="57"/>
      <c r="D33" s="57"/>
      <c r="E33" s="57"/>
      <c r="F33" s="57"/>
      <c r="G33" s="57"/>
      <c r="H33" s="57"/>
      <c r="I33" s="57"/>
      <c r="J33" s="23">
        <v>-4.2000000000000003E-2</v>
      </c>
      <c r="K33" s="23">
        <v>-1E-3</v>
      </c>
      <c r="L33" s="23">
        <v>0</v>
      </c>
      <c r="M33" s="23">
        <v>-0.67792131389000865</v>
      </c>
      <c r="N33" s="23">
        <v>0.48599999999999999</v>
      </c>
      <c r="O33" s="23">
        <v>-0.33090016000000005</v>
      </c>
      <c r="P33" s="23">
        <v>-0.79542561999999994</v>
      </c>
      <c r="Q33" s="23">
        <v>-1.3171126200000001</v>
      </c>
      <c r="R33" s="23">
        <v>-1.792</v>
      </c>
      <c r="S33" s="23">
        <v>0</v>
      </c>
      <c r="T33" s="23">
        <v>0</v>
      </c>
      <c r="U33" s="23">
        <v>0</v>
      </c>
      <c r="V33" s="23">
        <v>-4.8222500000000004</v>
      </c>
      <c r="W33" s="23">
        <v>-1.6545412081060045</v>
      </c>
      <c r="X33" s="23">
        <v>-3.8791681699999998</v>
      </c>
      <c r="Y33" s="23">
        <v>-1.099877929999999</v>
      </c>
      <c r="Z33" s="23">
        <v>-1.1270790799999981</v>
      </c>
      <c r="AA33" s="23">
        <v>-1.90671258</v>
      </c>
      <c r="AB33" s="23">
        <v>-9.9362982200000012</v>
      </c>
      <c r="AC33" s="23">
        <v>-12.993868999999998</v>
      </c>
      <c r="AD33" s="23">
        <v>-17.76299392</v>
      </c>
      <c r="AE33" s="23">
        <v>-4.0529995699999999</v>
      </c>
      <c r="AF33" s="23">
        <v>-5.9942729299999939</v>
      </c>
      <c r="AG33" s="23">
        <v>-17.138999999999999</v>
      </c>
      <c r="AI33" s="23">
        <f t="shared" si="17"/>
        <v>0</v>
      </c>
      <c r="AJ33" s="23">
        <f t="shared" si="18"/>
        <v>-4.2000000000000003E-2</v>
      </c>
      <c r="AK33" s="23">
        <f t="shared" si="19"/>
        <v>0.48599999999999999</v>
      </c>
      <c r="AL33" s="23">
        <f t="shared" si="20"/>
        <v>-1.792</v>
      </c>
      <c r="AM33" s="23">
        <f t="shared" si="21"/>
        <v>-4.8222500000000004</v>
      </c>
      <c r="AN33" s="23">
        <f t="shared" si="22"/>
        <v>-1.1270790799999981</v>
      </c>
      <c r="AO33" s="23">
        <f t="shared" si="23"/>
        <v>-17.76299392</v>
      </c>
    </row>
    <row r="34" spans="1:41" s="69" customFormat="1" ht="14.25" hidden="1" customHeight="1" outlineLevel="1" x14ac:dyDescent="0.35">
      <c r="A34" s="99"/>
      <c r="B34" s="57" t="s">
        <v>78</v>
      </c>
      <c r="C34" s="57"/>
      <c r="D34" s="57"/>
      <c r="E34" s="57"/>
      <c r="F34" s="57"/>
      <c r="G34" s="57"/>
      <c r="H34" s="57"/>
      <c r="I34" s="57"/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I34" s="23">
        <f t="shared" si="17"/>
        <v>0</v>
      </c>
      <c r="AJ34" s="23">
        <f t="shared" si="18"/>
        <v>0</v>
      </c>
      <c r="AK34" s="23">
        <f t="shared" si="19"/>
        <v>0</v>
      </c>
      <c r="AL34" s="23">
        <f t="shared" si="20"/>
        <v>0</v>
      </c>
      <c r="AM34" s="23">
        <f t="shared" si="21"/>
        <v>0</v>
      </c>
      <c r="AN34" s="23">
        <f t="shared" si="22"/>
        <v>0</v>
      </c>
      <c r="AO34" s="23">
        <f t="shared" si="23"/>
        <v>0</v>
      </c>
    </row>
    <row r="35" spans="1:41" s="69" customFormat="1" ht="14.25" hidden="1" customHeight="1" outlineLevel="1" collapsed="1" x14ac:dyDescent="0.35">
      <c r="A35" s="99"/>
      <c r="B35" s="56" t="s">
        <v>93</v>
      </c>
      <c r="C35" s="56"/>
      <c r="D35" s="56"/>
      <c r="E35" s="56"/>
      <c r="F35" s="56"/>
      <c r="G35" s="56"/>
      <c r="H35" s="56"/>
      <c r="I35" s="56"/>
      <c r="J35" s="28">
        <v>-18.059000000000001</v>
      </c>
      <c r="K35" s="28">
        <v>-0.156</v>
      </c>
      <c r="L35" s="28">
        <v>-30.966000000000001</v>
      </c>
      <c r="M35" s="28">
        <v>-90.318185270000001</v>
      </c>
      <c r="N35" s="28">
        <v>-166.38900000000001</v>
      </c>
      <c r="O35" s="28">
        <v>-34.805999999999997</v>
      </c>
      <c r="P35" s="28">
        <v>-110.84399999999999</v>
      </c>
      <c r="Q35" s="28">
        <v>-186.554</v>
      </c>
      <c r="R35" s="28">
        <v>-203.63134671</v>
      </c>
      <c r="S35" s="28">
        <v>-29.356000000000002</v>
      </c>
      <c r="T35" s="28">
        <v>-52.121754729999999</v>
      </c>
      <c r="U35" s="28">
        <v>-65.735402229999991</v>
      </c>
      <c r="V35" s="28">
        <v>-88.183938250000011</v>
      </c>
      <c r="W35" s="28">
        <v>-2.1902776200000003</v>
      </c>
      <c r="X35" s="28">
        <v>-8.8831561799999985</v>
      </c>
      <c r="Y35" s="28">
        <v>-26.052770489999997</v>
      </c>
      <c r="Z35" s="28">
        <v>-46.383777109999997</v>
      </c>
      <c r="AA35" s="28">
        <v>-25.417999999999999</v>
      </c>
      <c r="AB35" s="28">
        <v>-54.302164420000004</v>
      </c>
      <c r="AC35" s="28">
        <v>-57.411656880000002</v>
      </c>
      <c r="AD35" s="28">
        <v>-76.782260829999998</v>
      </c>
      <c r="AE35" s="28">
        <v>-40.148889449999999</v>
      </c>
      <c r="AF35" s="28">
        <v>-79.683947400000008</v>
      </c>
      <c r="AG35" s="28">
        <v>-86.56</v>
      </c>
      <c r="AI35" s="28">
        <f t="shared" si="17"/>
        <v>0</v>
      </c>
      <c r="AJ35" s="28">
        <f t="shared" si="18"/>
        <v>-18.059000000000001</v>
      </c>
      <c r="AK35" s="28">
        <f t="shared" si="19"/>
        <v>-166.38900000000001</v>
      </c>
      <c r="AL35" s="28">
        <f t="shared" si="20"/>
        <v>-203.63134671</v>
      </c>
      <c r="AM35" s="28">
        <f t="shared" si="21"/>
        <v>-88.183938250000011</v>
      </c>
      <c r="AN35" s="28">
        <f t="shared" si="22"/>
        <v>-46.383777109999997</v>
      </c>
      <c r="AO35" s="28">
        <f t="shared" si="23"/>
        <v>-76.782260829999998</v>
      </c>
    </row>
    <row r="36" spans="1:41" s="69" customFormat="1" ht="14.25" hidden="1" customHeight="1" outlineLevel="1" x14ac:dyDescent="0.35">
      <c r="A36" s="100"/>
      <c r="B36" s="56" t="s">
        <v>92</v>
      </c>
      <c r="C36" s="56"/>
      <c r="D36" s="56"/>
      <c r="E36" s="56"/>
      <c r="F36" s="56"/>
      <c r="G36" s="56"/>
      <c r="H36" s="56"/>
      <c r="I36" s="56"/>
      <c r="J36" s="28">
        <v>146.346</v>
      </c>
      <c r="K36" s="28">
        <v>56.110999999999997</v>
      </c>
      <c r="L36" s="28">
        <v>111.60389270975756</v>
      </c>
      <c r="M36" s="28">
        <v>157.45055841613774</v>
      </c>
      <c r="N36" s="28">
        <v>214.55500000000001</v>
      </c>
      <c r="O36" s="28">
        <v>73.80399533275741</v>
      </c>
      <c r="P36" s="28">
        <v>160.16446790734236</v>
      </c>
      <c r="Q36" s="28">
        <v>263.95248197004935</v>
      </c>
      <c r="R36" s="28">
        <v>394.64299999999997</v>
      </c>
      <c r="S36" s="28">
        <v>124.913</v>
      </c>
      <c r="T36" s="28">
        <v>138.65799999999999</v>
      </c>
      <c r="U36" s="28">
        <v>394.96550450050421</v>
      </c>
      <c r="V36" s="28">
        <v>522.54168282976366</v>
      </c>
      <c r="W36" s="28">
        <v>97.266949192934945</v>
      </c>
      <c r="X36" s="28">
        <v>114.05033669228331</v>
      </c>
      <c r="Y36" s="28">
        <v>175.50000480994797</v>
      </c>
      <c r="Z36" s="28">
        <v>266.71909139300578</v>
      </c>
      <c r="AA36" s="28">
        <v>113.206</v>
      </c>
      <c r="AB36" s="28">
        <v>255.9768215269134</v>
      </c>
      <c r="AC36" s="28">
        <v>541.88085759511159</v>
      </c>
      <c r="AD36" s="28">
        <v>1068.449633102098</v>
      </c>
      <c r="AE36" s="28">
        <v>677.91642709683117</v>
      </c>
      <c r="AF36" s="28">
        <v>1563.1524333007508</v>
      </c>
      <c r="AG36" s="28">
        <v>2525.8490000000002</v>
      </c>
      <c r="AI36" s="28">
        <f t="shared" si="17"/>
        <v>0</v>
      </c>
      <c r="AJ36" s="28">
        <f t="shared" si="18"/>
        <v>146.346</v>
      </c>
      <c r="AK36" s="28">
        <f t="shared" si="19"/>
        <v>214.55500000000001</v>
      </c>
      <c r="AL36" s="28">
        <f t="shared" si="20"/>
        <v>394.64299999999997</v>
      </c>
      <c r="AM36" s="28">
        <f t="shared" si="21"/>
        <v>522.54168282976366</v>
      </c>
      <c r="AN36" s="28">
        <f t="shared" si="22"/>
        <v>266.71909139300578</v>
      </c>
      <c r="AO36" s="28">
        <f t="shared" si="23"/>
        <v>1068.449633102098</v>
      </c>
    </row>
    <row r="37" spans="1:41" s="69" customFormat="1" ht="14.25" hidden="1" customHeight="1" outlineLevel="1" x14ac:dyDescent="0.35">
      <c r="A37" s="99"/>
      <c r="B37" s="56" t="s">
        <v>100</v>
      </c>
      <c r="C37" s="56"/>
      <c r="D37" s="56"/>
      <c r="E37" s="56"/>
      <c r="F37" s="56"/>
      <c r="G37" s="56"/>
      <c r="H37" s="56"/>
      <c r="I37" s="56"/>
      <c r="J37" s="28">
        <v>0</v>
      </c>
      <c r="K37" s="28">
        <v>-9.1739999999999995</v>
      </c>
      <c r="L37" s="28">
        <v>-9.1749919499999955</v>
      </c>
      <c r="M37" s="28">
        <v>-9.1749919499999955</v>
      </c>
      <c r="N37" s="28">
        <v>-9.1750000000000007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I37" s="28">
        <f t="shared" si="17"/>
        <v>0</v>
      </c>
      <c r="AJ37" s="28">
        <f t="shared" si="18"/>
        <v>0</v>
      </c>
      <c r="AK37" s="28">
        <f t="shared" si="19"/>
        <v>-9.1750000000000007</v>
      </c>
      <c r="AL37" s="28">
        <f t="shared" si="20"/>
        <v>0</v>
      </c>
      <c r="AM37" s="28">
        <f t="shared" si="21"/>
        <v>0</v>
      </c>
      <c r="AN37" s="28">
        <f t="shared" si="22"/>
        <v>0</v>
      </c>
      <c r="AO37" s="28">
        <f t="shared" si="23"/>
        <v>0</v>
      </c>
    </row>
    <row r="38" spans="1:41" s="69" customFormat="1" ht="14.25" customHeight="1" collapsed="1" x14ac:dyDescent="0.35">
      <c r="A38" s="99"/>
      <c r="B38" s="55" t="s">
        <v>116</v>
      </c>
      <c r="C38" s="55"/>
      <c r="D38" s="55"/>
      <c r="E38" s="55"/>
      <c r="F38" s="55"/>
      <c r="G38" s="55"/>
      <c r="H38" s="55"/>
      <c r="I38" s="55"/>
      <c r="J38" s="42">
        <f t="shared" ref="J38" si="24">J6+J7+J19+J35+J36+J37</f>
        <v>76.989000000000061</v>
      </c>
      <c r="K38" s="42">
        <f>K6+K7+K19+K35+K36+K37</f>
        <v>47.661162156121996</v>
      </c>
      <c r="L38" s="42">
        <f t="shared" ref="L38:AC38" si="25">L6+L7+L19+L35+L36+L37</f>
        <v>54.695611092082117</v>
      </c>
      <c r="M38" s="42">
        <f t="shared" si="25"/>
        <v>163.62738097155693</v>
      </c>
      <c r="N38" s="42">
        <f t="shared" si="25"/>
        <v>453.56600000000009</v>
      </c>
      <c r="O38" s="42">
        <f t="shared" si="25"/>
        <v>-1014.0744646910008</v>
      </c>
      <c r="P38" s="42">
        <f t="shared" si="25"/>
        <v>-1859.7860735470367</v>
      </c>
      <c r="Q38" s="42">
        <f t="shared" si="25"/>
        <v>-2204.6008826005827</v>
      </c>
      <c r="R38" s="42">
        <f t="shared" si="25"/>
        <v>-1763.2030969084617</v>
      </c>
      <c r="S38" s="42">
        <f t="shared" si="25"/>
        <v>-199.90299999999991</v>
      </c>
      <c r="T38" s="42">
        <f t="shared" si="25"/>
        <v>-447.84848010276448</v>
      </c>
      <c r="U38" s="42">
        <f t="shared" si="25"/>
        <v>-227.31600007406627</v>
      </c>
      <c r="V38" s="42">
        <f t="shared" si="25"/>
        <v>479.60978746509045</v>
      </c>
      <c r="W38" s="42">
        <f t="shared" si="25"/>
        <v>1051.85913919774</v>
      </c>
      <c r="X38" s="42">
        <f t="shared" si="25"/>
        <v>1160.5170381508512</v>
      </c>
      <c r="Y38" s="42">
        <f t="shared" si="25"/>
        <v>895.48721097106613</v>
      </c>
      <c r="Z38" s="42">
        <f t="shared" si="25"/>
        <v>2152.6628732881481</v>
      </c>
      <c r="AA38" s="42">
        <f t="shared" si="25"/>
        <v>-17.8119745828932</v>
      </c>
      <c r="AB38" s="42">
        <f t="shared" si="25"/>
        <v>400.62580842837997</v>
      </c>
      <c r="AC38" s="42">
        <f t="shared" si="25"/>
        <v>763.99742418318237</v>
      </c>
      <c r="AD38" s="42">
        <f t="shared" ref="AD38:AI38" si="26">AD6+AD7+AD19+AD35+AD36+AD37</f>
        <v>898.00611281997044</v>
      </c>
      <c r="AE38" s="42">
        <f t="shared" si="26"/>
        <v>287.32489150332862</v>
      </c>
      <c r="AF38" s="42">
        <f t="shared" ref="AF38:AG38" si="27">AF6+AF7+AF19+AF35+AF36+AF37</f>
        <v>518.01977305572791</v>
      </c>
      <c r="AG38" s="42">
        <f t="shared" si="27"/>
        <v>1589.2830000000017</v>
      </c>
      <c r="AI38" s="42">
        <f t="shared" si="26"/>
        <v>0</v>
      </c>
      <c r="AJ38" s="42">
        <f t="shared" ref="AJ38:AO38" si="28">AJ6+AJ7+AJ19+AJ35+AJ36+AJ37</f>
        <v>76.989000000000061</v>
      </c>
      <c r="AK38" s="42">
        <f t="shared" si="28"/>
        <v>453.56600000000009</v>
      </c>
      <c r="AL38" s="42">
        <f t="shared" si="28"/>
        <v>-1763.2030969084617</v>
      </c>
      <c r="AM38" s="42">
        <f t="shared" si="28"/>
        <v>479.60978746509045</v>
      </c>
      <c r="AN38" s="42">
        <f t="shared" si="28"/>
        <v>2152.6628732881481</v>
      </c>
      <c r="AO38" s="42">
        <f t="shared" si="28"/>
        <v>898.00611281997044</v>
      </c>
    </row>
    <row r="39" spans="1:41" s="69" customFormat="1" ht="14.25" hidden="1" customHeight="1" outlineLevel="1" x14ac:dyDescent="0.35">
      <c r="A39" s="100"/>
      <c r="B39" s="57" t="s">
        <v>79</v>
      </c>
      <c r="C39" s="57"/>
      <c r="D39" s="57"/>
      <c r="E39" s="57"/>
      <c r="F39" s="57"/>
      <c r="G39" s="57"/>
      <c r="H39" s="57"/>
      <c r="I39" s="57"/>
      <c r="J39" s="23">
        <v>0</v>
      </c>
      <c r="K39" s="23">
        <v>0</v>
      </c>
      <c r="L39" s="23">
        <v>-3.3480499930309597</v>
      </c>
      <c r="M39" s="23">
        <v>-3.34604999303096</v>
      </c>
      <c r="N39" s="23">
        <v>-22.225000000000001</v>
      </c>
      <c r="O39" s="23">
        <v>0</v>
      </c>
      <c r="P39" s="23">
        <v>0</v>
      </c>
      <c r="Q39" s="23">
        <v>0</v>
      </c>
      <c r="R39" s="23">
        <v>-1.8129999999999999</v>
      </c>
      <c r="S39" s="23">
        <v>-15.753</v>
      </c>
      <c r="T39" s="23">
        <v>-15.752951210000001</v>
      </c>
      <c r="U39" s="23">
        <v>-18.047042229999999</v>
      </c>
      <c r="V39" s="23">
        <v>-17.73873949</v>
      </c>
      <c r="W39" s="23">
        <v>0</v>
      </c>
      <c r="X39" s="23">
        <v>0</v>
      </c>
      <c r="Y39" s="23">
        <v>-5.3506814999999976</v>
      </c>
      <c r="Z39" s="23">
        <v>-345.60259404999994</v>
      </c>
      <c r="AA39" s="23">
        <v>0</v>
      </c>
      <c r="AB39" s="23">
        <v>0</v>
      </c>
      <c r="AC39" s="23">
        <v>-44.471172069999994</v>
      </c>
      <c r="AD39" s="23">
        <v>-43.367338190000005</v>
      </c>
      <c r="AE39" s="23">
        <v>0</v>
      </c>
      <c r="AF39" s="23">
        <v>0</v>
      </c>
      <c r="AG39" s="23">
        <v>0</v>
      </c>
      <c r="AI39" s="23">
        <f>F39</f>
        <v>0</v>
      </c>
      <c r="AJ39" s="23">
        <f>J39</f>
        <v>0</v>
      </c>
      <c r="AK39" s="23">
        <f>N39</f>
        <v>-22.225000000000001</v>
      </c>
      <c r="AL39" s="23">
        <f>R39</f>
        <v>-1.8129999999999999</v>
      </c>
      <c r="AM39" s="23">
        <f>V39</f>
        <v>-17.73873949</v>
      </c>
      <c r="AN39" s="23">
        <f>Z39</f>
        <v>-345.60259404999994</v>
      </c>
      <c r="AO39" s="23">
        <f>AD39</f>
        <v>-43.367338190000005</v>
      </c>
    </row>
    <row r="40" spans="1:41" s="69" customFormat="1" ht="14.25" hidden="1" customHeight="1" outlineLevel="1" x14ac:dyDescent="0.35">
      <c r="A40" s="99"/>
      <c r="B40" s="57" t="s">
        <v>80</v>
      </c>
      <c r="C40" s="57"/>
      <c r="D40" s="57"/>
      <c r="E40" s="57"/>
      <c r="F40" s="57"/>
      <c r="G40" s="57"/>
      <c r="H40" s="57"/>
      <c r="I40" s="57"/>
      <c r="J40" s="23">
        <v>-1.996</v>
      </c>
      <c r="K40" s="23">
        <v>-5.1999999999999998E-2</v>
      </c>
      <c r="L40" s="23">
        <v>-0.39594850000000004</v>
      </c>
      <c r="M40" s="23">
        <v>-1.7962148849360027</v>
      </c>
      <c r="N40" s="23">
        <v>-7.8730000000000002</v>
      </c>
      <c r="O40" s="23">
        <v>-0.97599999999999998</v>
      </c>
      <c r="P40" s="23">
        <v>-11.749000000000001</v>
      </c>
      <c r="Q40" s="23">
        <v>-29.054336019999887</v>
      </c>
      <c r="R40" s="23">
        <v>-61.56</v>
      </c>
      <c r="S40" s="23">
        <v>-30.202999999999999</v>
      </c>
      <c r="T40" s="23">
        <v>-90.348344089999998</v>
      </c>
      <c r="U40" s="23">
        <v>-206.96146406999998</v>
      </c>
      <c r="V40" s="23">
        <v>-328.32615565999998</v>
      </c>
      <c r="W40" s="23">
        <v>-231.93844048</v>
      </c>
      <c r="X40" s="23">
        <v>-476.24700000000001</v>
      </c>
      <c r="Y40" s="23">
        <v>-917.25530811210831</v>
      </c>
      <c r="Z40" s="23">
        <v>-1522.7688826901569</v>
      </c>
      <c r="AA40" s="23">
        <v>-249.84700000000001</v>
      </c>
      <c r="AB40" s="23">
        <v>-475.56200000000001</v>
      </c>
      <c r="AC40" s="23">
        <v>-701.33799999999997</v>
      </c>
      <c r="AD40" s="23">
        <v>-972.274</v>
      </c>
      <c r="AE40" s="23">
        <v>-439.55900000000003</v>
      </c>
      <c r="AF40" s="23">
        <v>-780.45600000000002</v>
      </c>
      <c r="AG40" s="23">
        <v>-1027.0250000000001</v>
      </c>
      <c r="AI40" s="23">
        <f>F40</f>
        <v>0</v>
      </c>
      <c r="AJ40" s="23">
        <f>J40</f>
        <v>-1.996</v>
      </c>
      <c r="AK40" s="23">
        <f>N40</f>
        <v>-7.8730000000000002</v>
      </c>
      <c r="AL40" s="23">
        <f>R40</f>
        <v>-61.56</v>
      </c>
      <c r="AM40" s="23">
        <f>V40</f>
        <v>-328.32615565999998</v>
      </c>
      <c r="AN40" s="23">
        <f>Z40</f>
        <v>-1522.7688826901569</v>
      </c>
      <c r="AO40" s="23">
        <f>AD40</f>
        <v>-972.274</v>
      </c>
    </row>
    <row r="41" spans="1:41" s="69" customFormat="1" ht="14.25" hidden="1" customHeight="1" outlineLevel="1" x14ac:dyDescent="0.35">
      <c r="A41" s="99"/>
      <c r="B41" s="57" t="s">
        <v>81</v>
      </c>
      <c r="C41" s="57"/>
      <c r="D41" s="57"/>
      <c r="E41" s="57"/>
      <c r="F41" s="57"/>
      <c r="G41" s="57"/>
      <c r="H41" s="57"/>
      <c r="I41" s="57"/>
      <c r="J41" s="23">
        <v>-70.394000000000005</v>
      </c>
      <c r="K41" s="23">
        <v>-21.265999999999998</v>
      </c>
      <c r="L41" s="23">
        <v>-44.327733630000047</v>
      </c>
      <c r="M41" s="23">
        <v>-69.164538569999934</v>
      </c>
      <c r="N41" s="23">
        <v>-99.673000000000002</v>
      </c>
      <c r="O41" s="23">
        <v>-29.695</v>
      </c>
      <c r="P41" s="23">
        <v>-66.362983040960003</v>
      </c>
      <c r="Q41" s="23">
        <v>-117.44534374599999</v>
      </c>
      <c r="R41" s="23">
        <v>-192.048</v>
      </c>
      <c r="S41" s="23">
        <v>-80.994</v>
      </c>
      <c r="T41" s="23">
        <v>-148.52799999999999</v>
      </c>
      <c r="U41" s="23">
        <v>-256.74099999999999</v>
      </c>
      <c r="V41" s="23">
        <v>-365.06833669999997</v>
      </c>
      <c r="W41" s="23">
        <v>-118.99299999999999</v>
      </c>
      <c r="X41" s="23">
        <v>-217.29400000000001</v>
      </c>
      <c r="Y41" s="23">
        <v>-373.60459995000002</v>
      </c>
      <c r="Z41" s="23">
        <v>-523.78460886499977</v>
      </c>
      <c r="AA41" s="23">
        <v>-148.98699999999999</v>
      </c>
      <c r="AB41" s="23">
        <v>-325.16399999999999</v>
      </c>
      <c r="AC41" s="23">
        <v>-527.55499999999995</v>
      </c>
      <c r="AD41" s="23">
        <v>-779.55450584999994</v>
      </c>
      <c r="AE41" s="23">
        <v>-241.81399999999999</v>
      </c>
      <c r="AF41" s="23">
        <v>-475.75799999999998</v>
      </c>
      <c r="AG41" s="23">
        <v>-731.36099999999999</v>
      </c>
      <c r="AI41" s="23">
        <f>F41</f>
        <v>0</v>
      </c>
      <c r="AJ41" s="23">
        <f>J41</f>
        <v>-70.394000000000005</v>
      </c>
      <c r="AK41" s="23">
        <f>N41</f>
        <v>-99.673000000000002</v>
      </c>
      <c r="AL41" s="23">
        <f>R41</f>
        <v>-192.048</v>
      </c>
      <c r="AM41" s="23">
        <f>V41</f>
        <v>-365.06833669999997</v>
      </c>
      <c r="AN41" s="23">
        <f>Z41</f>
        <v>-523.78460886499977</v>
      </c>
      <c r="AO41" s="23">
        <f>AD41</f>
        <v>-779.55450584999994</v>
      </c>
    </row>
    <row r="42" spans="1:41" s="69" customFormat="1" ht="14.25" hidden="1" customHeight="1" outlineLevel="1" x14ac:dyDescent="0.35">
      <c r="A42" s="100"/>
      <c r="B42" s="57" t="s">
        <v>82</v>
      </c>
      <c r="C42" s="57"/>
      <c r="D42" s="57"/>
      <c r="E42" s="57"/>
      <c r="F42" s="57"/>
      <c r="G42" s="57"/>
      <c r="H42" s="57"/>
      <c r="I42" s="57"/>
      <c r="J42" s="23">
        <v>-337.09800000000001</v>
      </c>
      <c r="K42" s="23">
        <v>0</v>
      </c>
      <c r="L42" s="23">
        <v>0</v>
      </c>
      <c r="M42" s="23">
        <v>0</v>
      </c>
      <c r="N42" s="23">
        <v>-209.56899999999999</v>
      </c>
      <c r="O42" s="23">
        <v>0</v>
      </c>
      <c r="P42" s="23">
        <v>0</v>
      </c>
      <c r="Q42" s="23">
        <v>0</v>
      </c>
      <c r="R42" s="23">
        <v>0</v>
      </c>
      <c r="S42" s="23">
        <v>-1589.655</v>
      </c>
      <c r="T42" s="23">
        <v>-1790.1181447900001</v>
      </c>
      <c r="U42" s="23">
        <v>-1724.8773812500003</v>
      </c>
      <c r="V42" s="23">
        <v>-1109.6185280199998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-38.192681670000034</v>
      </c>
      <c r="AC42" s="23">
        <v>0</v>
      </c>
      <c r="AD42" s="23">
        <v>0</v>
      </c>
      <c r="AE42" s="23">
        <v>-69.43692904999989</v>
      </c>
      <c r="AF42" s="23">
        <v>-3.779419590000034</v>
      </c>
      <c r="AG42" s="23">
        <v>0.39300000000000002</v>
      </c>
      <c r="AI42" s="23">
        <f>F42</f>
        <v>0</v>
      </c>
      <c r="AJ42" s="23">
        <f>J42</f>
        <v>-337.09800000000001</v>
      </c>
      <c r="AK42" s="23">
        <f>N42</f>
        <v>-209.56899999999999</v>
      </c>
      <c r="AL42" s="23">
        <f>R42</f>
        <v>0</v>
      </c>
      <c r="AM42" s="23">
        <f>V42</f>
        <v>-1109.6185280199998</v>
      </c>
      <c r="AN42" s="23">
        <f>Z42</f>
        <v>0</v>
      </c>
      <c r="AO42" s="23">
        <f>AD42</f>
        <v>0</v>
      </c>
    </row>
    <row r="43" spans="1:41" s="69" customFormat="1" ht="14.25" hidden="1" customHeight="1" outlineLevel="1" x14ac:dyDescent="0.35">
      <c r="A43" s="99"/>
      <c r="B43" s="57" t="s">
        <v>83</v>
      </c>
      <c r="C43" s="57"/>
      <c r="D43" s="57"/>
      <c r="E43" s="57"/>
      <c r="F43" s="57"/>
      <c r="G43" s="57"/>
      <c r="H43" s="57"/>
      <c r="I43" s="57"/>
      <c r="J43" s="23">
        <v>206.19</v>
      </c>
      <c r="K43" s="23">
        <v>113.742</v>
      </c>
      <c r="L43" s="23">
        <v>131.87073697999998</v>
      </c>
      <c r="M43" s="23">
        <v>132.10707499999998</v>
      </c>
      <c r="N43" s="23">
        <v>132.107</v>
      </c>
      <c r="O43" s="23">
        <v>211.11645851999998</v>
      </c>
      <c r="P43" s="23">
        <v>211.11645851999998</v>
      </c>
      <c r="Q43" s="23">
        <v>211.11645851999998</v>
      </c>
      <c r="R43" s="23">
        <v>211.11600000000001</v>
      </c>
      <c r="S43" s="23">
        <v>0</v>
      </c>
      <c r="T43" s="23">
        <v>0</v>
      </c>
      <c r="U43" s="23">
        <v>0</v>
      </c>
      <c r="V43" s="23">
        <v>0</v>
      </c>
      <c r="W43" s="23">
        <v>983.1597340300001</v>
      </c>
      <c r="X43" s="23">
        <v>839.06974083999989</v>
      </c>
      <c r="Y43" s="23">
        <v>636.43166561999999</v>
      </c>
      <c r="Z43" s="23">
        <v>530.66701062000004</v>
      </c>
      <c r="AA43" s="23">
        <v>40.143999999999998</v>
      </c>
      <c r="AB43" s="23">
        <v>0</v>
      </c>
      <c r="AC43" s="23">
        <v>2.293141019999962</v>
      </c>
      <c r="AD43" s="23">
        <v>324.24699013000003</v>
      </c>
      <c r="AE43" s="23">
        <v>0</v>
      </c>
      <c r="AF43" s="23">
        <v>0</v>
      </c>
      <c r="AG43" s="23">
        <v>0</v>
      </c>
      <c r="AI43" s="23">
        <f>F43</f>
        <v>0</v>
      </c>
      <c r="AJ43" s="23">
        <f>J43</f>
        <v>206.19</v>
      </c>
      <c r="AK43" s="23">
        <f>N43</f>
        <v>132.107</v>
      </c>
      <c r="AL43" s="23">
        <f>R43</f>
        <v>211.11600000000001</v>
      </c>
      <c r="AM43" s="23">
        <f>V43</f>
        <v>0</v>
      </c>
      <c r="AN43" s="23">
        <f>Z43</f>
        <v>530.66701062000004</v>
      </c>
      <c r="AO43" s="23">
        <f>AD43</f>
        <v>324.24699013000003</v>
      </c>
    </row>
    <row r="44" spans="1:41" s="69" customFormat="1" ht="14.25" customHeight="1" collapsed="1" x14ac:dyDescent="0.35">
      <c r="A44" s="99"/>
      <c r="B44" s="55" t="s">
        <v>117</v>
      </c>
      <c r="C44" s="55"/>
      <c r="D44" s="55"/>
      <c r="E44" s="55"/>
      <c r="F44" s="55"/>
      <c r="G44" s="55"/>
      <c r="H44" s="55"/>
      <c r="I44" s="55"/>
      <c r="J44" s="42">
        <f t="shared" ref="J44" si="29">SUM(J39:J43)</f>
        <v>-203.298</v>
      </c>
      <c r="K44" s="42">
        <f>SUM(K39:K43)</f>
        <v>92.424000000000007</v>
      </c>
      <c r="L44" s="42">
        <f t="shared" ref="L44:AC44" si="30">SUM(L39:L43)</f>
        <v>83.799004856968963</v>
      </c>
      <c r="M44" s="42">
        <f t="shared" si="30"/>
        <v>57.800271552033081</v>
      </c>
      <c r="N44" s="42">
        <f t="shared" si="30"/>
        <v>-207.23300000000003</v>
      </c>
      <c r="O44" s="42">
        <f t="shared" si="30"/>
        <v>180.44545851999999</v>
      </c>
      <c r="P44" s="42">
        <f t="shared" si="30"/>
        <v>133.00447547903997</v>
      </c>
      <c r="Q44" s="42">
        <f t="shared" si="30"/>
        <v>64.616778754000109</v>
      </c>
      <c r="R44" s="42">
        <f t="shared" si="30"/>
        <v>-44.304999999999978</v>
      </c>
      <c r="S44" s="42">
        <f t="shared" si="30"/>
        <v>-1716.605</v>
      </c>
      <c r="T44" s="42">
        <f t="shared" si="30"/>
        <v>-2044.7474400900001</v>
      </c>
      <c r="U44" s="42">
        <f t="shared" si="30"/>
        <v>-2206.6268875500004</v>
      </c>
      <c r="V44" s="42">
        <f t="shared" si="30"/>
        <v>-1820.7517598699997</v>
      </c>
      <c r="W44" s="42">
        <f t="shared" si="30"/>
        <v>632.2282935500001</v>
      </c>
      <c r="X44" s="42">
        <f t="shared" si="30"/>
        <v>145.52874083999984</v>
      </c>
      <c r="Y44" s="42">
        <f t="shared" si="30"/>
        <v>-659.77892394210824</v>
      </c>
      <c r="Z44" s="42">
        <f t="shared" si="30"/>
        <v>-1861.4890749851565</v>
      </c>
      <c r="AA44" s="42">
        <f t="shared" si="30"/>
        <v>-358.69</v>
      </c>
      <c r="AB44" s="42">
        <f t="shared" si="30"/>
        <v>-838.91868167000007</v>
      </c>
      <c r="AC44" s="42">
        <f t="shared" si="30"/>
        <v>-1271.0710310499999</v>
      </c>
      <c r="AD44" s="42">
        <f t="shared" ref="AD44:AI44" si="31">SUM(AD39:AD43)</f>
        <v>-1470.9488539099998</v>
      </c>
      <c r="AE44" s="42">
        <f t="shared" si="31"/>
        <v>-750.80992904999994</v>
      </c>
      <c r="AF44" s="42">
        <f t="shared" ref="AF44:AG44" si="32">SUM(AF39:AF43)</f>
        <v>-1259.99341959</v>
      </c>
      <c r="AG44" s="42">
        <f t="shared" si="32"/>
        <v>-1757.9929999999999</v>
      </c>
      <c r="AI44" s="42">
        <f t="shared" si="31"/>
        <v>0</v>
      </c>
      <c r="AJ44" s="42">
        <f t="shared" ref="AJ44:AO44" si="33">SUM(AJ39:AJ43)</f>
        <v>-203.298</v>
      </c>
      <c r="AK44" s="42">
        <f t="shared" si="33"/>
        <v>-207.23300000000003</v>
      </c>
      <c r="AL44" s="42">
        <f t="shared" si="33"/>
        <v>-44.304999999999978</v>
      </c>
      <c r="AM44" s="42">
        <f t="shared" si="33"/>
        <v>-1820.7517598699997</v>
      </c>
      <c r="AN44" s="42">
        <f t="shared" si="33"/>
        <v>-1861.4890749851565</v>
      </c>
      <c r="AO44" s="42">
        <f t="shared" si="33"/>
        <v>-1470.9488539099998</v>
      </c>
    </row>
    <row r="45" spans="1:41" s="69" customFormat="1" ht="14.25" hidden="1" customHeight="1" outlineLevel="1" x14ac:dyDescent="0.35">
      <c r="A45" s="100"/>
      <c r="B45" s="57" t="s">
        <v>84</v>
      </c>
      <c r="C45" s="57"/>
      <c r="D45" s="57"/>
      <c r="E45" s="57"/>
      <c r="F45" s="57"/>
      <c r="G45" s="57"/>
      <c r="H45" s="57"/>
      <c r="I45" s="57"/>
      <c r="J45" s="23">
        <v>0</v>
      </c>
      <c r="K45" s="23">
        <v>-199.48</v>
      </c>
      <c r="L45" s="23">
        <v>-199.48000271999999</v>
      </c>
      <c r="M45" s="23">
        <v>-199.48000271999999</v>
      </c>
      <c r="N45" s="23">
        <v>-199.48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-250</v>
      </c>
      <c r="AI45" s="23">
        <f t="shared" ref="AI45:AI56" si="34">F45</f>
        <v>0</v>
      </c>
      <c r="AJ45" s="23">
        <f t="shared" ref="AJ45:AJ56" si="35">J45</f>
        <v>0</v>
      </c>
      <c r="AK45" s="23">
        <f t="shared" ref="AK45:AK56" si="36">N45</f>
        <v>-199.48</v>
      </c>
      <c r="AL45" s="23">
        <f t="shared" ref="AL45:AL56" si="37">R45</f>
        <v>0</v>
      </c>
      <c r="AM45" s="23">
        <f t="shared" ref="AM45:AM56" si="38">V45</f>
        <v>0</v>
      </c>
      <c r="AN45" s="23">
        <f t="shared" ref="AN45:AN56" si="39">Z45</f>
        <v>0</v>
      </c>
      <c r="AO45" s="23">
        <f t="shared" ref="AO45:AO56" si="40">AD45</f>
        <v>0</v>
      </c>
    </row>
    <row r="46" spans="1:41" s="69" customFormat="1" ht="14.25" hidden="1" customHeight="1" outlineLevel="1" x14ac:dyDescent="0.35">
      <c r="A46" s="99"/>
      <c r="B46" s="57" t="s">
        <v>99</v>
      </c>
      <c r="C46" s="57"/>
      <c r="D46" s="57"/>
      <c r="E46" s="57"/>
      <c r="F46" s="57"/>
      <c r="G46" s="57"/>
      <c r="H46" s="57"/>
      <c r="I46" s="57"/>
      <c r="J46" s="23">
        <v>199.39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1012.086</v>
      </c>
      <c r="AE46" s="23">
        <v>250</v>
      </c>
      <c r="AF46" s="23">
        <v>250</v>
      </c>
      <c r="AG46" s="23">
        <v>250</v>
      </c>
      <c r="AI46" s="23">
        <f t="shared" si="34"/>
        <v>0</v>
      </c>
      <c r="AJ46" s="23">
        <f t="shared" si="35"/>
        <v>199.39</v>
      </c>
      <c r="AK46" s="23">
        <f t="shared" si="36"/>
        <v>0</v>
      </c>
      <c r="AL46" s="23">
        <f t="shared" si="37"/>
        <v>0</v>
      </c>
      <c r="AM46" s="23">
        <f t="shared" si="38"/>
        <v>0</v>
      </c>
      <c r="AN46" s="23">
        <f t="shared" si="39"/>
        <v>0</v>
      </c>
      <c r="AO46" s="23">
        <f t="shared" si="40"/>
        <v>1012.086</v>
      </c>
    </row>
    <row r="47" spans="1:41" s="69" customFormat="1" ht="14.25" hidden="1" customHeight="1" outlineLevel="1" x14ac:dyDescent="0.35">
      <c r="A47" s="99"/>
      <c r="B47" s="57" t="s">
        <v>218</v>
      </c>
      <c r="C47" s="57"/>
      <c r="D47" s="57"/>
      <c r="E47" s="57"/>
      <c r="F47" s="57"/>
      <c r="G47" s="57"/>
      <c r="H47" s="57"/>
      <c r="I47" s="57"/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-7.0149078499999993</v>
      </c>
      <c r="AG47" s="23">
        <v>-15.337</v>
      </c>
      <c r="AI47" s="23">
        <f t="shared" ref="AI47" si="41">F47</f>
        <v>0</v>
      </c>
      <c r="AJ47" s="23">
        <f t="shared" ref="AJ47" si="42">J47</f>
        <v>0</v>
      </c>
      <c r="AK47" s="23">
        <f t="shared" ref="AK47" si="43">N47</f>
        <v>0</v>
      </c>
      <c r="AL47" s="23">
        <f t="shared" ref="AL47" si="44">R47</f>
        <v>0</v>
      </c>
      <c r="AM47" s="23">
        <f t="shared" ref="AM47" si="45">V47</f>
        <v>0</v>
      </c>
      <c r="AN47" s="23">
        <f t="shared" ref="AN47" si="46">Z47</f>
        <v>0</v>
      </c>
      <c r="AO47" s="23">
        <f t="shared" ref="AO47" si="47">AD47</f>
        <v>0</v>
      </c>
    </row>
    <row r="48" spans="1:41" s="69" customFormat="1" ht="14.25" hidden="1" customHeight="1" outlineLevel="1" x14ac:dyDescent="0.35">
      <c r="A48" s="99"/>
      <c r="B48" s="57" t="s">
        <v>85</v>
      </c>
      <c r="C48" s="57"/>
      <c r="D48" s="57"/>
      <c r="E48" s="57"/>
      <c r="F48" s="57"/>
      <c r="G48" s="57"/>
      <c r="H48" s="57"/>
      <c r="I48" s="57"/>
      <c r="J48" s="23">
        <v>0</v>
      </c>
      <c r="K48" s="23">
        <v>-5.8310000000000004</v>
      </c>
      <c r="L48" s="23">
        <v>-5.8306549800000003</v>
      </c>
      <c r="M48" s="23">
        <v>-5.83265498</v>
      </c>
      <c r="N48" s="23">
        <v>-5.8310000000000004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I48" s="23">
        <f t="shared" si="34"/>
        <v>0</v>
      </c>
      <c r="AJ48" s="23">
        <f t="shared" si="35"/>
        <v>0</v>
      </c>
      <c r="AK48" s="23">
        <f t="shared" si="36"/>
        <v>-5.8310000000000004</v>
      </c>
      <c r="AL48" s="23">
        <f t="shared" si="37"/>
        <v>0</v>
      </c>
      <c r="AM48" s="23">
        <f t="shared" si="38"/>
        <v>0</v>
      </c>
      <c r="AN48" s="23">
        <f t="shared" si="39"/>
        <v>0</v>
      </c>
      <c r="AO48" s="23">
        <f t="shared" si="40"/>
        <v>0</v>
      </c>
    </row>
    <row r="49" spans="1:41" s="69" customFormat="1" ht="14.25" hidden="1" customHeight="1" outlineLevel="1" x14ac:dyDescent="0.35">
      <c r="A49" s="100"/>
      <c r="B49" s="57" t="s">
        <v>86</v>
      </c>
      <c r="C49" s="57"/>
      <c r="D49" s="57"/>
      <c r="E49" s="57"/>
      <c r="F49" s="57"/>
      <c r="G49" s="57"/>
      <c r="H49" s="57"/>
      <c r="I49" s="57"/>
      <c r="J49" s="23">
        <v>0</v>
      </c>
      <c r="K49" s="23">
        <v>0</v>
      </c>
      <c r="L49" s="23">
        <v>0</v>
      </c>
      <c r="M49" s="23">
        <v>-54.27265371</v>
      </c>
      <c r="N49" s="23">
        <v>-54.273000000000003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I49" s="23">
        <f t="shared" si="34"/>
        <v>0</v>
      </c>
      <c r="AJ49" s="23">
        <f t="shared" si="35"/>
        <v>0</v>
      </c>
      <c r="AK49" s="23">
        <f t="shared" si="36"/>
        <v>-54.273000000000003</v>
      </c>
      <c r="AL49" s="23">
        <f t="shared" si="37"/>
        <v>0</v>
      </c>
      <c r="AM49" s="23">
        <f t="shared" si="38"/>
        <v>0</v>
      </c>
      <c r="AN49" s="23">
        <f t="shared" si="39"/>
        <v>0</v>
      </c>
      <c r="AO49" s="23">
        <f t="shared" si="40"/>
        <v>0</v>
      </c>
    </row>
    <row r="50" spans="1:41" s="69" customFormat="1" ht="14.25" hidden="1" customHeight="1" outlineLevel="1" x14ac:dyDescent="0.35">
      <c r="A50" s="99"/>
      <c r="B50" s="57" t="s">
        <v>87</v>
      </c>
      <c r="C50" s="57"/>
      <c r="D50" s="57"/>
      <c r="E50" s="57"/>
      <c r="F50" s="57"/>
      <c r="G50" s="57"/>
      <c r="H50" s="57"/>
      <c r="I50" s="57"/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3444.8752083242375</v>
      </c>
      <c r="P50" s="23">
        <v>4744.9002556977393</v>
      </c>
      <c r="Q50" s="23">
        <v>4717.874090000525</v>
      </c>
      <c r="R50" s="23">
        <v>4717.8745151770254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I50" s="23">
        <f t="shared" si="34"/>
        <v>0</v>
      </c>
      <c r="AJ50" s="23">
        <f t="shared" si="35"/>
        <v>0</v>
      </c>
      <c r="AK50" s="23">
        <f t="shared" si="36"/>
        <v>0</v>
      </c>
      <c r="AL50" s="23">
        <f t="shared" si="37"/>
        <v>4717.8745151770254</v>
      </c>
      <c r="AM50" s="23">
        <f t="shared" si="38"/>
        <v>0</v>
      </c>
      <c r="AN50" s="23">
        <f t="shared" si="39"/>
        <v>0</v>
      </c>
      <c r="AO50" s="23">
        <f t="shared" si="40"/>
        <v>0</v>
      </c>
    </row>
    <row r="51" spans="1:41" s="69" customFormat="1" ht="14.25" hidden="1" customHeight="1" outlineLevel="1" x14ac:dyDescent="0.35">
      <c r="A51" s="99"/>
      <c r="B51" s="57" t="s">
        <v>88</v>
      </c>
      <c r="C51" s="57"/>
      <c r="D51" s="57"/>
      <c r="E51" s="57"/>
      <c r="F51" s="57"/>
      <c r="G51" s="57"/>
      <c r="H51" s="57"/>
      <c r="I51" s="57"/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I51" s="23">
        <f t="shared" si="34"/>
        <v>0</v>
      </c>
      <c r="AJ51" s="23">
        <f t="shared" si="35"/>
        <v>0</v>
      </c>
      <c r="AK51" s="23">
        <f t="shared" si="36"/>
        <v>0</v>
      </c>
      <c r="AL51" s="23">
        <f t="shared" si="37"/>
        <v>0</v>
      </c>
      <c r="AM51" s="23">
        <f t="shared" si="38"/>
        <v>0</v>
      </c>
      <c r="AN51" s="23">
        <f t="shared" si="39"/>
        <v>0</v>
      </c>
      <c r="AO51" s="23">
        <f t="shared" si="40"/>
        <v>0</v>
      </c>
    </row>
    <row r="52" spans="1:41" s="69" customFormat="1" ht="14.25" hidden="1" customHeight="1" outlineLevel="1" x14ac:dyDescent="0.35">
      <c r="A52" s="100"/>
      <c r="B52" s="57" t="s">
        <v>89</v>
      </c>
      <c r="C52" s="57"/>
      <c r="D52" s="57"/>
      <c r="E52" s="57"/>
      <c r="F52" s="57"/>
      <c r="G52" s="57"/>
      <c r="H52" s="57"/>
      <c r="I52" s="57"/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-147.97232644740001</v>
      </c>
      <c r="P52" s="23">
        <v>-186.34933832052502</v>
      </c>
      <c r="Q52" s="23">
        <v>-189.85163825052501</v>
      </c>
      <c r="R52" s="23">
        <v>-189.852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I52" s="23">
        <f t="shared" si="34"/>
        <v>0</v>
      </c>
      <c r="AJ52" s="23">
        <f t="shared" si="35"/>
        <v>0</v>
      </c>
      <c r="AK52" s="23">
        <f t="shared" si="36"/>
        <v>0</v>
      </c>
      <c r="AL52" s="23">
        <f t="shared" si="37"/>
        <v>-189.852</v>
      </c>
      <c r="AM52" s="23">
        <f t="shared" si="38"/>
        <v>0</v>
      </c>
      <c r="AN52" s="23">
        <f t="shared" si="39"/>
        <v>0</v>
      </c>
      <c r="AO52" s="23">
        <f t="shared" si="40"/>
        <v>0</v>
      </c>
    </row>
    <row r="53" spans="1:41" s="69" customFormat="1" ht="14.25" hidden="1" customHeight="1" outlineLevel="1" x14ac:dyDescent="0.35">
      <c r="A53" s="99"/>
      <c r="B53" s="57" t="s">
        <v>148</v>
      </c>
      <c r="C53" s="57"/>
      <c r="D53" s="57"/>
      <c r="E53" s="57"/>
      <c r="F53" s="57"/>
      <c r="G53" s="57"/>
      <c r="H53" s="57"/>
      <c r="I53" s="57"/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-3.3862137299999957</v>
      </c>
      <c r="AB53" s="23">
        <v>-6.3841635300000057</v>
      </c>
      <c r="AC53" s="23">
        <v>-10.602541600000004</v>
      </c>
      <c r="AD53" s="23">
        <v>-15.147985360000002</v>
      </c>
      <c r="AE53" s="23">
        <v>-4.1718045200000002</v>
      </c>
      <c r="AF53" s="23">
        <v>-9.7745619999999995</v>
      </c>
      <c r="AG53" s="23">
        <v>-13.977</v>
      </c>
      <c r="AI53" s="23">
        <f t="shared" si="34"/>
        <v>0</v>
      </c>
      <c r="AJ53" s="23">
        <f t="shared" si="35"/>
        <v>0</v>
      </c>
      <c r="AK53" s="23">
        <f t="shared" si="36"/>
        <v>0</v>
      </c>
      <c r="AL53" s="23">
        <f t="shared" si="37"/>
        <v>0</v>
      </c>
      <c r="AM53" s="23">
        <f t="shared" si="38"/>
        <v>0</v>
      </c>
      <c r="AN53" s="23">
        <f t="shared" si="39"/>
        <v>0</v>
      </c>
      <c r="AO53" s="23">
        <f t="shared" si="40"/>
        <v>-15.147985360000002</v>
      </c>
    </row>
    <row r="54" spans="1:41" s="69" customFormat="1" ht="14.25" hidden="1" customHeight="1" outlineLevel="1" x14ac:dyDescent="0.35">
      <c r="A54" s="99"/>
      <c r="B54" s="57" t="s">
        <v>90</v>
      </c>
      <c r="C54" s="57"/>
      <c r="D54" s="57"/>
      <c r="E54" s="57"/>
      <c r="F54" s="57"/>
      <c r="G54" s="57"/>
      <c r="H54" s="57"/>
      <c r="I54" s="57"/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-39.531999999999996</v>
      </c>
      <c r="S54" s="23">
        <v>0</v>
      </c>
      <c r="T54" s="23">
        <v>0</v>
      </c>
      <c r="U54" s="23">
        <v>0</v>
      </c>
      <c r="V54" s="23">
        <v>-1.7352206484000001</v>
      </c>
      <c r="W54" s="23">
        <v>-44.774338369292998</v>
      </c>
      <c r="X54" s="23">
        <v>-44.774338369292998</v>
      </c>
      <c r="Y54" s="23">
        <v>-44.774338369292998</v>
      </c>
      <c r="Z54" s="23">
        <v>-44.774338369292998</v>
      </c>
      <c r="AA54" s="23">
        <v>0</v>
      </c>
      <c r="AB54" s="23">
        <v>0</v>
      </c>
      <c r="AC54" s="23">
        <v>0</v>
      </c>
      <c r="AD54" s="23">
        <v>-257.99215684241534</v>
      </c>
      <c r="AE54" s="23">
        <v>-93.612607319999995</v>
      </c>
      <c r="AF54" s="23">
        <v>-93.612607319999995</v>
      </c>
      <c r="AG54" s="23">
        <v>-191.81899999999999</v>
      </c>
      <c r="AI54" s="23">
        <f t="shared" si="34"/>
        <v>0</v>
      </c>
      <c r="AJ54" s="23">
        <f t="shared" si="35"/>
        <v>0</v>
      </c>
      <c r="AK54" s="23">
        <f t="shared" si="36"/>
        <v>0</v>
      </c>
      <c r="AL54" s="23">
        <f t="shared" si="37"/>
        <v>-39.531999999999996</v>
      </c>
      <c r="AM54" s="23">
        <f t="shared" si="38"/>
        <v>-1.7352206484000001</v>
      </c>
      <c r="AN54" s="23">
        <f t="shared" si="39"/>
        <v>-44.774338369292998</v>
      </c>
      <c r="AO54" s="23">
        <f t="shared" si="40"/>
        <v>-257.99215684241534</v>
      </c>
    </row>
    <row r="55" spans="1:41" s="69" customFormat="1" ht="14.25" hidden="1" customHeight="1" outlineLevel="1" x14ac:dyDescent="0.35">
      <c r="A55" s="100"/>
      <c r="B55" s="57" t="s">
        <v>94</v>
      </c>
      <c r="C55" s="57"/>
      <c r="D55" s="57"/>
      <c r="E55" s="57"/>
      <c r="F55" s="57"/>
      <c r="G55" s="57"/>
      <c r="H55" s="57"/>
      <c r="I55" s="57"/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-4.6500000000000004</v>
      </c>
      <c r="P55" s="23">
        <v>-5.3903473800000006</v>
      </c>
      <c r="Q55" s="23">
        <v>-5.3890000000000002</v>
      </c>
      <c r="R55" s="23">
        <v>-5.3890000000000002</v>
      </c>
      <c r="S55" s="23">
        <v>-13.992000000000001</v>
      </c>
      <c r="T55" s="23">
        <v>-15.991756519999999</v>
      </c>
      <c r="U55" s="23">
        <v>-15.991756519999999</v>
      </c>
      <c r="V55" s="23">
        <v>-15.991756519999999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I55" s="23">
        <f t="shared" si="34"/>
        <v>0</v>
      </c>
      <c r="AJ55" s="23">
        <f t="shared" si="35"/>
        <v>0</v>
      </c>
      <c r="AK55" s="23">
        <f t="shared" si="36"/>
        <v>0</v>
      </c>
      <c r="AL55" s="23">
        <f t="shared" si="37"/>
        <v>-5.3890000000000002</v>
      </c>
      <c r="AM55" s="23">
        <f t="shared" si="38"/>
        <v>-15.991756519999999</v>
      </c>
      <c r="AN55" s="23">
        <f t="shared" si="39"/>
        <v>0</v>
      </c>
      <c r="AO55" s="23">
        <f t="shared" si="40"/>
        <v>0</v>
      </c>
    </row>
    <row r="56" spans="1:41" s="69" customFormat="1" ht="14.25" hidden="1" customHeight="1" outlineLevel="1" x14ac:dyDescent="0.35">
      <c r="A56" s="99"/>
      <c r="B56" s="57" t="s">
        <v>95</v>
      </c>
      <c r="C56" s="57"/>
      <c r="D56" s="57"/>
      <c r="E56" s="57"/>
      <c r="F56" s="57"/>
      <c r="G56" s="57"/>
      <c r="H56" s="57"/>
      <c r="I56" s="57"/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20</v>
      </c>
      <c r="P56" s="23">
        <v>20.334145039999999</v>
      </c>
      <c r="Q56" s="23">
        <v>20.6392509</v>
      </c>
      <c r="R56" s="23">
        <v>20.686414129999996</v>
      </c>
      <c r="S56" s="23">
        <v>0.34799999999999998</v>
      </c>
      <c r="T56" s="23">
        <v>0.30544905000000289</v>
      </c>
      <c r="U56" s="23">
        <v>0.96858587000000262</v>
      </c>
      <c r="V56" s="23">
        <v>-0.2228377999999975</v>
      </c>
      <c r="W56" s="23">
        <v>-0.11457632999999987</v>
      </c>
      <c r="X56" s="23">
        <v>8.9974409999998894E-2</v>
      </c>
      <c r="Y56" s="23">
        <v>0.26128830000000014</v>
      </c>
      <c r="Z56" s="23">
        <v>-10.28917974</v>
      </c>
      <c r="AA56" s="23">
        <v>0.06</v>
      </c>
      <c r="AB56" s="23">
        <v>0.15733324999999967</v>
      </c>
      <c r="AC56" s="23">
        <v>0</v>
      </c>
      <c r="AD56" s="23">
        <v>-11.707979620000001</v>
      </c>
      <c r="AE56" s="23">
        <v>0</v>
      </c>
      <c r="AF56" s="23">
        <v>0</v>
      </c>
      <c r="AG56" s="23">
        <v>0</v>
      </c>
      <c r="AI56" s="23">
        <f t="shared" si="34"/>
        <v>0</v>
      </c>
      <c r="AJ56" s="23">
        <f t="shared" si="35"/>
        <v>0</v>
      </c>
      <c r="AK56" s="23">
        <f t="shared" si="36"/>
        <v>0</v>
      </c>
      <c r="AL56" s="23">
        <f t="shared" si="37"/>
        <v>20.686414129999996</v>
      </c>
      <c r="AM56" s="23">
        <f t="shared" si="38"/>
        <v>-0.2228377999999975</v>
      </c>
      <c r="AN56" s="23">
        <f t="shared" si="39"/>
        <v>-10.28917974</v>
      </c>
      <c r="AO56" s="23">
        <f t="shared" si="40"/>
        <v>-11.707979620000001</v>
      </c>
    </row>
    <row r="57" spans="1:41" s="69" customFormat="1" ht="14.25" customHeight="1" collapsed="1" x14ac:dyDescent="0.35">
      <c r="A57" s="99"/>
      <c r="B57" s="55" t="s">
        <v>118</v>
      </c>
      <c r="C57" s="55"/>
      <c r="D57" s="55"/>
      <c r="E57" s="55"/>
      <c r="F57" s="55"/>
      <c r="G57" s="55"/>
      <c r="H57" s="55"/>
      <c r="I57" s="55"/>
      <c r="J57" s="42">
        <f t="shared" ref="J57" si="48">SUM(J45:J56)</f>
        <v>199.39</v>
      </c>
      <c r="K57" s="42">
        <f>SUM(K45:K56)</f>
        <v>-205.31099999999998</v>
      </c>
      <c r="L57" s="42">
        <f t="shared" ref="L57:AC57" si="49">SUM(L45:L56)</f>
        <v>-205.31065769999998</v>
      </c>
      <c r="M57" s="42">
        <f t="shared" si="49"/>
        <v>-259.58531140999997</v>
      </c>
      <c r="N57" s="42">
        <f t="shared" si="49"/>
        <v>-259.584</v>
      </c>
      <c r="O57" s="42">
        <f t="shared" si="49"/>
        <v>3312.2528818768374</v>
      </c>
      <c r="P57" s="42">
        <f t="shared" si="49"/>
        <v>4573.4947150372145</v>
      </c>
      <c r="Q57" s="42">
        <f t="shared" si="49"/>
        <v>4543.2727026499997</v>
      </c>
      <c r="R57" s="42">
        <f t="shared" si="49"/>
        <v>4503.7879293070255</v>
      </c>
      <c r="S57" s="42">
        <f t="shared" si="49"/>
        <v>-13.644</v>
      </c>
      <c r="T57" s="42">
        <f t="shared" si="49"/>
        <v>-15.686307469999996</v>
      </c>
      <c r="U57" s="42">
        <f t="shared" si="49"/>
        <v>-15.023170649999997</v>
      </c>
      <c r="V57" s="42">
        <f t="shared" si="49"/>
        <v>-17.949814968399995</v>
      </c>
      <c r="W57" s="42">
        <f t="shared" si="49"/>
        <v>-44.888914699292997</v>
      </c>
      <c r="X57" s="42">
        <f t="shared" si="49"/>
        <v>-44.684363959293002</v>
      </c>
      <c r="Y57" s="42">
        <f t="shared" si="49"/>
        <v>-44.513050069293001</v>
      </c>
      <c r="Z57" s="42">
        <f t="shared" si="49"/>
        <v>-55.063518109293</v>
      </c>
      <c r="AA57" s="42">
        <f t="shared" si="49"/>
        <v>-3.3262137299999956</v>
      </c>
      <c r="AB57" s="42">
        <f t="shared" si="49"/>
        <v>-6.2268302800000059</v>
      </c>
      <c r="AC57" s="42">
        <f t="shared" si="49"/>
        <v>-10.602541600000004</v>
      </c>
      <c r="AD57" s="42">
        <f t="shared" ref="AD57:AI57" si="50">SUM(AD45:AD56)</f>
        <v>727.23787817758478</v>
      </c>
      <c r="AE57" s="42">
        <f t="shared" ref="AE57:AG57" si="51">SUM(AE45:AE56)</f>
        <v>152.21558816000001</v>
      </c>
      <c r="AF57" s="42">
        <f t="shared" si="51"/>
        <v>139.59792283000002</v>
      </c>
      <c r="AG57" s="42">
        <f t="shared" si="51"/>
        <v>-221.13299999999998</v>
      </c>
      <c r="AI57" s="42">
        <f t="shared" si="50"/>
        <v>0</v>
      </c>
      <c r="AJ57" s="42">
        <f t="shared" ref="AJ57:AO57" si="52">SUM(AJ45:AJ56)</f>
        <v>199.39</v>
      </c>
      <c r="AK57" s="42">
        <f t="shared" si="52"/>
        <v>-259.584</v>
      </c>
      <c r="AL57" s="42">
        <f t="shared" si="52"/>
        <v>4503.7879293070255</v>
      </c>
      <c r="AM57" s="42">
        <f t="shared" si="52"/>
        <v>-17.949814968399995</v>
      </c>
      <c r="AN57" s="42">
        <f t="shared" si="52"/>
        <v>-55.063518109293</v>
      </c>
      <c r="AO57" s="42">
        <f t="shared" si="52"/>
        <v>727.23787817758478</v>
      </c>
    </row>
    <row r="58" spans="1:41" s="69" customFormat="1" ht="14.25" customHeight="1" x14ac:dyDescent="0.35">
      <c r="A58" s="100"/>
      <c r="B58" s="58" t="s">
        <v>119</v>
      </c>
      <c r="C58" s="58"/>
      <c r="D58" s="58"/>
      <c r="E58" s="58"/>
      <c r="F58" s="58"/>
      <c r="G58" s="58"/>
      <c r="H58" s="58"/>
      <c r="I58" s="58"/>
      <c r="J58" s="28">
        <f t="shared" ref="J58:K58" si="53">J38+J44+J57</f>
        <v>73.081000000000046</v>
      </c>
      <c r="K58" s="28">
        <f t="shared" si="53"/>
        <v>-65.225837843877969</v>
      </c>
      <c r="L58" s="28">
        <f t="shared" ref="L58" si="54">L38+L44+L57</f>
        <v>-66.816041750948898</v>
      </c>
      <c r="M58" s="28">
        <f t="shared" ref="M58" si="55">M38+M44+M57</f>
        <v>-38.157658886409962</v>
      </c>
      <c r="N58" s="28">
        <f t="shared" ref="N58" si="56">N38+N44+N57</f>
        <v>-13.250999999999948</v>
      </c>
      <c r="O58" s="28">
        <f t="shared" ref="O58" si="57">O38+O44+O57</f>
        <v>2478.6238757058363</v>
      </c>
      <c r="P58" s="28">
        <f t="shared" ref="P58" si="58">P38+P44+P57</f>
        <v>2846.7131169692175</v>
      </c>
      <c r="Q58" s="28">
        <f t="shared" ref="Q58" si="59">Q38+Q44+Q57</f>
        <v>2403.2885988034172</v>
      </c>
      <c r="R58" s="28">
        <f t="shared" ref="R58" si="60">R38+R44+R57</f>
        <v>2696.2798323985635</v>
      </c>
      <c r="S58" s="28">
        <f t="shared" ref="S58" si="61">S38+S44+S57</f>
        <v>-1930.1519999999998</v>
      </c>
      <c r="T58" s="28">
        <f t="shared" ref="T58" si="62">T38+T44+T57</f>
        <v>-2508.2822276627644</v>
      </c>
      <c r="U58" s="28">
        <f t="shared" ref="U58" si="63">U38+U44+U57</f>
        <v>-2448.9660582740667</v>
      </c>
      <c r="V58" s="28">
        <f t="shared" ref="V58" si="64">V38+V44+V57</f>
        <v>-1359.0917873733092</v>
      </c>
      <c r="W58" s="28">
        <f t="shared" ref="W58" si="65">W38+W44+W57</f>
        <v>1639.1985180484469</v>
      </c>
      <c r="X58" s="28">
        <f t="shared" ref="X58" si="66">X38+X44+X57</f>
        <v>1261.361415031558</v>
      </c>
      <c r="Y58" s="28">
        <f t="shared" ref="Y58" si="67">Y38+Y44+Y57</f>
        <v>191.1952369596649</v>
      </c>
      <c r="Z58" s="28">
        <f t="shared" ref="Z58" si="68">Z38+Z44+Z57</f>
        <v>236.1102801936986</v>
      </c>
      <c r="AA58" s="28">
        <f t="shared" ref="AA58" si="69">AA38+AA44+AA57</f>
        <v>-379.82818831289319</v>
      </c>
      <c r="AB58" s="28">
        <f t="shared" ref="AB58" si="70">AB38+AB44+AB57</f>
        <v>-444.5197035216201</v>
      </c>
      <c r="AC58" s="28">
        <f t="shared" ref="AC58:AD58" si="71">AC38+AC44+AC57</f>
        <v>-517.67614846681749</v>
      </c>
      <c r="AD58" s="28">
        <f t="shared" si="71"/>
        <v>154.29513708755542</v>
      </c>
      <c r="AE58" s="28">
        <f t="shared" ref="AE58:AG58" si="72">AE38+AE44+AE57</f>
        <v>-311.26944938667134</v>
      </c>
      <c r="AF58" s="28">
        <f t="shared" si="72"/>
        <v>-602.3757237042721</v>
      </c>
      <c r="AG58" s="28">
        <f t="shared" si="72"/>
        <v>-389.8429999999982</v>
      </c>
      <c r="AI58" s="28">
        <f t="shared" ref="AI58:AO58" si="73">AI38+AI44+AI57</f>
        <v>0</v>
      </c>
      <c r="AJ58" s="28">
        <f t="shared" si="73"/>
        <v>73.081000000000046</v>
      </c>
      <c r="AK58" s="28">
        <f t="shared" si="73"/>
        <v>-13.250999999999948</v>
      </c>
      <c r="AL58" s="28">
        <f t="shared" si="73"/>
        <v>2696.2798323985635</v>
      </c>
      <c r="AM58" s="28">
        <f t="shared" si="73"/>
        <v>-1359.0917873733092</v>
      </c>
      <c r="AN58" s="28">
        <f t="shared" si="73"/>
        <v>236.1102801936986</v>
      </c>
      <c r="AO58" s="28">
        <f t="shared" si="73"/>
        <v>154.29513708755542</v>
      </c>
    </row>
    <row r="59" spans="1:41" s="69" customFormat="1" ht="14.25" customHeight="1" x14ac:dyDescent="0.35">
      <c r="A59" s="99"/>
      <c r="B59" s="59" t="s">
        <v>96</v>
      </c>
      <c r="C59" s="59"/>
      <c r="D59" s="59"/>
      <c r="E59" s="59"/>
      <c r="F59" s="59"/>
      <c r="G59" s="59"/>
      <c r="H59" s="59"/>
      <c r="I59" s="59"/>
      <c r="J59" s="23">
        <v>6.8879999999999999</v>
      </c>
      <c r="K59" s="23">
        <f>J60</f>
        <v>79.969000000000051</v>
      </c>
      <c r="L59" s="23">
        <f>J60</f>
        <v>79.969000000000051</v>
      </c>
      <c r="M59" s="23">
        <f>J60</f>
        <v>79.969000000000051</v>
      </c>
      <c r="N59" s="23">
        <f>J60</f>
        <v>79.969000000000051</v>
      </c>
      <c r="O59" s="23">
        <f>N60</f>
        <v>66.718000000000103</v>
      </c>
      <c r="P59" s="23">
        <f>N60</f>
        <v>66.718000000000103</v>
      </c>
      <c r="Q59" s="23">
        <f>N60</f>
        <v>66.718000000000103</v>
      </c>
      <c r="R59" s="23">
        <f>N60</f>
        <v>66.718000000000103</v>
      </c>
      <c r="S59" s="23">
        <f>R60</f>
        <v>2762.9978323985638</v>
      </c>
      <c r="T59" s="23">
        <f>R60</f>
        <v>2762.9978323985638</v>
      </c>
      <c r="U59" s="23">
        <f>R60</f>
        <v>2762.9978323985638</v>
      </c>
      <c r="V59" s="23">
        <f>R60</f>
        <v>2762.9978323985638</v>
      </c>
      <c r="W59" s="23">
        <f>V60</f>
        <v>1403.9060450252546</v>
      </c>
      <c r="X59" s="23">
        <f>V60</f>
        <v>1403.9060450252546</v>
      </c>
      <c r="Y59" s="23">
        <f>V60</f>
        <v>1403.9060450252546</v>
      </c>
      <c r="Z59" s="23">
        <f>V60</f>
        <v>1403.9060450252546</v>
      </c>
      <c r="AA59" s="23">
        <f>Z60</f>
        <v>1640.0163252189532</v>
      </c>
      <c r="AB59" s="23">
        <f>Z60</f>
        <v>1640.0163252189532</v>
      </c>
      <c r="AC59" s="23">
        <f>Z60</f>
        <v>1640.0163252189532</v>
      </c>
      <c r="AD59" s="23">
        <f>Z60</f>
        <v>1640.0163252189532</v>
      </c>
      <c r="AE59" s="23">
        <f>AD60</f>
        <v>1794.3114623065085</v>
      </c>
      <c r="AF59" s="23">
        <f>AE59</f>
        <v>1794.3114623065085</v>
      </c>
      <c r="AG59" s="23">
        <f>AF59</f>
        <v>1794.3114623065085</v>
      </c>
      <c r="AI59" s="23"/>
      <c r="AJ59" s="23">
        <f>J59</f>
        <v>6.8879999999999999</v>
      </c>
      <c r="AK59" s="23">
        <f>AJ60</f>
        <v>79.969000000000051</v>
      </c>
      <c r="AL59" s="23">
        <f>AK60</f>
        <v>66.718000000000103</v>
      </c>
      <c r="AM59" s="23">
        <f>AL60</f>
        <v>2762.9978323985638</v>
      </c>
      <c r="AN59" s="23">
        <f>AM60</f>
        <v>1403.9060450252546</v>
      </c>
      <c r="AO59" s="23">
        <f>AN60</f>
        <v>1640.0163252189532</v>
      </c>
    </row>
    <row r="60" spans="1:41" s="69" customFormat="1" ht="14.25" customHeight="1" x14ac:dyDescent="0.35">
      <c r="A60" s="99"/>
      <c r="B60" s="60" t="s">
        <v>97</v>
      </c>
      <c r="C60" s="60"/>
      <c r="D60" s="60"/>
      <c r="E60" s="60"/>
      <c r="F60" s="60"/>
      <c r="G60" s="60"/>
      <c r="H60" s="60"/>
      <c r="I60" s="60"/>
      <c r="J60" s="31">
        <f t="shared" ref="J60:V60" si="74">SUM(J58:J59)</f>
        <v>79.969000000000051</v>
      </c>
      <c r="K60" s="31">
        <f t="shared" si="74"/>
        <v>14.743162156122082</v>
      </c>
      <c r="L60" s="31">
        <f t="shared" si="74"/>
        <v>13.152958249051153</v>
      </c>
      <c r="M60" s="31">
        <f t="shared" si="74"/>
        <v>41.811341113590089</v>
      </c>
      <c r="N60" s="31">
        <f t="shared" si="74"/>
        <v>66.718000000000103</v>
      </c>
      <c r="O60" s="31">
        <f t="shared" si="74"/>
        <v>2545.3418757058366</v>
      </c>
      <c r="P60" s="31">
        <f t="shared" si="74"/>
        <v>2913.4311169692178</v>
      </c>
      <c r="Q60" s="31">
        <f t="shared" si="74"/>
        <v>2470.0065988034175</v>
      </c>
      <c r="R60" s="31">
        <f t="shared" si="74"/>
        <v>2762.9978323985638</v>
      </c>
      <c r="S60" s="31">
        <f t="shared" si="74"/>
        <v>832.84583239856397</v>
      </c>
      <c r="T60" s="31">
        <f t="shared" si="74"/>
        <v>254.71560473579939</v>
      </c>
      <c r="U60" s="31">
        <f t="shared" si="74"/>
        <v>314.03177412449713</v>
      </c>
      <c r="V60" s="31">
        <f t="shared" si="74"/>
        <v>1403.9060450252546</v>
      </c>
      <c r="W60" s="31">
        <f t="shared" ref="W60:Z60" si="75">SUM(W58:W59)</f>
        <v>3043.1045630737017</v>
      </c>
      <c r="X60" s="31">
        <f t="shared" si="75"/>
        <v>2665.2674600568125</v>
      </c>
      <c r="Y60" s="31">
        <f t="shared" si="75"/>
        <v>1595.1012819849195</v>
      </c>
      <c r="Z60" s="31">
        <f t="shared" si="75"/>
        <v>1640.0163252189532</v>
      </c>
      <c r="AA60" s="31">
        <f t="shared" ref="AA60:AD60" si="76">SUM(AA58:AA59)</f>
        <v>1260.18813690606</v>
      </c>
      <c r="AB60" s="31">
        <f t="shared" si="76"/>
        <v>1195.496621697333</v>
      </c>
      <c r="AC60" s="31">
        <f t="shared" si="76"/>
        <v>1122.3401767521357</v>
      </c>
      <c r="AD60" s="31">
        <f t="shared" si="76"/>
        <v>1794.3114623065085</v>
      </c>
      <c r="AE60" s="31">
        <f t="shared" ref="AE60:AF60" si="77">SUM(AE58:AE59)</f>
        <v>1483.0420129198371</v>
      </c>
      <c r="AF60" s="31">
        <f t="shared" si="77"/>
        <v>1191.9357386022364</v>
      </c>
      <c r="AG60" s="31">
        <f t="shared" ref="AG60" si="78">SUM(AG58:AG59)</f>
        <v>1404.4684623065102</v>
      </c>
      <c r="AI60" s="31"/>
      <c r="AJ60" s="31">
        <f t="shared" ref="AJ60:AO60" si="79">SUM(AJ58:AJ59)</f>
        <v>79.969000000000051</v>
      </c>
      <c r="AK60" s="31">
        <f t="shared" si="79"/>
        <v>66.718000000000103</v>
      </c>
      <c r="AL60" s="31">
        <f t="shared" si="79"/>
        <v>2762.9978323985638</v>
      </c>
      <c r="AM60" s="31">
        <f t="shared" si="79"/>
        <v>1403.9060450252546</v>
      </c>
      <c r="AN60" s="31">
        <f t="shared" si="79"/>
        <v>1640.0163252189532</v>
      </c>
      <c r="AO60" s="31">
        <f t="shared" si="79"/>
        <v>1794.3114623065085</v>
      </c>
    </row>
    <row r="61" spans="1:41" s="69" customFormat="1" ht="14.25" customHeight="1" x14ac:dyDescent="0.35">
      <c r="A61" s="1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I61" s="1"/>
      <c r="AJ61" s="1"/>
      <c r="AK61" s="1"/>
      <c r="AL61" s="1"/>
      <c r="AM61" s="1"/>
      <c r="AN61" s="1"/>
      <c r="AO61" s="1"/>
    </row>
    <row r="62" spans="1:41" ht="14.25" hidden="1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 spans="1:41" ht="14.25" hidden="1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 spans="1:41" ht="14.25" hidden="1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 spans="1:34" ht="14.25" hidden="1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 spans="1:34" ht="14.25" hidden="1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 spans="1:34" ht="14.25" hidden="1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 spans="1:34" ht="14.25" hidden="1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 spans="1:34" ht="14.25" hidden="1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 spans="1:34" ht="14.25" hidden="1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 spans="1:34" ht="14.25" hidden="1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 spans="1:34" ht="14.25" hidden="1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 spans="1:34" ht="14.25" hidden="1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 spans="1:34" ht="14.25" hidden="1" customHeigh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 spans="1:34" ht="14.25" hidden="1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 spans="1:34" ht="14.25" hidden="1" customHeigh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 spans="1:34" ht="14.25" hidden="1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34" ht="14.25" hidden="1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 spans="1:34" ht="14.25" hidden="1" customHeigh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 spans="1:34" ht="14.25" hidden="1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 spans="1:34" ht="14.25" hidden="1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 spans="1:34" ht="14.25" hidden="1" customHeigh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 spans="1:34" ht="14.25" hidden="1" customHeigh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 spans="1:34" ht="14.25" hidden="1" customHeigh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 spans="1:34" ht="14.25" hidden="1" customHeigh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 spans="1:34" ht="14.25" hidden="1" customHeigh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 spans="1:34" ht="14.25" hidden="1" customHeigh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 spans="1:34" ht="14.25" hidden="1" customHeigh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spans="1:34" ht="14.25" hidden="1" customHeigh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 spans="1:34" ht="14.25" hidden="1" customHeigh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34" ht="14.25" hidden="1" customHeigh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34" ht="14.25" hidden="1" customHeigh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34" ht="14.25" hidden="1" customHeigh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34" ht="14.25" hidden="1" customHeigh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34" ht="14.25" hidden="1" customHeigh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 spans="1:34" ht="14.25" hidden="1" customHeigh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 spans="1:34" ht="14.25" hidden="1" customHeigh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 spans="1:34" ht="14.25" hidden="1" customHeigh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34" ht="14.25" hidden="1" customHeigh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 spans="1:34" ht="14.25" hidden="1" customHeigh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ht="14.25" hidden="1" customHeigh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ht="14.25" hidden="1" customHeigh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ht="14.25" hidden="1" customHeigh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ht="14.25" hidden="1" customHeigh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ht="14.25" hidden="1" customHeigh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ht="14.25" hidden="1" customHeigh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ht="14.25" hidden="1" customHeigh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ht="14.25" hidden="1" customHeigh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ht="14.25" hidden="1" customHeigh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ht="14.25" hidden="1" customHeigh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ht="14.25" hidden="1" customHeigh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ht="14.25" hidden="1" customHeigh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ht="14.25" hidden="1" customHeigh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ht="14.25" hidden="1" customHeight="1" x14ac:dyDescent="0.35">
      <c r="B114" s="5"/>
      <c r="C114" s="5"/>
      <c r="D114" s="5"/>
      <c r="E114" s="5"/>
      <c r="F114" s="5"/>
      <c r="G114" s="5"/>
      <c r="H114" s="5"/>
      <c r="I114" s="5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4" ht="14.25" hidden="1" customHeight="1" x14ac:dyDescent="0.35">
      <c r="B115" s="5"/>
      <c r="C115" s="5"/>
      <c r="D115" s="5"/>
      <c r="E115" s="5"/>
      <c r="F115" s="5"/>
      <c r="G115" s="5"/>
      <c r="H115" s="5"/>
      <c r="I115" s="5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4" ht="14.25" hidden="1" customHeight="1" x14ac:dyDescent="0.35">
      <c r="B116" s="5"/>
      <c r="C116" s="5"/>
      <c r="D116" s="5"/>
      <c r="E116" s="5"/>
      <c r="F116" s="5"/>
      <c r="G116" s="5"/>
      <c r="H116" s="5"/>
      <c r="I116" s="5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4" ht="14.25" hidden="1" customHeight="1" x14ac:dyDescent="0.35">
      <c r="B117" s="5"/>
      <c r="C117" s="5"/>
      <c r="D117" s="5"/>
      <c r="E117" s="5"/>
      <c r="F117" s="5"/>
      <c r="G117" s="5"/>
      <c r="H117" s="5"/>
      <c r="I117" s="5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4" ht="14.25" hidden="1" customHeight="1" x14ac:dyDescent="0.35">
      <c r="B118" s="5"/>
      <c r="C118" s="5"/>
      <c r="D118" s="5"/>
      <c r="E118" s="5"/>
      <c r="F118" s="5"/>
      <c r="G118" s="5"/>
      <c r="H118" s="5"/>
      <c r="I118" s="5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4" ht="14.25" hidden="1" customHeight="1" x14ac:dyDescent="0.35">
      <c r="B119" s="5"/>
      <c r="C119" s="5"/>
      <c r="D119" s="5"/>
      <c r="E119" s="5"/>
      <c r="F119" s="5"/>
      <c r="G119" s="5"/>
      <c r="H119" s="5"/>
      <c r="I119" s="5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4" ht="14.25" hidden="1" customHeight="1" x14ac:dyDescent="0.35">
      <c r="B120" s="5"/>
      <c r="C120" s="5"/>
      <c r="D120" s="5"/>
      <c r="E120" s="5"/>
      <c r="F120" s="5"/>
      <c r="G120" s="5"/>
      <c r="H120" s="5"/>
      <c r="I120" s="5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4" ht="14.25" hidden="1" customHeight="1" x14ac:dyDescent="0.35">
      <c r="B121" s="5"/>
      <c r="C121" s="5"/>
      <c r="D121" s="5"/>
      <c r="E121" s="5"/>
      <c r="F121" s="5"/>
      <c r="G121" s="5"/>
      <c r="H121" s="5"/>
      <c r="I121" s="5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4" ht="14.25" hidden="1" customHeight="1" x14ac:dyDescent="0.35">
      <c r="B122" s="5"/>
      <c r="C122" s="5"/>
      <c r="D122" s="5"/>
      <c r="E122" s="5"/>
      <c r="F122" s="5"/>
      <c r="G122" s="5"/>
      <c r="H122" s="5"/>
      <c r="I122" s="5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4" ht="14.25" hidden="1" customHeight="1" x14ac:dyDescent="0.35">
      <c r="B123" s="5"/>
      <c r="C123" s="5"/>
      <c r="D123" s="5"/>
      <c r="E123" s="5"/>
      <c r="F123" s="5"/>
      <c r="G123" s="5"/>
      <c r="H123" s="5"/>
      <c r="I123" s="5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4" ht="14.25" hidden="1" customHeight="1" x14ac:dyDescent="0.35">
      <c r="B124" s="5"/>
      <c r="C124" s="5"/>
      <c r="D124" s="5"/>
      <c r="E124" s="5"/>
      <c r="F124" s="5"/>
      <c r="G124" s="5"/>
      <c r="H124" s="5"/>
      <c r="I124" s="5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4" ht="14.25" hidden="1" customHeight="1" x14ac:dyDescent="0.35">
      <c r="B125" s="5"/>
      <c r="C125" s="5"/>
      <c r="D125" s="5"/>
      <c r="E125" s="5"/>
      <c r="F125" s="5"/>
      <c r="G125" s="5"/>
      <c r="H125" s="5"/>
      <c r="I125" s="5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4" ht="14.25" hidden="1" customHeight="1" x14ac:dyDescent="0.35">
      <c r="B126" s="5"/>
      <c r="C126" s="5"/>
      <c r="D126" s="5"/>
      <c r="E126" s="5"/>
      <c r="F126" s="5"/>
      <c r="G126" s="5"/>
      <c r="H126" s="5"/>
      <c r="I126" s="5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4" ht="14.25" hidden="1" customHeight="1" x14ac:dyDescent="0.35">
      <c r="B127" s="5"/>
      <c r="C127" s="5"/>
      <c r="D127" s="5"/>
      <c r="E127" s="5"/>
      <c r="F127" s="5"/>
      <c r="G127" s="5"/>
      <c r="H127" s="5"/>
      <c r="I127" s="5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4" ht="14.25" hidden="1" customHeight="1" x14ac:dyDescent="0.35">
      <c r="B128" s="5"/>
      <c r="C128" s="5"/>
      <c r="D128" s="5"/>
      <c r="E128" s="5"/>
      <c r="F128" s="5"/>
      <c r="G128" s="5"/>
      <c r="H128" s="5"/>
      <c r="I128" s="5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2:33" ht="14.25" hidden="1" customHeight="1" x14ac:dyDescent="0.35">
      <c r="B129" s="5"/>
      <c r="C129" s="5"/>
      <c r="D129" s="5"/>
      <c r="E129" s="5"/>
      <c r="F129" s="5"/>
      <c r="G129" s="5"/>
      <c r="H129" s="5"/>
      <c r="I129" s="5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2:33" ht="14.25" hidden="1" customHeight="1" x14ac:dyDescent="0.35">
      <c r="B130" s="5"/>
      <c r="C130" s="5"/>
      <c r="D130" s="5"/>
      <c r="E130" s="5"/>
      <c r="F130" s="5"/>
      <c r="G130" s="5"/>
      <c r="H130" s="5"/>
      <c r="I130" s="5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2:33" ht="14.25" hidden="1" customHeight="1" x14ac:dyDescent="0.35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2:33" ht="14.25" hidden="1" customHeight="1" x14ac:dyDescent="0.35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2:33" ht="14.25" hidden="1" customHeight="1" x14ac:dyDescent="0.35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2:33" ht="14.25" hidden="1" customHeight="1" x14ac:dyDescent="0.35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2:33" ht="14.25" hidden="1" customHeight="1" x14ac:dyDescent="0.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2:33" ht="14.25" hidden="1" customHeight="1" x14ac:dyDescent="0.3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2:33" ht="14.25" hidden="1" customHeight="1" x14ac:dyDescent="0.35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2:33" ht="14.25" hidden="1" customHeight="1" x14ac:dyDescent="0.35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2:33" ht="14.25" hidden="1" customHeight="1" x14ac:dyDescent="0.35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2:33" ht="14.25" hidden="1" customHeight="1" x14ac:dyDescent="0.35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2:33" ht="14.25" hidden="1" customHeight="1" x14ac:dyDescent="0.35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2:33" ht="14.25" hidden="1" customHeight="1" x14ac:dyDescent="0.35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 spans="2:33" ht="14.25" hidden="1" customHeight="1" x14ac:dyDescent="0.35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 spans="2:33" ht="14.25" hidden="1" customHeight="1" x14ac:dyDescent="0.35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2:16" ht="14.25" hidden="1" customHeight="1" x14ac:dyDescent="0.3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2:16" ht="14.25" hidden="1" customHeight="1" x14ac:dyDescent="0.35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2:16" ht="14.25" hidden="1" customHeight="1" x14ac:dyDescent="0.35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2:16" ht="14.25" hidden="1" customHeight="1" x14ac:dyDescent="0.35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2:16" ht="14.25" hidden="1" customHeight="1" x14ac:dyDescent="0.35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2:16" ht="14.25" hidden="1" customHeight="1" x14ac:dyDescent="0.35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2:16" ht="14.25" hidden="1" customHeight="1" x14ac:dyDescent="0.35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2:16" ht="14.25" hidden="1" customHeight="1" x14ac:dyDescent="0.35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2:16" ht="14.25" hidden="1" customHeight="1" x14ac:dyDescent="0.35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2:16" ht="14.25" hidden="1" customHeight="1" x14ac:dyDescent="0.35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2:16" ht="14.25" hidden="1" customHeight="1" x14ac:dyDescent="0.3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2:16" ht="14.25" hidden="1" customHeight="1" x14ac:dyDescent="0.3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2:16" ht="14.25" hidden="1" customHeight="1" x14ac:dyDescent="0.3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2:16" ht="14.25" hidden="1" customHeight="1" x14ac:dyDescent="0.3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2:16" ht="14.25" hidden="1" customHeight="1" x14ac:dyDescent="0.35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2:16" ht="14.25" hidden="1" customHeight="1" x14ac:dyDescent="0.35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2:16" ht="14.25" hidden="1" customHeight="1" x14ac:dyDescent="0.35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2:16" ht="14.25" hidden="1" customHeight="1" x14ac:dyDescent="0.35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2:16" ht="14.25" hidden="1" customHeight="1" x14ac:dyDescent="0.35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2:16" ht="14.25" hidden="1" customHeight="1" x14ac:dyDescent="0.35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2:16" ht="14.25" hidden="1" customHeight="1" x14ac:dyDescent="0.3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2:16" ht="14.25" hidden="1" customHeight="1" x14ac:dyDescent="0.3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2:16" ht="14.25" hidden="1" customHeight="1" x14ac:dyDescent="0.3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2:16" ht="14.25" hidden="1" customHeight="1" x14ac:dyDescent="0.3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2:16" ht="14.25" hidden="1" customHeight="1" x14ac:dyDescent="0.35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2:16" ht="14.25" hidden="1" customHeight="1" x14ac:dyDescent="0.3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2:16" ht="14.25" hidden="1" customHeight="1" x14ac:dyDescent="0.35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2:16" ht="14.25" hidden="1" customHeight="1" x14ac:dyDescent="0.35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2:16" ht="14.25" hidden="1" customHeight="1" x14ac:dyDescent="0.35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2:16" ht="14.25" hidden="1" customHeight="1" x14ac:dyDescent="0.35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2:16" ht="14.25" hidden="1" customHeight="1" x14ac:dyDescent="0.3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2:16" ht="14.25" hidden="1" customHeight="1" x14ac:dyDescent="0.35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2:16" ht="14.25" hidden="1" customHeight="1" x14ac:dyDescent="0.35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2:16" ht="14.25" hidden="1" customHeight="1" x14ac:dyDescent="0.35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2:16" ht="14.25" hidden="1" customHeight="1" x14ac:dyDescent="0.35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2:16" ht="14.25" hidden="1" customHeight="1" x14ac:dyDescent="0.35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2:16" ht="14.25" hidden="1" customHeight="1" x14ac:dyDescent="0.35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2:16" ht="14.25" hidden="1" customHeight="1" x14ac:dyDescent="0.35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2:16" ht="14.25" hidden="1" customHeight="1" x14ac:dyDescent="0.35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</sheetData>
  <phoneticPr fontId="13" type="noConversion"/>
  <conditionalFormatting sqref="O113:P113">
    <cfRule type="cellIs" dxfId="9" priority="13" operator="equal">
      <formula>"ERRO"</formula>
    </cfRule>
    <cfRule type="cellIs" dxfId="8" priority="14" operator="equal">
      <formula>"OK"</formula>
    </cfRule>
  </conditionalFormatting>
  <conditionalFormatting sqref="N113">
    <cfRule type="cellIs" dxfId="7" priority="3" operator="equal">
      <formula>"ERRO"</formula>
    </cfRule>
    <cfRule type="cellIs" dxfId="6" priority="4" operator="equal">
      <formula>"OK"</formula>
    </cfRule>
  </conditionalFormatting>
  <conditionalFormatting sqref="K61:AG61">
    <cfRule type="cellIs" dxfId="5" priority="7" operator="equal">
      <formula>"ERRO"</formula>
    </cfRule>
    <cfRule type="cellIs" dxfId="4" priority="8" operator="equal">
      <formula>"OK"</formula>
    </cfRule>
  </conditionalFormatting>
  <conditionalFormatting sqref="K113:M113">
    <cfRule type="cellIs" dxfId="3" priority="5" operator="equal">
      <formula>"ERRO"</formula>
    </cfRule>
    <cfRule type="cellIs" dxfId="2" priority="6" operator="equal">
      <formula>"OK"</formula>
    </cfRule>
  </conditionalFormatting>
  <conditionalFormatting sqref="AI61:AO61">
    <cfRule type="cellIs" dxfId="1" priority="1" operator="equal">
      <formula>"ERRO"</formula>
    </cfRule>
    <cfRule type="cellIs" dxfId="0" priority="2" operator="equal">
      <formula>"OK"</formula>
    </cfRule>
  </conditionalFormatting>
  <hyperlinks>
    <hyperlink ref="B3" r:id="rId1" xr:uid="{8C42046A-2789-4946-B18D-DC3DA6C33653}"/>
  </hyperlinks>
  <pageMargins left="0.511811024" right="0.511811024" top="0.78740157499999996" bottom="0.78740157499999996" header="0.31496062000000002" footer="0.31496062000000002"/>
  <pageSetup paperSize="9" orientation="portrait" r:id="rId2"/>
  <ignoredErrors>
    <ignoredError sqref="AI5:AO44 AE57:AE59 AE44 AE38 AE7:AF7 AF38 AF44 AE19:AF19" formula="1"/>
    <ignoredError sqref="J19:AD37 J60:AD60 J48:AC59 J38:AC46" formulaRange="1"/>
    <ignoredError sqref="AD48:AD59 AD38:AD46" formula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5257-3FCA-4FC1-B26A-76EBE8CBFFEB}">
  <sheetPr codeName="Planilha4"/>
  <dimension ref="A1:AT75"/>
  <sheetViews>
    <sheetView showGridLines="0" zoomScaleNormal="100" workbookViewId="0">
      <pane xSplit="2" ySplit="5" topLeftCell="C6" activePane="bottomRight" state="frozen"/>
      <selection activeCell="B6" sqref="B6"/>
      <selection pane="topRight" activeCell="B6" sqref="B6"/>
      <selection pane="bottomLeft" activeCell="B6" sqref="B6"/>
      <selection pane="bottomRight"/>
    </sheetView>
  </sheetViews>
  <sheetFormatPr defaultColWidth="0" defaultRowHeight="14.25" customHeight="1" zeroHeight="1" outlineLevelRow="1" outlineLevelCol="1" x14ac:dyDescent="0.35"/>
  <cols>
    <col min="1" max="1" width="2.54296875" style="1" customWidth="1"/>
    <col min="2" max="2" width="60.54296875" style="1" customWidth="1"/>
    <col min="3" max="22" width="10.54296875" style="1" hidden="1" customWidth="1" outlineLevel="1"/>
    <col min="23" max="23" width="10.54296875" style="1" hidden="1" customWidth="1" outlineLevel="1" collapsed="1"/>
    <col min="24" max="26" width="10.54296875" style="1" hidden="1" customWidth="1" outlineLevel="1"/>
    <col min="27" max="27" width="10.54296875" style="1" customWidth="1" collapsed="1"/>
    <col min="28" max="33" width="10.54296875" style="1" customWidth="1"/>
    <col min="34" max="34" width="2.54296875" style="1" customWidth="1"/>
    <col min="35" max="39" width="10.54296875" style="1" hidden="1" customWidth="1" outlineLevel="1"/>
    <col min="40" max="40" width="10.54296875" style="1" customWidth="1" collapsed="1"/>
    <col min="41" max="41" width="10.54296875" style="1" customWidth="1"/>
    <col min="42" max="42" width="2.54296875" style="1" customWidth="1"/>
    <col min="43" max="16384" width="10.54296875" style="1" hidden="1"/>
  </cols>
  <sheetData>
    <row r="1" spans="1:46" ht="14.25" customHeight="1" x14ac:dyDescent="0.35"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ht="14.25" customHeight="1" x14ac:dyDescent="0.35">
      <c r="B2" s="8" t="s">
        <v>220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4.25" customHeight="1" x14ac:dyDescent="0.35">
      <c r="B3" s="11" t="s">
        <v>32</v>
      </c>
      <c r="C3" s="4"/>
      <c r="D3" s="4"/>
      <c r="E3" s="4"/>
      <c r="F3" s="4"/>
      <c r="G3" s="4"/>
      <c r="H3" s="4"/>
      <c r="I3" s="4"/>
      <c r="J3" s="4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 spans="1:46" s="6" customFormat="1" ht="14.25" customHeight="1" x14ac:dyDescent="0.35">
      <c r="A4" s="1"/>
      <c r="B4" s="9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46" ht="14.25" customHeight="1" x14ac:dyDescent="0.35">
      <c r="B5" s="27" t="s">
        <v>22</v>
      </c>
      <c r="C5" s="26" t="s">
        <v>21</v>
      </c>
      <c r="D5" s="26" t="s">
        <v>20</v>
      </c>
      <c r="E5" s="26" t="s">
        <v>19</v>
      </c>
      <c r="F5" s="26" t="s">
        <v>18</v>
      </c>
      <c r="G5" s="26" t="s">
        <v>17</v>
      </c>
      <c r="H5" s="26" t="s">
        <v>16</v>
      </c>
      <c r="I5" s="26" t="s">
        <v>15</v>
      </c>
      <c r="J5" s="26" t="s">
        <v>14</v>
      </c>
      <c r="K5" s="26" t="s">
        <v>13</v>
      </c>
      <c r="L5" s="26" t="s">
        <v>12</v>
      </c>
      <c r="M5" s="26" t="s">
        <v>11</v>
      </c>
      <c r="N5" s="26" t="s">
        <v>10</v>
      </c>
      <c r="O5" s="26" t="s">
        <v>9</v>
      </c>
      <c r="P5" s="26" t="s">
        <v>8</v>
      </c>
      <c r="Q5" s="26" t="s">
        <v>7</v>
      </c>
      <c r="R5" s="26" t="s">
        <v>6</v>
      </c>
      <c r="S5" s="26" t="s">
        <v>5</v>
      </c>
      <c r="T5" s="26" t="s">
        <v>4</v>
      </c>
      <c r="U5" s="26" t="s">
        <v>101</v>
      </c>
      <c r="V5" s="26" t="s">
        <v>102</v>
      </c>
      <c r="W5" s="26" t="s">
        <v>104</v>
      </c>
      <c r="X5" s="26" t="s">
        <v>107</v>
      </c>
      <c r="Y5" s="26" t="s">
        <v>112</v>
      </c>
      <c r="Z5" s="26" t="s">
        <v>122</v>
      </c>
      <c r="AA5" s="26" t="s">
        <v>139</v>
      </c>
      <c r="AB5" s="26" t="s">
        <v>149</v>
      </c>
      <c r="AC5" s="26" t="s">
        <v>154</v>
      </c>
      <c r="AD5" s="26" t="s">
        <v>168</v>
      </c>
      <c r="AE5" s="26" t="s">
        <v>187</v>
      </c>
      <c r="AF5" s="26" t="s">
        <v>206</v>
      </c>
      <c r="AG5" s="26" t="s">
        <v>216</v>
      </c>
      <c r="AH5" s="6"/>
      <c r="AI5" s="26">
        <v>2015</v>
      </c>
      <c r="AJ5" s="26">
        <v>2016</v>
      </c>
      <c r="AK5" s="26">
        <v>2017</v>
      </c>
      <c r="AL5" s="26">
        <v>2018</v>
      </c>
      <c r="AM5" s="26">
        <v>2019</v>
      </c>
      <c r="AN5" s="26">
        <v>2020</v>
      </c>
      <c r="AO5" s="26">
        <v>2021</v>
      </c>
      <c r="AP5" s="6"/>
      <c r="AQ5" s="6"/>
      <c r="AR5" s="6"/>
      <c r="AS5" s="6"/>
      <c r="AT5" s="6"/>
    </row>
    <row r="6" spans="1:46" ht="14.25" customHeight="1" x14ac:dyDescent="0.35">
      <c r="B6" s="103" t="s">
        <v>67</v>
      </c>
      <c r="C6" s="104">
        <v>-22.240062629999986</v>
      </c>
      <c r="D6" s="104">
        <v>-29.044697109999987</v>
      </c>
      <c r="E6" s="104">
        <v>-43.088255170000004</v>
      </c>
      <c r="F6" s="104">
        <v>-51.596375819999992</v>
      </c>
      <c r="G6" s="104">
        <v>-57.420364999999997</v>
      </c>
      <c r="H6" s="104">
        <v>-66.798793000000003</v>
      </c>
      <c r="I6" s="104">
        <v>-75.224872999999988</v>
      </c>
      <c r="J6" s="104">
        <v>-84.186367000000004</v>
      </c>
      <c r="K6" s="104">
        <v>-104.86116747</v>
      </c>
      <c r="L6" s="104">
        <v>-140.43204321000005</v>
      </c>
      <c r="M6" s="104">
        <v>-181.95003567999998</v>
      </c>
      <c r="N6" s="104">
        <v>-233.82407343999995</v>
      </c>
      <c r="O6" s="104">
        <v>-247.16099254119592</v>
      </c>
      <c r="P6" s="104">
        <v>-281.40810856191149</v>
      </c>
      <c r="Q6" s="104">
        <v>-326.6424466952102</v>
      </c>
      <c r="R6" s="104">
        <v>-391.26836720168239</v>
      </c>
      <c r="S6" s="104">
        <v>-380.98784084015961</v>
      </c>
      <c r="T6" s="104">
        <v>-432.70565525732491</v>
      </c>
      <c r="U6" s="104">
        <v>-466.51871984000002</v>
      </c>
      <c r="V6" s="104">
        <v>-573.76499701612011</v>
      </c>
      <c r="W6" s="104">
        <v>-556.43391558278608</v>
      </c>
      <c r="X6" s="104">
        <v>-589.41989783206373</v>
      </c>
      <c r="Y6" s="104">
        <v>-801.85333371000013</v>
      </c>
      <c r="Z6" s="104">
        <v>-825.72826543515043</v>
      </c>
      <c r="AA6" s="104">
        <v>-845.89162015999989</v>
      </c>
      <c r="AB6" s="104">
        <v>-965.10283215999982</v>
      </c>
      <c r="AC6" s="104">
        <v>-1112.1511079000004</v>
      </c>
      <c r="AD6" s="104">
        <v>-1398.0048165500002</v>
      </c>
      <c r="AE6" s="104">
        <f t="shared" ref="AE6:AF6" si="0">SUM(AE7:AE9)</f>
        <v>-1303.0446917902734</v>
      </c>
      <c r="AF6" s="104">
        <f t="shared" si="0"/>
        <v>-1414.2046547948698</v>
      </c>
      <c r="AG6" s="104">
        <f>SUM(AG7:AG9)</f>
        <v>-1371.616829647784</v>
      </c>
      <c r="AH6" s="6"/>
      <c r="AI6" s="104">
        <f t="shared" ref="AI6:AI8" si="1">SUM(C6:F6)</f>
        <v>-145.96939072999996</v>
      </c>
      <c r="AJ6" s="104">
        <f t="shared" ref="AJ6:AJ8" si="2">SUM(G6:J6)</f>
        <v>-283.63039800000001</v>
      </c>
      <c r="AK6" s="104">
        <f t="shared" ref="AK6:AK8" si="3">SUM(K6:N6)</f>
        <v>-661.06731979999995</v>
      </c>
      <c r="AL6" s="104">
        <f t="shared" ref="AL6:AL8" si="4">SUM(O6:R6)</f>
        <v>-1246.4799149999999</v>
      </c>
      <c r="AM6" s="104">
        <f t="shared" ref="AM6:AM8" si="5">SUM(S6:V6)</f>
        <v>-1853.9772129536045</v>
      </c>
      <c r="AN6" s="104">
        <f>SUM(W6:Z6)</f>
        <v>-2773.4354125600003</v>
      </c>
      <c r="AO6" s="104">
        <f t="shared" ref="AO6:AO8" si="6">SUM(AA6:AD6)</f>
        <v>-4321.1503767700005</v>
      </c>
      <c r="AP6" s="6"/>
      <c r="AQ6" s="6"/>
      <c r="AR6" s="6"/>
      <c r="AS6" s="6"/>
      <c r="AT6" s="6"/>
    </row>
    <row r="7" spans="1:46" ht="14.25" hidden="1" customHeight="1" outlineLevel="1" x14ac:dyDescent="0.35">
      <c r="B7" s="13" t="s">
        <v>169</v>
      </c>
      <c r="C7" s="4" t="s">
        <v>186</v>
      </c>
      <c r="D7" s="4" t="s">
        <v>186</v>
      </c>
      <c r="E7" s="4" t="s">
        <v>186</v>
      </c>
      <c r="F7" s="4" t="s">
        <v>186</v>
      </c>
      <c r="G7" s="4" t="s">
        <v>186</v>
      </c>
      <c r="H7" s="4" t="s">
        <v>186</v>
      </c>
      <c r="I7" s="4" t="s">
        <v>186</v>
      </c>
      <c r="J7" s="4" t="s">
        <v>186</v>
      </c>
      <c r="K7" s="4">
        <v>-85.133093020000018</v>
      </c>
      <c r="L7" s="4">
        <v>-111.57260256000001</v>
      </c>
      <c r="M7" s="4">
        <v>-147.55178967000003</v>
      </c>
      <c r="N7" s="4">
        <v>-190.27345770000002</v>
      </c>
      <c r="O7" s="4">
        <v>-199.02885246</v>
      </c>
      <c r="P7" s="4">
        <v>-237.28098716000002</v>
      </c>
      <c r="Q7" s="4">
        <v>-283.25772262999999</v>
      </c>
      <c r="R7" s="4">
        <v>-317.80795866</v>
      </c>
      <c r="S7" s="4">
        <v>-306.73420222999999</v>
      </c>
      <c r="T7" s="4">
        <v>-328.73577502000001</v>
      </c>
      <c r="U7" s="4">
        <v>-353.64992078</v>
      </c>
      <c r="V7" s="4">
        <v>-398.24725513999999</v>
      </c>
      <c r="W7" s="4">
        <v>-341.31681793000001</v>
      </c>
      <c r="X7" s="4">
        <v>-327.67153774000002</v>
      </c>
      <c r="Y7" s="4">
        <v>-475.81282601000009</v>
      </c>
      <c r="Z7" s="4">
        <v>-535.63985329000002</v>
      </c>
      <c r="AA7" s="4">
        <v>-566.72366900999998</v>
      </c>
      <c r="AB7" s="4">
        <v>-676.52042493999988</v>
      </c>
      <c r="AC7" s="4">
        <v>-820.95729442000004</v>
      </c>
      <c r="AD7" s="4">
        <v>-980.07479132000014</v>
      </c>
      <c r="AE7" s="4">
        <v>-1018.5212031899997</v>
      </c>
      <c r="AF7" s="4">
        <v>-1143.79240628</v>
      </c>
      <c r="AG7" s="4">
        <v>-1159.2629693900005</v>
      </c>
      <c r="AH7" s="4"/>
      <c r="AI7" s="4">
        <f t="shared" si="1"/>
        <v>0</v>
      </c>
      <c r="AJ7" s="4">
        <f t="shared" si="2"/>
        <v>0</v>
      </c>
      <c r="AK7" s="4">
        <f t="shared" si="3"/>
        <v>-534.53094295000005</v>
      </c>
      <c r="AL7" s="4">
        <f t="shared" si="4"/>
        <v>-1037.37552091</v>
      </c>
      <c r="AM7" s="4">
        <f t="shared" si="5"/>
        <v>-1387.3671531700002</v>
      </c>
      <c r="AN7" s="4">
        <f t="shared" ref="AN7" si="7">SUM(W7:Z7)</f>
        <v>-1680.4410349700001</v>
      </c>
      <c r="AO7" s="4">
        <f t="shared" si="6"/>
        <v>-3044.2761796899999</v>
      </c>
      <c r="AP7" s="6"/>
      <c r="AQ7" s="6"/>
      <c r="AR7" s="6"/>
      <c r="AS7" s="6"/>
      <c r="AT7" s="6"/>
    </row>
    <row r="8" spans="1:46" ht="14.25" hidden="1" customHeight="1" outlineLevel="1" x14ac:dyDescent="0.35">
      <c r="B8" s="13" t="s">
        <v>201</v>
      </c>
      <c r="C8" s="4" t="s">
        <v>186</v>
      </c>
      <c r="D8" s="4" t="s">
        <v>186</v>
      </c>
      <c r="E8" s="4" t="s">
        <v>186</v>
      </c>
      <c r="F8" s="4" t="s">
        <v>186</v>
      </c>
      <c r="G8" s="4" t="s">
        <v>186</v>
      </c>
      <c r="H8" s="4" t="s">
        <v>186</v>
      </c>
      <c r="I8" s="4" t="s">
        <v>186</v>
      </c>
      <c r="J8" s="4" t="s">
        <v>186</v>
      </c>
      <c r="K8" s="4">
        <v>-5.4282084999999993</v>
      </c>
      <c r="L8" s="4">
        <v>-10.12511641</v>
      </c>
      <c r="M8" s="4">
        <v>-13.935323990000002</v>
      </c>
      <c r="N8" s="4">
        <v>-23.29602693</v>
      </c>
      <c r="O8" s="4">
        <v>-27.436519840000003</v>
      </c>
      <c r="P8" s="4">
        <v>-28.401583539999997</v>
      </c>
      <c r="Q8" s="4">
        <v>-26.463833609999998</v>
      </c>
      <c r="R8" s="4">
        <v>-43.064911089999995</v>
      </c>
      <c r="S8" s="4">
        <v>-47.302146090000001</v>
      </c>
      <c r="T8" s="4">
        <v>-71.076254890000001</v>
      </c>
      <c r="U8" s="4">
        <v>-83.302824849999993</v>
      </c>
      <c r="V8" s="4">
        <v>-90.947552310000006</v>
      </c>
      <c r="W8" s="4">
        <v>-91.352320710000015</v>
      </c>
      <c r="X8" s="4">
        <v>-91.637532770000007</v>
      </c>
      <c r="Y8" s="4">
        <v>-121.86819162999998</v>
      </c>
      <c r="Z8" s="4">
        <v>-132.54117116999998</v>
      </c>
      <c r="AA8" s="4">
        <v>-139.00166834999999</v>
      </c>
      <c r="AB8" s="4">
        <v>-151.62935827999999</v>
      </c>
      <c r="AC8" s="4">
        <v>-164.23698906000001</v>
      </c>
      <c r="AD8" s="4">
        <v>-197.87102758999993</v>
      </c>
      <c r="AE8" s="4">
        <v>-211.72757893000005</v>
      </c>
      <c r="AF8" s="4">
        <v>-221.27221609</v>
      </c>
      <c r="AG8" s="4">
        <v>-220.26254465</v>
      </c>
      <c r="AH8" s="4"/>
      <c r="AI8" s="4">
        <f t="shared" si="1"/>
        <v>0</v>
      </c>
      <c r="AJ8" s="4">
        <f t="shared" si="2"/>
        <v>0</v>
      </c>
      <c r="AK8" s="4">
        <f t="shared" si="3"/>
        <v>-52.784675829999998</v>
      </c>
      <c r="AL8" s="4">
        <f t="shared" si="4"/>
        <v>-125.36684808</v>
      </c>
      <c r="AM8" s="4">
        <f t="shared" si="5"/>
        <v>-292.62877814000001</v>
      </c>
      <c r="AN8" s="4">
        <f>SUM(W8:Z8)</f>
        <v>-437.39921628000002</v>
      </c>
      <c r="AO8" s="4">
        <f t="shared" si="6"/>
        <v>-652.73904327999992</v>
      </c>
      <c r="AP8" s="6"/>
      <c r="AQ8" s="6"/>
      <c r="AR8" s="6"/>
      <c r="AS8" s="6"/>
      <c r="AT8" s="6"/>
    </row>
    <row r="9" spans="1:46" ht="14.25" hidden="1" customHeight="1" outlineLevel="1" x14ac:dyDescent="0.35">
      <c r="B9" s="36" t="s">
        <v>108</v>
      </c>
      <c r="C9" s="4" t="s">
        <v>186</v>
      </c>
      <c r="D9" s="4" t="s">
        <v>186</v>
      </c>
      <c r="E9" s="4" t="s">
        <v>186</v>
      </c>
      <c r="F9" s="4" t="s">
        <v>186</v>
      </c>
      <c r="G9" s="4" t="s">
        <v>186</v>
      </c>
      <c r="H9" s="4" t="s">
        <v>186</v>
      </c>
      <c r="I9" s="4" t="s">
        <v>186</v>
      </c>
      <c r="J9" s="4" t="s">
        <v>186</v>
      </c>
      <c r="K9" s="4">
        <v>-14.299865949999983</v>
      </c>
      <c r="L9" s="4">
        <v>-18.734324240000035</v>
      </c>
      <c r="M9" s="4">
        <v>-20.462922019999951</v>
      </c>
      <c r="N9" s="4">
        <v>-20.254588809999916</v>
      </c>
      <c r="O9" s="4">
        <v>-20.695620241195911</v>
      </c>
      <c r="P9" s="4">
        <v>-15.725537861911448</v>
      </c>
      <c r="Q9" s="4">
        <v>-16.920890455210213</v>
      </c>
      <c r="R9" s="4">
        <v>-30.395497451682388</v>
      </c>
      <c r="S9" s="4">
        <v>-26.951492520159604</v>
      </c>
      <c r="T9" s="4">
        <v>-32.893625347324928</v>
      </c>
      <c r="U9" s="4">
        <v>-29.565974210000036</v>
      </c>
      <c r="V9" s="4">
        <v>-84.570189566120121</v>
      </c>
      <c r="W9" s="4">
        <v>-123.76477694278606</v>
      </c>
      <c r="X9" s="4">
        <v>-170.1108273220637</v>
      </c>
      <c r="Y9" s="4">
        <v>-204.17231607000008</v>
      </c>
      <c r="Z9" s="4">
        <v>-157.54724097515043</v>
      </c>
      <c r="AA9" s="4">
        <v>-140.16628279999998</v>
      </c>
      <c r="AB9" s="4">
        <v>-136.95304893999992</v>
      </c>
      <c r="AC9" s="4">
        <v>-126.95682442000032</v>
      </c>
      <c r="AD9" s="4">
        <v>-220.05899764000003</v>
      </c>
      <c r="AE9" s="4">
        <v>-72.795909670273574</v>
      </c>
      <c r="AF9" s="4">
        <v>-49.140032424869673</v>
      </c>
      <c r="AG9" s="4">
        <v>7.9086843922163155</v>
      </c>
      <c r="AH9" s="4"/>
      <c r="AI9" s="4">
        <f t="shared" ref="AI9:AO9" si="8">AI6-SUM(AI7:AI8)</f>
        <v>-145.96939072999996</v>
      </c>
      <c r="AJ9" s="4">
        <f t="shared" si="8"/>
        <v>-283.63039800000001</v>
      </c>
      <c r="AK9" s="4">
        <f t="shared" si="8"/>
        <v>-73.751701019999928</v>
      </c>
      <c r="AL9" s="4">
        <f t="shared" si="8"/>
        <v>-83.73754600999996</v>
      </c>
      <c r="AM9" s="4">
        <f t="shared" si="8"/>
        <v>-173.98128164360423</v>
      </c>
      <c r="AN9" s="4">
        <f t="shared" si="8"/>
        <v>-655.59516131000009</v>
      </c>
      <c r="AO9" s="4">
        <f t="shared" si="8"/>
        <v>-624.13515380000081</v>
      </c>
      <c r="AP9" s="6"/>
      <c r="AQ9" s="6"/>
      <c r="AR9" s="6"/>
      <c r="AS9" s="6"/>
      <c r="AT9" s="6"/>
    </row>
    <row r="10" spans="1:46" s="105" customFormat="1" ht="14.25" customHeight="1" collapsed="1" x14ac:dyDescent="0.35">
      <c r="B10" s="103" t="s">
        <v>26</v>
      </c>
      <c r="C10" s="104">
        <v>-2.5886584299999993</v>
      </c>
      <c r="D10" s="104">
        <v>-5.1831069999999997</v>
      </c>
      <c r="E10" s="104">
        <v>-10.284615729999999</v>
      </c>
      <c r="F10" s="104">
        <v>-11.639744739999999</v>
      </c>
      <c r="G10" s="104">
        <v>-6.6107146500000011</v>
      </c>
      <c r="H10" s="104">
        <v>-8.109387589999999</v>
      </c>
      <c r="I10" s="104">
        <v>-24.820313980000005</v>
      </c>
      <c r="J10" s="104">
        <v>-28.760700239999998</v>
      </c>
      <c r="K10" s="104">
        <v>-19.218084329999996</v>
      </c>
      <c r="L10" s="104">
        <v>-23.540114429999999</v>
      </c>
      <c r="M10" s="104">
        <v>-21.033999999999999</v>
      </c>
      <c r="N10" s="104">
        <v>-40.751801239999992</v>
      </c>
      <c r="O10" s="104">
        <v>-16.523</v>
      </c>
      <c r="P10" s="104">
        <v>-2.8043396799999973</v>
      </c>
      <c r="Q10" s="104">
        <v>-7.2258540800000048</v>
      </c>
      <c r="R10" s="104">
        <v>-4.6558820099999974</v>
      </c>
      <c r="S10" s="104">
        <v>-5.8390000000000004</v>
      </c>
      <c r="T10" s="104">
        <v>-2.2040000000000002</v>
      </c>
      <c r="U10" s="104">
        <v>-6.5099013700000006</v>
      </c>
      <c r="V10" s="104">
        <v>-23.585409509999991</v>
      </c>
      <c r="W10" s="104">
        <v>-45.561989969999999</v>
      </c>
      <c r="X10" s="104">
        <v>-17.872514700000004</v>
      </c>
      <c r="Y10" s="104">
        <v>-16.255824969999999</v>
      </c>
      <c r="Z10" s="104">
        <v>-29.542062090000002</v>
      </c>
      <c r="AA10" s="104">
        <v>-44.387658880000004</v>
      </c>
      <c r="AB10" s="104">
        <v>-133.78472765999999</v>
      </c>
      <c r="AC10" s="104">
        <v>-209.82270677</v>
      </c>
      <c r="AD10" s="104">
        <v>-402.64024504000008</v>
      </c>
      <c r="AE10" s="104">
        <v>-620.62783420999995</v>
      </c>
      <c r="AF10" s="104">
        <v>-755.55951044419521</v>
      </c>
      <c r="AG10" s="104">
        <v>-920.65559389805776</v>
      </c>
      <c r="AH10" s="6"/>
      <c r="AI10" s="104">
        <f>SUM(C10:F10)</f>
        <v>-29.696125899999998</v>
      </c>
      <c r="AJ10" s="104">
        <f>SUM(G10:J10)</f>
        <v>-68.301116460000003</v>
      </c>
      <c r="AK10" s="104">
        <f>SUM(K10:N10)</f>
        <v>-104.54399999999998</v>
      </c>
      <c r="AL10" s="104">
        <f>SUM(O10:R10)</f>
        <v>-31.209075769999998</v>
      </c>
      <c r="AM10" s="104">
        <f>SUM(S10:V10)</f>
        <v>-38.138310879999992</v>
      </c>
      <c r="AN10" s="104">
        <f>SUM(W10:Z10)</f>
        <v>-109.23239173</v>
      </c>
      <c r="AO10" s="104">
        <f>SUM(AA10:AD10)</f>
        <v>-790.6353383500001</v>
      </c>
      <c r="AP10" s="6"/>
      <c r="AQ10" s="6"/>
      <c r="AR10" s="6"/>
      <c r="AS10" s="6"/>
      <c r="AT10" s="6"/>
    </row>
    <row r="11" spans="1:46" s="105" customFormat="1" ht="14.25" customHeight="1" x14ac:dyDescent="0.35">
      <c r="B11" s="103" t="s">
        <v>204</v>
      </c>
      <c r="C11" s="104">
        <f t="shared" ref="C11:AG11" si="9">SUM(C12:C15)</f>
        <v>-55.570713946361423</v>
      </c>
      <c r="D11" s="104">
        <f t="shared" si="9"/>
        <v>-110.91823747848002</v>
      </c>
      <c r="E11" s="104">
        <f t="shared" si="9"/>
        <v>-131.75654949102636</v>
      </c>
      <c r="F11" s="104">
        <f t="shared" si="9"/>
        <v>-114.62359984039038</v>
      </c>
      <c r="G11" s="104">
        <f t="shared" si="9"/>
        <v>-100.25895177999999</v>
      </c>
      <c r="H11" s="104">
        <f t="shared" si="9"/>
        <v>-129.62636295000001</v>
      </c>
      <c r="I11" s="104">
        <f t="shared" si="9"/>
        <v>-130.01765636000002</v>
      </c>
      <c r="J11" s="104">
        <f t="shared" si="9"/>
        <v>-208.38950804000004</v>
      </c>
      <c r="K11" s="104">
        <f t="shared" si="9"/>
        <v>-214.07785785730698</v>
      </c>
      <c r="L11" s="104">
        <f t="shared" si="9"/>
        <v>-257.03058676920506</v>
      </c>
      <c r="M11" s="104">
        <f t="shared" si="9"/>
        <v>-245.34152608803385</v>
      </c>
      <c r="N11" s="104">
        <f t="shared" si="9"/>
        <v>-258.39388354545417</v>
      </c>
      <c r="O11" s="104">
        <f t="shared" si="9"/>
        <v>-468.90215395865113</v>
      </c>
      <c r="P11" s="104">
        <f t="shared" si="9"/>
        <v>-370.57563703711872</v>
      </c>
      <c r="Q11" s="104">
        <f t="shared" si="9"/>
        <v>-436.76087203974055</v>
      </c>
      <c r="R11" s="104">
        <f t="shared" si="9"/>
        <v>-396.288690349658</v>
      </c>
      <c r="S11" s="104">
        <f t="shared" si="9"/>
        <v>-355.98533719111032</v>
      </c>
      <c r="T11" s="104">
        <f t="shared" si="9"/>
        <v>-430.33138615765387</v>
      </c>
      <c r="U11" s="104">
        <f t="shared" si="9"/>
        <v>-425.79765286033529</v>
      </c>
      <c r="V11" s="104">
        <f t="shared" si="9"/>
        <v>-333.67700831218929</v>
      </c>
      <c r="W11" s="104">
        <f t="shared" si="9"/>
        <v>-359.36899924182592</v>
      </c>
      <c r="X11" s="104">
        <f t="shared" si="9"/>
        <v>-195.98540453092841</v>
      </c>
      <c r="Y11" s="104">
        <f t="shared" si="9"/>
        <v>-427.15818438784396</v>
      </c>
      <c r="Z11" s="104">
        <f t="shared" si="9"/>
        <v>-510.00398553048865</v>
      </c>
      <c r="AA11" s="104">
        <v>-485.12261704850113</v>
      </c>
      <c r="AB11" s="104">
        <v>-604.00646414954156</v>
      </c>
      <c r="AC11" s="104">
        <v>-699.41274029399301</v>
      </c>
      <c r="AD11" s="104">
        <v>-627.49753356197573</v>
      </c>
      <c r="AE11" s="104">
        <f t="shared" ref="AE11:AF11" si="10">SUM(AE12:AE15)</f>
        <v>-588.15660485393403</v>
      </c>
      <c r="AF11" s="104">
        <f t="shared" si="10"/>
        <v>-747.05852555186425</v>
      </c>
      <c r="AG11" s="104">
        <f t="shared" si="9"/>
        <v>-750.69420455124452</v>
      </c>
      <c r="AH11" s="6"/>
      <c r="AI11" s="104">
        <f t="shared" ref="AI11:AO11" si="11">SUM(AI12:AI15)</f>
        <v>-412.86910075625815</v>
      </c>
      <c r="AJ11" s="104">
        <f t="shared" si="11"/>
        <v>-568.29247913000006</v>
      </c>
      <c r="AK11" s="104">
        <f t="shared" si="11"/>
        <v>-974.84385426000017</v>
      </c>
      <c r="AL11" s="104">
        <f t="shared" si="11"/>
        <v>-1672.5273533851682</v>
      </c>
      <c r="AM11" s="104">
        <f t="shared" si="11"/>
        <v>-1545.7913845212888</v>
      </c>
      <c r="AN11" s="104">
        <f t="shared" si="11"/>
        <v>-1492.5165736910869</v>
      </c>
      <c r="AO11" s="104">
        <f t="shared" si="11"/>
        <v>-2416.0393550540111</v>
      </c>
      <c r="AP11" s="6"/>
      <c r="AQ11" s="6"/>
      <c r="AR11" s="6"/>
      <c r="AS11" s="6"/>
      <c r="AT11" s="6"/>
    </row>
    <row r="12" spans="1:46" ht="14.25" hidden="1" customHeight="1" outlineLevel="1" x14ac:dyDescent="0.35">
      <c r="B12" s="36" t="s">
        <v>68</v>
      </c>
      <c r="C12" s="4">
        <v>-15.167488450424601</v>
      </c>
      <c r="D12" s="4">
        <v>-56.564723847172203</v>
      </c>
      <c r="E12" s="4">
        <v>-57.986442308666597</v>
      </c>
      <c r="F12" s="4">
        <v>-48.889365637964502</v>
      </c>
      <c r="G12" s="4">
        <v>-31.637489000000002</v>
      </c>
      <c r="H12" s="4">
        <v>-51.313369000000002</v>
      </c>
      <c r="I12" s="4">
        <v>-63.347248999999998</v>
      </c>
      <c r="J12" s="4">
        <v>-87.120809000000023</v>
      </c>
      <c r="K12" s="4">
        <v>-100.40192361999999</v>
      </c>
      <c r="L12" s="4">
        <v>-125.78697333000007</v>
      </c>
      <c r="M12" s="4">
        <v>-113.90195097999988</v>
      </c>
      <c r="N12" s="4">
        <v>-111.54371021000007</v>
      </c>
      <c r="O12" s="4">
        <v>-99.444266920885923</v>
      </c>
      <c r="P12" s="4">
        <v>-127.07066880411773</v>
      </c>
      <c r="Q12" s="4">
        <v>-147.67930659881088</v>
      </c>
      <c r="R12" s="4">
        <v>-193.61293967618548</v>
      </c>
      <c r="S12" s="4">
        <v>-147.78299999999999</v>
      </c>
      <c r="T12" s="4">
        <v>-158.279</v>
      </c>
      <c r="U12" s="4">
        <v>-88.944000000000003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/>
      <c r="AI12" s="4">
        <f t="shared" ref="AI12:AI17" si="12">SUM(C12:F12)</f>
        <v>-178.60802024422787</v>
      </c>
      <c r="AJ12" s="4">
        <f t="shared" ref="AJ12:AJ17" si="13">SUM(G12:J12)</f>
        <v>-233.41891600000002</v>
      </c>
      <c r="AK12" s="4">
        <f t="shared" ref="AK12:AK17" si="14">SUM(K12:N12)</f>
        <v>-451.63455814000002</v>
      </c>
      <c r="AL12" s="4">
        <f t="shared" ref="AL12:AL17" si="15">SUM(O12:R12)</f>
        <v>-567.80718200000001</v>
      </c>
      <c r="AM12" s="4">
        <f t="shared" ref="AM12:AM17" si="16">SUM(S12:V12)</f>
        <v>-395.00600000000003</v>
      </c>
      <c r="AN12" s="4">
        <f t="shared" ref="AN12:AN17" si="17">SUM(W12:Z12)</f>
        <v>0</v>
      </c>
      <c r="AO12" s="4">
        <f t="shared" ref="AO12:AO17" si="18">SUM(AA12:AD12)</f>
        <v>0</v>
      </c>
      <c r="AP12" s="6"/>
      <c r="AQ12" s="6"/>
      <c r="AR12" s="6"/>
      <c r="AS12" s="6"/>
      <c r="AT12" s="6"/>
    </row>
    <row r="13" spans="1:46" ht="14.25" hidden="1" customHeight="1" outlineLevel="1" x14ac:dyDescent="0.35">
      <c r="B13" s="36" t="s">
        <v>69</v>
      </c>
      <c r="C13" s="4">
        <v>-26.214284279919326</v>
      </c>
      <c r="D13" s="4">
        <v>-36.520440918660697</v>
      </c>
      <c r="E13" s="4">
        <v>-47.27215260348563</v>
      </c>
      <c r="F13" s="4">
        <v>-43.459866139999995</v>
      </c>
      <c r="G13" s="4">
        <v>-40.249173479999996</v>
      </c>
      <c r="H13" s="4">
        <v>-45.81881577</v>
      </c>
      <c r="I13" s="4">
        <v>-35.472158119999996</v>
      </c>
      <c r="J13" s="4">
        <v>-83.316493490000013</v>
      </c>
      <c r="K13" s="4">
        <v>-69.892630299999993</v>
      </c>
      <c r="L13" s="4">
        <v>-69.058173639999964</v>
      </c>
      <c r="M13" s="4">
        <v>-65.669241040000017</v>
      </c>
      <c r="N13" s="4">
        <v>-70.773899420000006</v>
      </c>
      <c r="O13" s="4">
        <v>-90.939413707024599</v>
      </c>
      <c r="P13" s="4">
        <v>-102.30818841998386</v>
      </c>
      <c r="Q13" s="4">
        <v>-93.328968433967759</v>
      </c>
      <c r="R13" s="4">
        <v>-88.942101439023801</v>
      </c>
      <c r="S13" s="4">
        <v>-80.054337191110292</v>
      </c>
      <c r="T13" s="4">
        <v>-116.1362530442421</v>
      </c>
      <c r="U13" s="4">
        <v>-136.04670822</v>
      </c>
      <c r="V13" s="4">
        <v>-144.41628484695988</v>
      </c>
      <c r="W13" s="4">
        <v>-156.16515697477143</v>
      </c>
      <c r="X13" s="4">
        <v>-98.004076913110936</v>
      </c>
      <c r="Y13" s="4">
        <v>-115.93558771053259</v>
      </c>
      <c r="Z13" s="4">
        <v>-140.68679624039748</v>
      </c>
      <c r="AA13" s="4">
        <v>-190.14082957000002</v>
      </c>
      <c r="AB13" s="4">
        <v>-212.69834353000002</v>
      </c>
      <c r="AC13" s="4">
        <v>-210.44027416</v>
      </c>
      <c r="AD13" s="4">
        <v>-177.79592673000002</v>
      </c>
      <c r="AE13" s="4">
        <v>-172.36477647000004</v>
      </c>
      <c r="AF13" s="4">
        <v>-167.44069830000001</v>
      </c>
      <c r="AG13" s="4">
        <v>-199.94698797000001</v>
      </c>
      <c r="AH13" s="4"/>
      <c r="AI13" s="4">
        <f t="shared" si="12"/>
        <v>-153.46674394206565</v>
      </c>
      <c r="AJ13" s="4">
        <f t="shared" si="13"/>
        <v>-204.85664086000003</v>
      </c>
      <c r="AK13" s="4">
        <f t="shared" si="14"/>
        <v>-275.39394440000001</v>
      </c>
      <c r="AL13" s="4">
        <f t="shared" si="15"/>
        <v>-375.51867200000004</v>
      </c>
      <c r="AM13" s="4">
        <f t="shared" si="16"/>
        <v>-476.65358330231231</v>
      </c>
      <c r="AN13" s="4">
        <f t="shared" si="17"/>
        <v>-510.79161783881244</v>
      </c>
      <c r="AO13" s="4">
        <f t="shared" si="18"/>
        <v>-791.07537399000012</v>
      </c>
      <c r="AP13" s="6"/>
      <c r="AQ13" s="6"/>
      <c r="AR13" s="6"/>
      <c r="AS13" s="6"/>
      <c r="AT13" s="6"/>
    </row>
    <row r="14" spans="1:46" ht="14.25" hidden="1" customHeight="1" outlineLevel="1" x14ac:dyDescent="0.35">
      <c r="B14" s="36" t="s">
        <v>70</v>
      </c>
      <c r="C14" s="4">
        <v>-8.9799018729144002</v>
      </c>
      <c r="D14" s="4">
        <v>-11.528424843589818</v>
      </c>
      <c r="E14" s="4">
        <v>-16.718016295474925</v>
      </c>
      <c r="F14" s="4">
        <v>-10.90322108</v>
      </c>
      <c r="G14" s="4">
        <v>-14.236898</v>
      </c>
      <c r="H14" s="4">
        <v>-14.634883</v>
      </c>
      <c r="I14" s="4">
        <v>-18.194195999999998</v>
      </c>
      <c r="J14" s="4">
        <v>-16.214293000000001</v>
      </c>
      <c r="K14" s="4">
        <v>-20.318000854860991</v>
      </c>
      <c r="L14" s="4">
        <v>-26.40716810816701</v>
      </c>
      <c r="M14" s="4">
        <v>-27.966649504605972</v>
      </c>
      <c r="N14" s="4">
        <v>-31.102378022366043</v>
      </c>
      <c r="O14" s="4">
        <v>-242.35347333074063</v>
      </c>
      <c r="P14" s="4">
        <v>-97.840534746052782</v>
      </c>
      <c r="Q14" s="4">
        <v>-154.78406860121561</v>
      </c>
      <c r="R14" s="4">
        <v>-51.848395321990942</v>
      </c>
      <c r="S14" s="4">
        <v>-77.790000000000006</v>
      </c>
      <c r="T14" s="4">
        <v>-93.461133113411776</v>
      </c>
      <c r="U14" s="4">
        <v>-136</v>
      </c>
      <c r="V14" s="4">
        <v>-91.644599314942354</v>
      </c>
      <c r="W14" s="4">
        <v>-105.06175475814409</v>
      </c>
      <c r="X14" s="4">
        <v>-98.390587617817488</v>
      </c>
      <c r="Y14" s="4">
        <v>-205.8795331342769</v>
      </c>
      <c r="Z14" s="4">
        <v>-209.79932169427752</v>
      </c>
      <c r="AA14" s="4">
        <v>-231.66198560776397</v>
      </c>
      <c r="AB14" s="4">
        <v>-248.56965138735603</v>
      </c>
      <c r="AC14" s="4">
        <v>-335.50220855266002</v>
      </c>
      <c r="AD14" s="4">
        <v>-258.50709050643604</v>
      </c>
      <c r="AE14" s="4">
        <v>-255.46201970896004</v>
      </c>
      <c r="AF14" s="4">
        <v>-291.87019752239922</v>
      </c>
      <c r="AG14" s="4">
        <v>-277.79674963628065</v>
      </c>
      <c r="AH14" s="4"/>
      <c r="AI14" s="4">
        <f t="shared" si="12"/>
        <v>-48.129564091979141</v>
      </c>
      <c r="AJ14" s="4">
        <f t="shared" si="13"/>
        <v>-63.280270000000002</v>
      </c>
      <c r="AK14" s="4">
        <f t="shared" si="14"/>
        <v>-105.79419649</v>
      </c>
      <c r="AL14" s="4">
        <f t="shared" si="15"/>
        <v>-546.82647199999997</v>
      </c>
      <c r="AM14" s="4">
        <f t="shared" si="16"/>
        <v>-398.89573242835417</v>
      </c>
      <c r="AN14" s="4">
        <f t="shared" si="17"/>
        <v>-619.13119720451596</v>
      </c>
      <c r="AO14" s="4">
        <f t="shared" si="18"/>
        <v>-1074.240936054216</v>
      </c>
      <c r="AP14" s="6"/>
      <c r="AQ14" s="6"/>
      <c r="AR14" s="6"/>
      <c r="AS14" s="6"/>
      <c r="AT14" s="6"/>
    </row>
    <row r="15" spans="1:46" ht="14.25" hidden="1" customHeight="1" outlineLevel="1" x14ac:dyDescent="0.35">
      <c r="B15" s="36" t="s">
        <v>111</v>
      </c>
      <c r="C15" s="4">
        <v>-5.2090393431030977</v>
      </c>
      <c r="D15" s="4">
        <v>-6.3046478690572991</v>
      </c>
      <c r="E15" s="4">
        <v>-9.7799382833992006</v>
      </c>
      <c r="F15" s="4">
        <v>-11.371146982425902</v>
      </c>
      <c r="G15" s="4">
        <v>-14.135391299999998</v>
      </c>
      <c r="H15" s="4">
        <v>-17.85929518</v>
      </c>
      <c r="I15" s="4">
        <v>-13.004053240000008</v>
      </c>
      <c r="J15" s="4">
        <v>-21.737912549999997</v>
      </c>
      <c r="K15" s="4">
        <v>-23.465303082445995</v>
      </c>
      <c r="L15" s="4">
        <v>-35.778271691038029</v>
      </c>
      <c r="M15" s="4">
        <v>-37.803684563427957</v>
      </c>
      <c r="N15" s="4">
        <v>-44.973895893088049</v>
      </c>
      <c r="O15" s="4">
        <v>-36.164999999999999</v>
      </c>
      <c r="P15" s="4">
        <v>-43.356245066964398</v>
      </c>
      <c r="Q15" s="4">
        <v>-40.968528405746241</v>
      </c>
      <c r="R15" s="4">
        <v>-61.885253912457777</v>
      </c>
      <c r="S15" s="4">
        <v>-50.357999999999997</v>
      </c>
      <c r="T15" s="4">
        <v>-62.454999999999998</v>
      </c>
      <c r="U15" s="4">
        <v>-64.806944640335303</v>
      </c>
      <c r="V15" s="4">
        <v>-97.616124150287021</v>
      </c>
      <c r="W15" s="4">
        <v>-98.142087508910407</v>
      </c>
      <c r="X15" s="4">
        <v>0.4092600000000175</v>
      </c>
      <c r="Y15" s="4">
        <v>-105.34306354303449</v>
      </c>
      <c r="Z15" s="4">
        <v>-159.51786759581364</v>
      </c>
      <c r="AA15" s="4">
        <v>-63.319801870737145</v>
      </c>
      <c r="AB15" s="4">
        <v>-142.73846923218548</v>
      </c>
      <c r="AC15" s="4">
        <v>-153.47025758133299</v>
      </c>
      <c r="AD15" s="4">
        <v>-191.19451632553964</v>
      </c>
      <c r="AE15" s="4">
        <v>-160.32980867497398</v>
      </c>
      <c r="AF15" s="4">
        <v>-287.74762972946496</v>
      </c>
      <c r="AG15" s="4">
        <v>-272.95046694496386</v>
      </c>
      <c r="AH15" s="4"/>
      <c r="AI15" s="4">
        <f>SUM(C15:F15)</f>
        <v>-32.664772477985494</v>
      </c>
      <c r="AJ15" s="4">
        <f>SUM(G15:J15)</f>
        <v>-66.736652270000008</v>
      </c>
      <c r="AK15" s="4">
        <f>SUM(K15:N15)</f>
        <v>-142.02115523000003</v>
      </c>
      <c r="AL15" s="4">
        <f>SUM(O15:R15)</f>
        <v>-182.37502738516841</v>
      </c>
      <c r="AM15" s="4">
        <f>SUM(S15:V15)</f>
        <v>-275.23606879062231</v>
      </c>
      <c r="AN15" s="4">
        <f>SUM(W15:Z15)</f>
        <v>-362.59375864775853</v>
      </c>
      <c r="AO15" s="4">
        <f>SUM(AA15:AD15)</f>
        <v>-550.72304500979521</v>
      </c>
      <c r="AP15" s="6"/>
      <c r="AQ15" s="6"/>
      <c r="AR15" s="6"/>
      <c r="AS15" s="6"/>
      <c r="AT15" s="6"/>
    </row>
    <row r="16" spans="1:46" s="105" customFormat="1" ht="14.25" customHeight="1" collapsed="1" x14ac:dyDescent="0.35">
      <c r="B16" s="103" t="s">
        <v>66</v>
      </c>
      <c r="C16" s="104">
        <v>-4.8145043799999971</v>
      </c>
      <c r="D16" s="104">
        <v>-5.350165900000003</v>
      </c>
      <c r="E16" s="104">
        <v>-5.6343177500000001</v>
      </c>
      <c r="F16" s="104">
        <v>-11.691478479999997</v>
      </c>
      <c r="G16" s="104">
        <v>-5.0256300000000005</v>
      </c>
      <c r="H16" s="104">
        <v>-7.8249520000000006</v>
      </c>
      <c r="I16" s="104">
        <v>-7.8722129999999968</v>
      </c>
      <c r="J16" s="104">
        <v>-10.833920000000003</v>
      </c>
      <c r="K16" s="104">
        <v>-17.434257389999999</v>
      </c>
      <c r="L16" s="104">
        <v>-7.849375049999999</v>
      </c>
      <c r="M16" s="104">
        <v>-10.144890119999999</v>
      </c>
      <c r="N16" s="104">
        <v>-12.425418829999998</v>
      </c>
      <c r="O16" s="104">
        <v>-14.43797298</v>
      </c>
      <c r="P16" s="104">
        <v>-13.707775329999995</v>
      </c>
      <c r="Q16" s="104">
        <v>-22.251337780000007</v>
      </c>
      <c r="R16" s="104">
        <v>-21.094256909999988</v>
      </c>
      <c r="S16" s="104">
        <v>-32.835000000000001</v>
      </c>
      <c r="T16" s="104">
        <v>-41.647968629999994</v>
      </c>
      <c r="U16" s="104">
        <v>-62.257362580000034</v>
      </c>
      <c r="V16" s="104">
        <v>-63.892754299999972</v>
      </c>
      <c r="W16" s="104">
        <v>-70.171495870000001</v>
      </c>
      <c r="X16" s="104">
        <v>-60.324426360000004</v>
      </c>
      <c r="Y16" s="104">
        <v>-82.473348340000015</v>
      </c>
      <c r="Z16" s="104">
        <v>-75.339767269999996</v>
      </c>
      <c r="AA16" s="104">
        <v>-173.13273332</v>
      </c>
      <c r="AB16" s="104">
        <v>-147.02718609000001</v>
      </c>
      <c r="AC16" s="104">
        <v>-129.89069608</v>
      </c>
      <c r="AD16" s="104">
        <v>-214.21735868999997</v>
      </c>
      <c r="AE16" s="104">
        <v>-249.71464083999999</v>
      </c>
      <c r="AF16" s="104">
        <v>-270.48382595792003</v>
      </c>
      <c r="AG16" s="104">
        <v>-272.75183490207996</v>
      </c>
      <c r="AH16" s="6"/>
      <c r="AI16" s="104">
        <f>SUM(C16:F16)</f>
        <v>-27.490466509999997</v>
      </c>
      <c r="AJ16" s="104">
        <f>SUM(G16:J16)</f>
        <v>-31.556715000000001</v>
      </c>
      <c r="AK16" s="104">
        <f>SUM(K16:N16)</f>
        <v>-47.853941389999996</v>
      </c>
      <c r="AL16" s="104">
        <f>SUM(O16:R16)</f>
        <v>-71.491342999999986</v>
      </c>
      <c r="AM16" s="104">
        <f>SUM(S16:V16)</f>
        <v>-200.63308551</v>
      </c>
      <c r="AN16" s="104">
        <f>SUM(W16:Z16)</f>
        <v>-288.30903784000003</v>
      </c>
      <c r="AO16" s="104">
        <f>SUM(AA16:AD16)</f>
        <v>-664.26797418000001</v>
      </c>
      <c r="AP16" s="6"/>
      <c r="AQ16" s="6"/>
      <c r="AR16" s="6"/>
      <c r="AS16" s="6"/>
      <c r="AT16" s="6"/>
    </row>
    <row r="17" spans="1:46" s="105" customFormat="1" ht="14.25" customHeight="1" x14ac:dyDescent="0.35">
      <c r="B17" s="103" t="s">
        <v>71</v>
      </c>
      <c r="C17" s="104">
        <v>-3.8193371600000008</v>
      </c>
      <c r="D17" s="104">
        <v>-4.3005770799999983</v>
      </c>
      <c r="E17" s="104">
        <v>-4.8432917900000012</v>
      </c>
      <c r="F17" s="104">
        <v>-5.6170832900000027</v>
      </c>
      <c r="G17" s="104">
        <v>-6.2863829999999998</v>
      </c>
      <c r="H17" s="104">
        <v>-7.0978070000000004</v>
      </c>
      <c r="I17" s="104">
        <v>-8.228076999999999</v>
      </c>
      <c r="J17" s="104">
        <v>-9.6336809999999993</v>
      </c>
      <c r="K17" s="104">
        <v>-10.739059286122002</v>
      </c>
      <c r="L17" s="104">
        <v>-11.933667379328</v>
      </c>
      <c r="M17" s="104">
        <v>-13.492266995413001</v>
      </c>
      <c r="N17" s="104">
        <v>-15.406494519136968</v>
      </c>
      <c r="O17" s="104">
        <v>-18.006200776278</v>
      </c>
      <c r="P17" s="104">
        <v>-20.540659115095991</v>
      </c>
      <c r="Q17" s="104">
        <v>-23.925763707406396</v>
      </c>
      <c r="R17" s="104">
        <v>-32.889000000000003</v>
      </c>
      <c r="S17" s="104">
        <v>-26.4</v>
      </c>
      <c r="T17" s="104">
        <v>-21.7</v>
      </c>
      <c r="U17" s="104">
        <v>-34.1</v>
      </c>
      <c r="V17" s="104">
        <v>-46.099999999999994</v>
      </c>
      <c r="W17" s="104">
        <v>-59.6</v>
      </c>
      <c r="X17" s="104">
        <v>-81.400000000000006</v>
      </c>
      <c r="Y17" s="104">
        <v>-101.52798060813829</v>
      </c>
      <c r="Z17" s="104">
        <v>-133.82178216510505</v>
      </c>
      <c r="AA17" s="104">
        <v>-158.29787135049457</v>
      </c>
      <c r="AB17" s="104">
        <v>-181.52033899584535</v>
      </c>
      <c r="AC17" s="104">
        <v>-203.27671777909396</v>
      </c>
      <c r="AD17" s="104">
        <v>-225.5</v>
      </c>
      <c r="AE17" s="104">
        <v>-249.02219570682448</v>
      </c>
      <c r="AF17" s="104">
        <v>-280.56612036482954</v>
      </c>
      <c r="AG17" s="104">
        <v>-294.41611663115395</v>
      </c>
      <c r="AH17" s="6"/>
      <c r="AI17" s="104">
        <f t="shared" si="12"/>
        <v>-18.580289320000006</v>
      </c>
      <c r="AJ17" s="104">
        <f t="shared" si="13"/>
        <v>-31.245947999999999</v>
      </c>
      <c r="AK17" s="104">
        <f t="shared" si="14"/>
        <v>-51.571488179999974</v>
      </c>
      <c r="AL17" s="104">
        <f t="shared" si="15"/>
        <v>-95.361623598780398</v>
      </c>
      <c r="AM17" s="104">
        <f t="shared" si="16"/>
        <v>-128.29999999999998</v>
      </c>
      <c r="AN17" s="104">
        <f t="shared" si="17"/>
        <v>-376.34976277324336</v>
      </c>
      <c r="AO17" s="104">
        <f t="shared" si="18"/>
        <v>-768.59492812543385</v>
      </c>
      <c r="AP17" s="6"/>
      <c r="AQ17" s="6"/>
      <c r="AR17" s="6"/>
      <c r="AS17" s="6"/>
      <c r="AT17" s="6"/>
    </row>
    <row r="18" spans="1:46" ht="14.25" customHeight="1" x14ac:dyDescent="0.35">
      <c r="B18" s="3" t="s">
        <v>125</v>
      </c>
      <c r="C18" s="2">
        <f t="shared" ref="C18" si="19">C6+C10+C11+C16+C17</f>
        <v>-89.033276546361421</v>
      </c>
      <c r="D18" s="2">
        <f t="shared" ref="D18" si="20">D6+D10+D11+D16+D17</f>
        <v>-154.79678456848004</v>
      </c>
      <c r="E18" s="2">
        <f t="shared" ref="E18" si="21">E6+E10+E11+E16+E17</f>
        <v>-195.60702993102637</v>
      </c>
      <c r="F18" s="2">
        <f t="shared" ref="F18" si="22">F6+F10+F11+F16+F17</f>
        <v>-195.16828217039037</v>
      </c>
      <c r="G18" s="2">
        <f t="shared" ref="G18" si="23">G6+G10+G11+G16+G17</f>
        <v>-175.60204443000001</v>
      </c>
      <c r="H18" s="2">
        <f t="shared" ref="H18" si="24">H6+H10+H11+H16+H17</f>
        <v>-219.45730254</v>
      </c>
      <c r="I18" s="2">
        <f t="shared" ref="I18" si="25">I6+I10+I11+I16+I17</f>
        <v>-246.16313334</v>
      </c>
      <c r="J18" s="2">
        <f t="shared" ref="J18" si="26">J6+J10+J11+J16+J17</f>
        <v>-341.80417628000004</v>
      </c>
      <c r="K18" s="2">
        <f t="shared" ref="K18" si="27">K6+K10+K11+K16+K17</f>
        <v>-366.33042633342905</v>
      </c>
      <c r="L18" s="2">
        <f t="shared" ref="L18" si="28">L6+L10+L11+L16+L17</f>
        <v>-440.78578683853311</v>
      </c>
      <c r="M18" s="2">
        <f t="shared" ref="M18" si="29">M6+M10+M11+M16+M17</f>
        <v>-471.96271888344683</v>
      </c>
      <c r="N18" s="2">
        <f t="shared" ref="N18" si="30">N6+N10+N11+N16+N17</f>
        <v>-560.80167157459107</v>
      </c>
      <c r="O18" s="2">
        <f t="shared" ref="O18" si="31">O6+O10+O11+O16+O17</f>
        <v>-765.03032025612504</v>
      </c>
      <c r="P18" s="2">
        <f t="shared" ref="P18" si="32">P6+P10+P11+P16+P17</f>
        <v>-689.03651972412615</v>
      </c>
      <c r="Q18" s="2">
        <f t="shared" ref="Q18" si="33">Q6+Q10+Q11+Q16+Q17</f>
        <v>-816.80627430235711</v>
      </c>
      <c r="R18" s="2">
        <f t="shared" ref="R18" si="34">R6+R10+R11+R16+R17</f>
        <v>-846.19619647134039</v>
      </c>
      <c r="S18" s="2">
        <f t="shared" ref="S18" si="35">S6+S10+S11+S16+S17</f>
        <v>-802.04717803126994</v>
      </c>
      <c r="T18" s="2">
        <f t="shared" ref="T18" si="36">T6+T10+T11+T16+T17</f>
        <v>-928.58901004497886</v>
      </c>
      <c r="U18" s="2">
        <f t="shared" ref="U18" si="37">U6+U10+U11+U16+U17</f>
        <v>-995.18363665033542</v>
      </c>
      <c r="V18" s="2">
        <f t="shared" ref="V18" si="38">V6+V10+V11+V16+V17</f>
        <v>-1041.0201691383093</v>
      </c>
      <c r="W18" s="2">
        <f t="shared" ref="W18" si="39">W6+W10+W11+W16+W17</f>
        <v>-1091.136400664612</v>
      </c>
      <c r="X18" s="2">
        <f t="shared" ref="X18" si="40">X6+X10+X11+X16+X17</f>
        <v>-945.00224342299214</v>
      </c>
      <c r="Y18" s="2">
        <f t="shared" ref="Y18" si="41">Y6+Y10+Y11+Y16+Y17</f>
        <v>-1429.2686720159825</v>
      </c>
      <c r="Z18" s="2">
        <f t="shared" ref="Z18" si="42">Z6+Z10+Z11+Z16+Z17</f>
        <v>-1574.4358624907443</v>
      </c>
      <c r="AA18" s="2">
        <v>-1706.8325007589956</v>
      </c>
      <c r="AB18" s="2">
        <v>-2031.4415490553865</v>
      </c>
      <c r="AC18" s="2">
        <v>-2354.5539688230874</v>
      </c>
      <c r="AD18" s="2">
        <v>-2867.8599538419758</v>
      </c>
      <c r="AE18" s="2">
        <f t="shared" ref="AE18:AF18" si="43">AE6+AE10+AE11+AE16+AE17</f>
        <v>-3010.5659674010317</v>
      </c>
      <c r="AF18" s="2">
        <f t="shared" si="43"/>
        <v>-3467.872637113679</v>
      </c>
      <c r="AG18" s="2">
        <f t="shared" ref="AG18:AM18" si="44">AG6+AG10+AG11+AG16+AG17</f>
        <v>-3610.1345796303203</v>
      </c>
      <c r="AH18" s="6"/>
      <c r="AI18" s="2">
        <f t="shared" si="44"/>
        <v>-634.60537321625816</v>
      </c>
      <c r="AJ18" s="2">
        <f t="shared" si="44"/>
        <v>-983.02665659000013</v>
      </c>
      <c r="AK18" s="2">
        <f t="shared" si="44"/>
        <v>-1839.88060363</v>
      </c>
      <c r="AL18" s="2">
        <f t="shared" si="44"/>
        <v>-3117.0693107539491</v>
      </c>
      <c r="AM18" s="2">
        <f t="shared" si="44"/>
        <v>-3766.8399938648936</v>
      </c>
      <c r="AN18" s="2">
        <f>AN6+AN10+AN11+AN16+AN17</f>
        <v>-5039.8431785943303</v>
      </c>
      <c r="AO18" s="2">
        <f>AO6+AO10+AO11+AO16+AO17</f>
        <v>-8960.6879724794453</v>
      </c>
      <c r="AP18" s="6"/>
      <c r="AQ18" s="6"/>
      <c r="AR18" s="6"/>
      <c r="AS18" s="6"/>
      <c r="AT18" s="6"/>
    </row>
    <row r="19" spans="1:46" ht="14.25" customHeight="1" x14ac:dyDescent="0.35">
      <c r="B19" s="39" t="s">
        <v>126</v>
      </c>
      <c r="C19" s="40">
        <f t="shared" ref="C19:Z19" si="45">C18-SUM(C7:C8)</f>
        <v>-89.033276546361421</v>
      </c>
      <c r="D19" s="40">
        <f t="shared" si="45"/>
        <v>-154.79678456848004</v>
      </c>
      <c r="E19" s="40">
        <f t="shared" si="45"/>
        <v>-195.60702993102637</v>
      </c>
      <c r="F19" s="40">
        <f t="shared" si="45"/>
        <v>-195.16828217039037</v>
      </c>
      <c r="G19" s="40">
        <f t="shared" si="45"/>
        <v>-175.60204443000001</v>
      </c>
      <c r="H19" s="40">
        <f t="shared" si="45"/>
        <v>-219.45730254</v>
      </c>
      <c r="I19" s="40">
        <f t="shared" si="45"/>
        <v>-246.16313334</v>
      </c>
      <c r="J19" s="40">
        <f t="shared" si="45"/>
        <v>-341.80417628000004</v>
      </c>
      <c r="K19" s="40">
        <f t="shared" si="45"/>
        <v>-275.76912481342902</v>
      </c>
      <c r="L19" s="40">
        <f t="shared" si="45"/>
        <v>-319.08806786853313</v>
      </c>
      <c r="M19" s="40">
        <f t="shared" si="45"/>
        <v>-310.47560522344679</v>
      </c>
      <c r="N19" s="40">
        <f t="shared" si="45"/>
        <v>-347.23218694459104</v>
      </c>
      <c r="O19" s="40">
        <f t="shared" si="45"/>
        <v>-538.56494795612502</v>
      </c>
      <c r="P19" s="40">
        <f t="shared" si="45"/>
        <v>-423.35394902412611</v>
      </c>
      <c r="Q19" s="40">
        <f t="shared" si="45"/>
        <v>-507.08471806235713</v>
      </c>
      <c r="R19" s="40">
        <f t="shared" si="45"/>
        <v>-485.32332672134038</v>
      </c>
      <c r="S19" s="40">
        <f t="shared" si="45"/>
        <v>-448.01082971126993</v>
      </c>
      <c r="T19" s="40">
        <f t="shared" si="45"/>
        <v>-528.77698013497888</v>
      </c>
      <c r="U19" s="40">
        <f t="shared" si="45"/>
        <v>-558.23089102033543</v>
      </c>
      <c r="V19" s="40">
        <f t="shared" si="45"/>
        <v>-551.82536168830927</v>
      </c>
      <c r="W19" s="40">
        <f t="shared" si="45"/>
        <v>-658.46726202461195</v>
      </c>
      <c r="X19" s="40">
        <f t="shared" si="45"/>
        <v>-525.69317291299217</v>
      </c>
      <c r="Y19" s="40">
        <f t="shared" si="45"/>
        <v>-831.58765437598242</v>
      </c>
      <c r="Z19" s="40">
        <f t="shared" si="45"/>
        <v>-906.25483803074428</v>
      </c>
      <c r="AA19" s="40">
        <v>-1001.1071633989957</v>
      </c>
      <c r="AB19" s="40">
        <v>-1203.2917658353867</v>
      </c>
      <c r="AC19" s="40">
        <v>-1369.3596853430874</v>
      </c>
      <c r="AD19" s="40">
        <v>-1689.9141349319757</v>
      </c>
      <c r="AE19" s="40">
        <f t="shared" ref="AE19:AF19" si="46">AE18-AE7-AE8</f>
        <v>-1780.3171852810319</v>
      </c>
      <c r="AF19" s="40">
        <f t="shared" si="46"/>
        <v>-2102.808014743679</v>
      </c>
      <c r="AG19" s="40">
        <f t="shared" ref="AG19" si="47">AG18-AG7-AG8</f>
        <v>-2230.6090655903195</v>
      </c>
      <c r="AH19" s="6"/>
      <c r="AI19" s="40">
        <f t="shared" ref="AI19:AO19" si="48">AI18-SUM(AI7:AI8)</f>
        <v>-634.60537321625816</v>
      </c>
      <c r="AJ19" s="40">
        <f t="shared" si="48"/>
        <v>-983.02665659000013</v>
      </c>
      <c r="AK19" s="40">
        <f t="shared" si="48"/>
        <v>-1252.56498485</v>
      </c>
      <c r="AL19" s="40">
        <f t="shared" si="48"/>
        <v>-1954.3269417639492</v>
      </c>
      <c r="AM19" s="40">
        <f t="shared" si="48"/>
        <v>-2086.8440625548933</v>
      </c>
      <c r="AN19" s="40">
        <f t="shared" si="48"/>
        <v>-2922.0029273443301</v>
      </c>
      <c r="AO19" s="40">
        <f t="shared" si="48"/>
        <v>-5263.6727495094456</v>
      </c>
      <c r="AP19" s="6"/>
      <c r="AQ19" s="6"/>
      <c r="AR19" s="6"/>
      <c r="AS19" s="6"/>
      <c r="AT19" s="6"/>
    </row>
    <row r="20" spans="1:46" ht="14.25" customHeight="1" x14ac:dyDescent="0.35"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</row>
    <row r="21" spans="1:46" ht="14.25" customHeight="1" x14ac:dyDescent="0.35">
      <c r="B21" s="27" t="s">
        <v>22</v>
      </c>
      <c r="C21" s="26" t="s">
        <v>21</v>
      </c>
      <c r="D21" s="26" t="s">
        <v>20</v>
      </c>
      <c r="E21" s="26" t="s">
        <v>19</v>
      </c>
      <c r="F21" s="26" t="s">
        <v>18</v>
      </c>
      <c r="G21" s="26" t="s">
        <v>17</v>
      </c>
      <c r="H21" s="26" t="s">
        <v>16</v>
      </c>
      <c r="I21" s="26" t="s">
        <v>15</v>
      </c>
      <c r="J21" s="26" t="s">
        <v>14</v>
      </c>
      <c r="K21" s="26" t="s">
        <v>13</v>
      </c>
      <c r="L21" s="26" t="s">
        <v>12</v>
      </c>
      <c r="M21" s="26" t="s">
        <v>11</v>
      </c>
      <c r="N21" s="26" t="s">
        <v>10</v>
      </c>
      <c r="O21" s="26" t="s">
        <v>9</v>
      </c>
      <c r="P21" s="26" t="s">
        <v>8</v>
      </c>
      <c r="Q21" s="26" t="s">
        <v>7</v>
      </c>
      <c r="R21" s="26" t="s">
        <v>6</v>
      </c>
      <c r="S21" s="26" t="s">
        <v>5</v>
      </c>
      <c r="T21" s="26" t="s">
        <v>4</v>
      </c>
      <c r="U21" s="26" t="s">
        <v>101</v>
      </c>
      <c r="V21" s="26" t="s">
        <v>102</v>
      </c>
      <c r="W21" s="26" t="s">
        <v>104</v>
      </c>
      <c r="X21" s="26" t="s">
        <v>107</v>
      </c>
      <c r="Y21" s="26" t="s">
        <v>112</v>
      </c>
      <c r="Z21" s="26" t="s">
        <v>122</v>
      </c>
      <c r="AA21" s="26" t="s">
        <v>139</v>
      </c>
      <c r="AB21" s="26" t="s">
        <v>149</v>
      </c>
      <c r="AC21" s="26" t="s">
        <v>154</v>
      </c>
      <c r="AD21" s="26" t="s">
        <v>168</v>
      </c>
      <c r="AE21" s="26" t="s">
        <v>187</v>
      </c>
      <c r="AF21" s="26" t="s">
        <v>206</v>
      </c>
      <c r="AG21" s="26" t="s">
        <v>216</v>
      </c>
      <c r="AH21" s="6"/>
      <c r="AI21" s="26">
        <v>2015</v>
      </c>
      <c r="AJ21" s="26">
        <v>2016</v>
      </c>
      <c r="AK21" s="26">
        <v>2017</v>
      </c>
      <c r="AL21" s="26">
        <v>2018</v>
      </c>
      <c r="AM21" s="26">
        <v>2019</v>
      </c>
      <c r="AN21" s="26">
        <v>2020</v>
      </c>
      <c r="AO21" s="26">
        <v>2021</v>
      </c>
      <c r="AP21" s="6"/>
      <c r="AQ21" s="6"/>
      <c r="AR21" s="6"/>
      <c r="AS21" s="6"/>
      <c r="AT21" s="6"/>
    </row>
    <row r="22" spans="1:46" s="105" customFormat="1" ht="14.25" customHeight="1" x14ac:dyDescent="0.35">
      <c r="A22" s="106"/>
      <c r="B22" s="103" t="s">
        <v>23</v>
      </c>
      <c r="C22" s="104">
        <v>-46.886981641287498</v>
      </c>
      <c r="D22" s="104">
        <v>-98.812228924046991</v>
      </c>
      <c r="E22" s="104">
        <v>-126.78180631151699</v>
      </c>
      <c r="F22" s="104">
        <v>-110.00206759639946</v>
      </c>
      <c r="G22" s="104">
        <v>-115.44248490000001</v>
      </c>
      <c r="H22" s="104">
        <v>-148.03168944000004</v>
      </c>
      <c r="I22" s="104">
        <v>-171.65862710999997</v>
      </c>
      <c r="J22" s="104">
        <v>-188.53342815000013</v>
      </c>
      <c r="K22" s="104">
        <v>-242.89264449000001</v>
      </c>
      <c r="L22" s="104">
        <v>-326.97673901999997</v>
      </c>
      <c r="M22" s="104">
        <v>-348.54561649000004</v>
      </c>
      <c r="N22" s="104">
        <v>-405.96484236999936</v>
      </c>
      <c r="O22" s="104">
        <v>-444.76213267127503</v>
      </c>
      <c r="P22" s="104">
        <v>-482.75317739995506</v>
      </c>
      <c r="Q22" s="104">
        <v>-550.64076601776583</v>
      </c>
      <c r="R22" s="104">
        <v>-666.5427979110043</v>
      </c>
      <c r="S22" s="104">
        <v>-617.75371344134089</v>
      </c>
      <c r="T22" s="104">
        <v>-684.39400000000001</v>
      </c>
      <c r="U22" s="104">
        <v>-684.40924868999991</v>
      </c>
      <c r="V22" s="104">
        <v>-746.69144312157721</v>
      </c>
      <c r="W22" s="104">
        <v>-768.59319245307006</v>
      </c>
      <c r="X22" s="104">
        <v>-793.28539579987375</v>
      </c>
      <c r="Y22" s="104">
        <v>-1057.2317686637434</v>
      </c>
      <c r="Z22" s="104">
        <v>-1153.1401092510764</v>
      </c>
      <c r="AA22" s="104">
        <v>-1146.1192632040238</v>
      </c>
      <c r="AB22" s="104">
        <v>-1295.0621130794425</v>
      </c>
      <c r="AC22" s="104">
        <v>-1502.0057330008003</v>
      </c>
      <c r="AD22" s="104">
        <v>-1832.7700966488487</v>
      </c>
      <c r="AE22" s="104">
        <f t="shared" ref="AE22:AF22" si="49">SUM(AE23:AE25)</f>
        <v>-1739.3323995354283</v>
      </c>
      <c r="AF22" s="104">
        <f t="shared" si="49"/>
        <v>-1900.3466758279001</v>
      </c>
      <c r="AG22" s="104">
        <f t="shared" ref="AG22" si="50">SUM(AG23:AG25)</f>
        <v>-1862.1729389366685</v>
      </c>
      <c r="AH22" s="6"/>
      <c r="AI22" s="104">
        <f t="shared" ref="AI22:AI24" si="51">SUM(C22:F22)</f>
        <v>-382.48308447325093</v>
      </c>
      <c r="AJ22" s="104">
        <f t="shared" ref="AJ22:AJ24" si="52">SUM(G22:J22)</f>
        <v>-623.66622960000018</v>
      </c>
      <c r="AK22" s="104">
        <f t="shared" ref="AK22:AK24" si="53">SUM(K22:N22)</f>
        <v>-1324.3798423699996</v>
      </c>
      <c r="AL22" s="104">
        <f t="shared" ref="AL22:AL24" si="54">SUM(O22:R22)</f>
        <v>-2144.6988740000002</v>
      </c>
      <c r="AM22" s="104">
        <f t="shared" ref="AM22:AM24" si="55">SUM(S22:V22)</f>
        <v>-2733.248405252918</v>
      </c>
      <c r="AN22" s="104">
        <f t="shared" ref="AN22:AN24" si="56">SUM(W22:Z22)</f>
        <v>-3772.2504661677635</v>
      </c>
      <c r="AO22" s="104">
        <f t="shared" ref="AO22:AO24" si="57">SUM(AA22:AD22)</f>
        <v>-5775.9572059331149</v>
      </c>
      <c r="AP22" s="6"/>
      <c r="AQ22" s="6"/>
      <c r="AR22" s="6"/>
      <c r="AS22" s="6"/>
      <c r="AT22" s="6"/>
    </row>
    <row r="23" spans="1:46" ht="14.25" hidden="1" customHeight="1" outlineLevel="1" x14ac:dyDescent="0.35">
      <c r="A23" s="22"/>
      <c r="B23" s="13" t="s">
        <v>169</v>
      </c>
      <c r="C23" s="4" t="s">
        <v>186</v>
      </c>
      <c r="D23" s="4" t="s">
        <v>186</v>
      </c>
      <c r="E23" s="4" t="s">
        <v>186</v>
      </c>
      <c r="F23" s="4" t="s">
        <v>186</v>
      </c>
      <c r="G23" s="4" t="s">
        <v>186</v>
      </c>
      <c r="H23" s="4" t="s">
        <v>186</v>
      </c>
      <c r="I23" s="4" t="s">
        <v>186</v>
      </c>
      <c r="J23" s="4" t="s">
        <v>186</v>
      </c>
      <c r="K23" s="4">
        <f t="shared" ref="K23:AF23" si="58">K7</f>
        <v>-85.133093020000018</v>
      </c>
      <c r="L23" s="4">
        <f t="shared" si="58"/>
        <v>-111.57260256000001</v>
      </c>
      <c r="M23" s="4">
        <f t="shared" si="58"/>
        <v>-147.55178967000003</v>
      </c>
      <c r="N23" s="4">
        <f t="shared" si="58"/>
        <v>-190.27345770000002</v>
      </c>
      <c r="O23" s="4">
        <f t="shared" si="58"/>
        <v>-199.02885246</v>
      </c>
      <c r="P23" s="4">
        <f t="shared" si="58"/>
        <v>-237.28098716000002</v>
      </c>
      <c r="Q23" s="4">
        <f t="shared" si="58"/>
        <v>-283.25772262999999</v>
      </c>
      <c r="R23" s="4">
        <f t="shared" si="58"/>
        <v>-317.80795866</v>
      </c>
      <c r="S23" s="4">
        <f t="shared" si="58"/>
        <v>-306.73420222999999</v>
      </c>
      <c r="T23" s="4">
        <f t="shared" si="58"/>
        <v>-328.73577502000001</v>
      </c>
      <c r="U23" s="4">
        <f t="shared" si="58"/>
        <v>-353.64992078</v>
      </c>
      <c r="V23" s="4">
        <f t="shared" si="58"/>
        <v>-398.24725513999999</v>
      </c>
      <c r="W23" s="4">
        <f t="shared" si="58"/>
        <v>-341.31681793000001</v>
      </c>
      <c r="X23" s="4">
        <f t="shared" si="58"/>
        <v>-327.67153774000002</v>
      </c>
      <c r="Y23" s="4">
        <f t="shared" si="58"/>
        <v>-475.81282601000009</v>
      </c>
      <c r="Z23" s="4">
        <f t="shared" si="58"/>
        <v>-535.63985329000002</v>
      </c>
      <c r="AA23" s="4">
        <v>-566.72366900999998</v>
      </c>
      <c r="AB23" s="4">
        <v>-676.52042493999988</v>
      </c>
      <c r="AC23" s="4">
        <v>-820.95729442000004</v>
      </c>
      <c r="AD23" s="4">
        <v>-980.07479132000014</v>
      </c>
      <c r="AE23" s="4">
        <f t="shared" si="58"/>
        <v>-1018.5212031899997</v>
      </c>
      <c r="AF23" s="4">
        <f t="shared" si="58"/>
        <v>-1143.79240628</v>
      </c>
      <c r="AG23" s="4">
        <f t="shared" ref="AG23" si="59">AG7</f>
        <v>-1159.2629693900005</v>
      </c>
      <c r="AH23" s="4"/>
      <c r="AI23" s="4">
        <f t="shared" si="51"/>
        <v>0</v>
      </c>
      <c r="AJ23" s="4">
        <f t="shared" si="52"/>
        <v>0</v>
      </c>
      <c r="AK23" s="4">
        <f t="shared" si="53"/>
        <v>-534.53094295000005</v>
      </c>
      <c r="AL23" s="4">
        <f t="shared" si="54"/>
        <v>-1037.37552091</v>
      </c>
      <c r="AM23" s="4">
        <f t="shared" si="55"/>
        <v>-1387.3671531700002</v>
      </c>
      <c r="AN23" s="4">
        <f t="shared" si="56"/>
        <v>-1680.4410349700001</v>
      </c>
      <c r="AO23" s="4">
        <f t="shared" si="57"/>
        <v>-3044.2761796899999</v>
      </c>
      <c r="AP23" s="6"/>
      <c r="AQ23" s="6"/>
      <c r="AR23" s="6"/>
      <c r="AS23" s="6"/>
      <c r="AT23" s="6"/>
    </row>
    <row r="24" spans="1:46" ht="14.25" hidden="1" customHeight="1" outlineLevel="1" x14ac:dyDescent="0.35">
      <c r="A24" s="22"/>
      <c r="B24" s="13" t="s">
        <v>170</v>
      </c>
      <c r="C24" s="4" t="s">
        <v>186</v>
      </c>
      <c r="D24" s="4" t="s">
        <v>186</v>
      </c>
      <c r="E24" s="4" t="s">
        <v>186</v>
      </c>
      <c r="F24" s="4" t="s">
        <v>186</v>
      </c>
      <c r="G24" s="4" t="s">
        <v>186</v>
      </c>
      <c r="H24" s="4" t="s">
        <v>186</v>
      </c>
      <c r="I24" s="4" t="s">
        <v>186</v>
      </c>
      <c r="J24" s="4" t="s">
        <v>186</v>
      </c>
      <c r="K24" s="4">
        <f t="shared" ref="K24:AF24" si="60">K8</f>
        <v>-5.4282084999999993</v>
      </c>
      <c r="L24" s="4">
        <f t="shared" si="60"/>
        <v>-10.12511641</v>
      </c>
      <c r="M24" s="4">
        <f t="shared" si="60"/>
        <v>-13.935323990000002</v>
      </c>
      <c r="N24" s="4">
        <f t="shared" si="60"/>
        <v>-23.29602693</v>
      </c>
      <c r="O24" s="4">
        <f t="shared" si="60"/>
        <v>-27.436519840000003</v>
      </c>
      <c r="P24" s="4">
        <f t="shared" si="60"/>
        <v>-28.401583539999997</v>
      </c>
      <c r="Q24" s="4">
        <f t="shared" si="60"/>
        <v>-26.463833609999998</v>
      </c>
      <c r="R24" s="4">
        <f t="shared" si="60"/>
        <v>-43.064911089999995</v>
      </c>
      <c r="S24" s="4">
        <f t="shared" si="60"/>
        <v>-47.302146090000001</v>
      </c>
      <c r="T24" s="4">
        <f t="shared" si="60"/>
        <v>-71.076254890000001</v>
      </c>
      <c r="U24" s="4">
        <f t="shared" si="60"/>
        <v>-83.302824849999993</v>
      </c>
      <c r="V24" s="4">
        <f t="shared" si="60"/>
        <v>-90.947552310000006</v>
      </c>
      <c r="W24" s="4">
        <f t="shared" si="60"/>
        <v>-91.352320710000015</v>
      </c>
      <c r="X24" s="4">
        <f t="shared" si="60"/>
        <v>-91.637532770000007</v>
      </c>
      <c r="Y24" s="4">
        <f t="shared" si="60"/>
        <v>-121.86819162999998</v>
      </c>
      <c r="Z24" s="4">
        <f t="shared" si="60"/>
        <v>-132.54117116999998</v>
      </c>
      <c r="AA24" s="4">
        <v>-139.00166834999999</v>
      </c>
      <c r="AB24" s="4">
        <v>-151.62935827999999</v>
      </c>
      <c r="AC24" s="4">
        <v>-164.23698906000001</v>
      </c>
      <c r="AD24" s="4">
        <v>-197.87102758999993</v>
      </c>
      <c r="AE24" s="4">
        <f t="shared" si="60"/>
        <v>-211.72757893000005</v>
      </c>
      <c r="AF24" s="4">
        <f t="shared" si="60"/>
        <v>-221.27221609</v>
      </c>
      <c r="AG24" s="4">
        <f t="shared" ref="AG24" si="61">AG8</f>
        <v>-220.26254465</v>
      </c>
      <c r="AH24" s="4"/>
      <c r="AI24" s="4">
        <f t="shared" si="51"/>
        <v>0</v>
      </c>
      <c r="AJ24" s="4">
        <f t="shared" si="52"/>
        <v>0</v>
      </c>
      <c r="AK24" s="4">
        <f t="shared" si="53"/>
        <v>-52.784675829999998</v>
      </c>
      <c r="AL24" s="4">
        <f t="shared" si="54"/>
        <v>-125.36684808</v>
      </c>
      <c r="AM24" s="4">
        <f t="shared" si="55"/>
        <v>-292.62877814000001</v>
      </c>
      <c r="AN24" s="4">
        <f t="shared" si="56"/>
        <v>-437.39921628000002</v>
      </c>
      <c r="AO24" s="4">
        <f t="shared" si="57"/>
        <v>-652.73904327999992</v>
      </c>
      <c r="AP24" s="6"/>
      <c r="AQ24" s="6"/>
      <c r="AR24" s="6"/>
      <c r="AS24" s="6"/>
      <c r="AT24" s="6"/>
    </row>
    <row r="25" spans="1:46" ht="14.25" hidden="1" customHeight="1" outlineLevel="1" x14ac:dyDescent="0.35">
      <c r="A25" s="22"/>
      <c r="B25" s="36" t="s">
        <v>108</v>
      </c>
      <c r="C25" s="4" t="s">
        <v>186</v>
      </c>
      <c r="D25" s="4" t="s">
        <v>186</v>
      </c>
      <c r="E25" s="4" t="s">
        <v>186</v>
      </c>
      <c r="F25" s="4" t="s">
        <v>186</v>
      </c>
      <c r="G25" s="4" t="s">
        <v>186</v>
      </c>
      <c r="H25" s="4" t="s">
        <v>186</v>
      </c>
      <c r="I25" s="4" t="s">
        <v>186</v>
      </c>
      <c r="J25" s="4" t="s">
        <v>186</v>
      </c>
      <c r="K25" s="4">
        <v>-152.33134296999998</v>
      </c>
      <c r="L25" s="4">
        <v>-205.27902004999996</v>
      </c>
      <c r="M25" s="4">
        <v>-187.05850283000001</v>
      </c>
      <c r="N25" s="4">
        <v>-192.39535773999933</v>
      </c>
      <c r="O25" s="4">
        <v>-218.29676037127501</v>
      </c>
      <c r="P25" s="4">
        <v>-217.07060669995502</v>
      </c>
      <c r="Q25" s="4">
        <v>-240.91920977776584</v>
      </c>
      <c r="R25" s="4">
        <v>-305.66992816100429</v>
      </c>
      <c r="S25" s="4">
        <v>-263.71736512134089</v>
      </c>
      <c r="T25" s="4">
        <v>-284.58197009000003</v>
      </c>
      <c r="U25" s="4">
        <v>-247.45650305999993</v>
      </c>
      <c r="V25" s="4">
        <v>-257.49663567157722</v>
      </c>
      <c r="W25" s="4">
        <v>-335.92405381307003</v>
      </c>
      <c r="X25" s="4">
        <v>-373.97632528987373</v>
      </c>
      <c r="Y25" s="4">
        <v>-459.55075102374337</v>
      </c>
      <c r="Z25" s="4">
        <v>-484.95908479107641</v>
      </c>
      <c r="AA25" s="4">
        <v>-440.39392584402401</v>
      </c>
      <c r="AB25" s="4">
        <v>-466.91232985944248</v>
      </c>
      <c r="AC25" s="4">
        <v>-516.81144952080024</v>
      </c>
      <c r="AD25" s="4">
        <v>-654.82427773884854</v>
      </c>
      <c r="AE25" s="4">
        <f t="shared" ref="AE25:AF25" si="62">AE18-AE23-AE24-AE26-AE27-AE28-AE29</f>
        <v>-509.08361741542859</v>
      </c>
      <c r="AF25" s="4">
        <f t="shared" si="62"/>
        <v>-535.28205345789991</v>
      </c>
      <c r="AG25" s="4">
        <f t="shared" ref="AG25" si="63">AG18-AG23-AG24-AG26-AG27-AG28-AG29</f>
        <v>-482.64742489666816</v>
      </c>
      <c r="AH25" s="4"/>
      <c r="AI25" s="4">
        <f t="shared" ref="AI25:AO25" si="64">AI22-SUM(AI23:AI24)</f>
        <v>-382.48308447325093</v>
      </c>
      <c r="AJ25" s="4">
        <f t="shared" si="64"/>
        <v>-623.66622960000018</v>
      </c>
      <c r="AK25" s="4">
        <f t="shared" si="64"/>
        <v>-737.06422358999953</v>
      </c>
      <c r="AL25" s="4">
        <f t="shared" si="64"/>
        <v>-981.95650501000023</v>
      </c>
      <c r="AM25" s="4">
        <f t="shared" si="64"/>
        <v>-1053.2524739429177</v>
      </c>
      <c r="AN25" s="4">
        <f t="shared" si="64"/>
        <v>-1654.4102149177634</v>
      </c>
      <c r="AO25" s="4">
        <f t="shared" si="64"/>
        <v>-2078.9419829631152</v>
      </c>
      <c r="AP25" s="6"/>
      <c r="AQ25" s="6"/>
      <c r="AR25" s="6"/>
      <c r="AS25" s="6"/>
      <c r="AT25" s="6"/>
    </row>
    <row r="26" spans="1:46" s="105" customFormat="1" ht="14.25" customHeight="1" collapsed="1" x14ac:dyDescent="0.35">
      <c r="A26" s="106"/>
      <c r="B26" s="103" t="s">
        <v>24</v>
      </c>
      <c r="C26" s="104">
        <v>-27.653849070809127</v>
      </c>
      <c r="D26" s="104">
        <v>-36.648821031906976</v>
      </c>
      <c r="E26" s="104">
        <v>-39.533032560933428</v>
      </c>
      <c r="F26" s="104">
        <v>-58.806376650114586</v>
      </c>
      <c r="G26" s="104">
        <v>-33.396122290000001</v>
      </c>
      <c r="H26" s="104">
        <v>-39.436504629999988</v>
      </c>
      <c r="I26" s="104">
        <v>-26.98061446000002</v>
      </c>
      <c r="J26" s="104">
        <v>-100.12402271999996</v>
      </c>
      <c r="K26" s="104">
        <v>-71.105593979999995</v>
      </c>
      <c r="L26" s="104">
        <v>-54.630611870000024</v>
      </c>
      <c r="M26" s="104">
        <v>-58.36979414999999</v>
      </c>
      <c r="N26" s="104">
        <v>-61.652847900000125</v>
      </c>
      <c r="O26" s="104">
        <v>-83.614000000000004</v>
      </c>
      <c r="P26" s="104">
        <v>-94.40408092672952</v>
      </c>
      <c r="Q26" s="104">
        <v>-90.29860901499714</v>
      </c>
      <c r="R26" s="104">
        <v>-83.12187021282891</v>
      </c>
      <c r="S26" s="104">
        <v>-82.378007068451382</v>
      </c>
      <c r="T26" s="104">
        <v>-131.68036966846782</v>
      </c>
      <c r="U26" s="104">
        <v>-164.60252209999999</v>
      </c>
      <c r="V26" s="104">
        <v>-187.3675171956275</v>
      </c>
      <c r="W26" s="104">
        <v>-189.02063229000001</v>
      </c>
      <c r="X26" s="104">
        <v>-111.2019534792518</v>
      </c>
      <c r="Y26" s="104">
        <v>-151.6260807507482</v>
      </c>
      <c r="Z26" s="104">
        <v>-165.60906335999999</v>
      </c>
      <c r="AA26" s="104">
        <v>-368.05042713</v>
      </c>
      <c r="AB26" s="104">
        <v>-363.82495455000003</v>
      </c>
      <c r="AC26" s="104">
        <v>-367.88184708000011</v>
      </c>
      <c r="AD26" s="104">
        <v>-424.10075968000001</v>
      </c>
      <c r="AE26" s="104">
        <v>-480.61242762000001</v>
      </c>
      <c r="AF26" s="104">
        <v>-499.07865183791995</v>
      </c>
      <c r="AG26" s="104">
        <v>-530.83918260207997</v>
      </c>
      <c r="AH26" s="6"/>
      <c r="AI26" s="104">
        <f t="shared" ref="AI26:AI29" si="65">SUM(C26:F26)</f>
        <v>-162.6420793137641</v>
      </c>
      <c r="AJ26" s="104">
        <f t="shared" ref="AJ26:AJ29" si="66">SUM(G26:J26)</f>
        <v>-199.93726409999999</v>
      </c>
      <c r="AK26" s="104">
        <f t="shared" ref="AK26:AK29" si="67">SUM(K26:N26)</f>
        <v>-245.75884790000012</v>
      </c>
      <c r="AL26" s="104">
        <f t="shared" ref="AL26:AL29" si="68">SUM(O26:R26)</f>
        <v>-351.43856015455555</v>
      </c>
      <c r="AM26" s="104">
        <f t="shared" ref="AM26:AM29" si="69">SUM(S26:V26)</f>
        <v>-566.0284160325466</v>
      </c>
      <c r="AN26" s="104">
        <f t="shared" ref="AN26:AN29" si="70">SUM(W26:Z26)</f>
        <v>-617.45772987999999</v>
      </c>
      <c r="AO26" s="104">
        <f t="shared" ref="AO26:AO29" si="71">SUM(AA26:AD26)</f>
        <v>-1523.8579884400001</v>
      </c>
      <c r="AP26" s="6"/>
      <c r="AQ26" s="6"/>
      <c r="AR26" s="6"/>
      <c r="AS26" s="6"/>
      <c r="AT26" s="6"/>
    </row>
    <row r="27" spans="1:46" s="105" customFormat="1" ht="14.25" customHeight="1" x14ac:dyDescent="0.35">
      <c r="A27" s="106"/>
      <c r="B27" s="103" t="s">
        <v>25</v>
      </c>
      <c r="C27" s="104">
        <v>-10.6974032642648</v>
      </c>
      <c r="D27" s="104">
        <v>-12.897641220776013</v>
      </c>
      <c r="E27" s="104">
        <v>-18.357380319899519</v>
      </c>
      <c r="F27" s="104">
        <v>-19.177010053961631</v>
      </c>
      <c r="G27" s="104">
        <v>-18.52175806</v>
      </c>
      <c r="H27" s="104">
        <v>-21.164732479999991</v>
      </c>
      <c r="I27" s="104">
        <v>-21.00201198000001</v>
      </c>
      <c r="J27" s="104">
        <v>-23.77299618999999</v>
      </c>
      <c r="K27" s="104">
        <v>-32.519741409253001</v>
      </c>
      <c r="L27" s="104">
        <v>-33.506898309621015</v>
      </c>
      <c r="M27" s="104">
        <v>-41.704360281125993</v>
      </c>
      <c r="N27" s="104">
        <v>-45.445532989999975</v>
      </c>
      <c r="O27" s="104">
        <v>-219.02500000000001</v>
      </c>
      <c r="P27" s="104">
        <v>-109.17386987787991</v>
      </c>
      <c r="Q27" s="104">
        <v>-164.49065253608947</v>
      </c>
      <c r="R27" s="104">
        <v>-88.978392934911938</v>
      </c>
      <c r="S27" s="104">
        <v>-92.431864840417603</v>
      </c>
      <c r="T27" s="104">
        <v>-109.85599999999999</v>
      </c>
      <c r="U27" s="104">
        <v>-134.48949786972781</v>
      </c>
      <c r="V27" s="104">
        <v>-90.540345449350099</v>
      </c>
      <c r="W27" s="104">
        <v>-85.787050579371396</v>
      </c>
      <c r="X27" s="104">
        <v>-94.267011249221298</v>
      </c>
      <c r="Y27" s="104">
        <v>-197.07958084661951</v>
      </c>
      <c r="Z27" s="104">
        <v>-186.64730532002412</v>
      </c>
      <c r="AA27" s="104">
        <v>-189.0810646904946</v>
      </c>
      <c r="AB27" s="104">
        <v>-225.81735133964131</v>
      </c>
      <c r="AC27" s="104">
        <v>-273.02296578699804</v>
      </c>
      <c r="AD27" s="104">
        <v>-189.61714312299398</v>
      </c>
      <c r="AE27" s="104">
        <v>-165.30236529563177</v>
      </c>
      <c r="AF27" s="104">
        <v>-203.9372888201525</v>
      </c>
      <c r="AG27" s="104">
        <v>-185.34390030045023</v>
      </c>
      <c r="AH27" s="6"/>
      <c r="AI27" s="104">
        <f t="shared" si="65"/>
        <v>-61.129434858901966</v>
      </c>
      <c r="AJ27" s="104">
        <f t="shared" si="66"/>
        <v>-84.461498709999987</v>
      </c>
      <c r="AK27" s="104">
        <f t="shared" si="67"/>
        <v>-153.17653298999997</v>
      </c>
      <c r="AL27" s="104">
        <f t="shared" si="68"/>
        <v>-581.66791534888125</v>
      </c>
      <c r="AM27" s="104">
        <f t="shared" si="69"/>
        <v>-427.31770815949551</v>
      </c>
      <c r="AN27" s="104">
        <f t="shared" si="70"/>
        <v>-563.78094799523626</v>
      </c>
      <c r="AO27" s="104">
        <f t="shared" si="71"/>
        <v>-877.5385249401279</v>
      </c>
      <c r="AP27" s="6"/>
      <c r="AQ27" s="6"/>
      <c r="AR27" s="6"/>
      <c r="AS27" s="6"/>
      <c r="AT27" s="6"/>
    </row>
    <row r="28" spans="1:46" s="105" customFormat="1" ht="14.25" customHeight="1" x14ac:dyDescent="0.35">
      <c r="A28" s="106"/>
      <c r="B28" s="103" t="s">
        <v>26</v>
      </c>
      <c r="C28" s="104">
        <v>-2.5886584299999993</v>
      </c>
      <c r="D28" s="104">
        <v>-5.1831069999999997</v>
      </c>
      <c r="E28" s="104">
        <v>-10.284615729999999</v>
      </c>
      <c r="F28" s="104">
        <v>-11.639744739999999</v>
      </c>
      <c r="G28" s="104">
        <v>-6.6107146500000011</v>
      </c>
      <c r="H28" s="104">
        <v>-8.109387589999999</v>
      </c>
      <c r="I28" s="104">
        <v>-24.820313980000005</v>
      </c>
      <c r="J28" s="104">
        <v>-28.760700239999998</v>
      </c>
      <c r="K28" s="104">
        <v>-19.218084329999996</v>
      </c>
      <c r="L28" s="104">
        <v>-23.540114429999999</v>
      </c>
      <c r="M28" s="104">
        <v>-21.033999999999999</v>
      </c>
      <c r="N28" s="104">
        <v>-40.751801239999992</v>
      </c>
      <c r="O28" s="104">
        <v>-16.52</v>
      </c>
      <c r="P28" s="104">
        <v>-2.8050000000000002</v>
      </c>
      <c r="Q28" s="104">
        <v>-7.226</v>
      </c>
      <c r="R28" s="104">
        <v>-4.6580000000000004</v>
      </c>
      <c r="S28" s="104">
        <v>-5.8392999999999997</v>
      </c>
      <c r="T28" s="104">
        <v>-2.2029999999999998</v>
      </c>
      <c r="U28" s="104">
        <v>-6.4630000000000001</v>
      </c>
      <c r="V28" s="104">
        <v>-23.6198801</v>
      </c>
      <c r="W28" s="104">
        <v>-45.561989969999999</v>
      </c>
      <c r="X28" s="104">
        <v>-17.872514700000004</v>
      </c>
      <c r="Y28" s="104">
        <v>-16.255824969999999</v>
      </c>
      <c r="Z28" s="104">
        <v>-29.542062089999991</v>
      </c>
      <c r="AA28" s="104">
        <v>-44.387658880000004</v>
      </c>
      <c r="AB28" s="104">
        <v>-133.78472766000002</v>
      </c>
      <c r="AC28" s="104">
        <v>-209.82270676999997</v>
      </c>
      <c r="AD28" s="104">
        <v>-402.64024504000008</v>
      </c>
      <c r="AE28" s="104">
        <v>-620.62783420999995</v>
      </c>
      <c r="AF28" s="104">
        <v>-755.55951044419521</v>
      </c>
      <c r="AG28" s="104">
        <v>-920.65559389805776</v>
      </c>
      <c r="AH28" s="6"/>
      <c r="AI28" s="104">
        <f t="shared" si="65"/>
        <v>-29.696125899999998</v>
      </c>
      <c r="AJ28" s="104">
        <f t="shared" si="66"/>
        <v>-68.301116460000003</v>
      </c>
      <c r="AK28" s="104">
        <f t="shared" si="67"/>
        <v>-104.54399999999998</v>
      </c>
      <c r="AL28" s="104">
        <f t="shared" si="68"/>
        <v>-31.209</v>
      </c>
      <c r="AM28" s="104">
        <f t="shared" si="69"/>
        <v>-38.125180099999994</v>
      </c>
      <c r="AN28" s="104">
        <f t="shared" si="70"/>
        <v>-109.23239172999999</v>
      </c>
      <c r="AO28" s="104">
        <f t="shared" si="71"/>
        <v>-790.6353383500001</v>
      </c>
      <c r="AP28" s="6"/>
      <c r="AQ28" s="6"/>
      <c r="AR28" s="6"/>
      <c r="AS28" s="6"/>
      <c r="AT28" s="6"/>
    </row>
    <row r="29" spans="1:46" s="105" customFormat="1" ht="14.25" customHeight="1" x14ac:dyDescent="0.35">
      <c r="A29" s="106"/>
      <c r="B29" s="103" t="s">
        <v>111</v>
      </c>
      <c r="C29" s="104">
        <v>-1.2063841399999999</v>
      </c>
      <c r="D29" s="104">
        <v>-1.2549863917499997</v>
      </c>
      <c r="E29" s="104">
        <v>-0.6501950099999998</v>
      </c>
      <c r="F29" s="104">
        <v>4.4561998700000007</v>
      </c>
      <c r="G29" s="104">
        <v>-1.6279648800000013</v>
      </c>
      <c r="H29" s="104">
        <v>-2.7153901799999982</v>
      </c>
      <c r="I29" s="104">
        <v>-1.7011752400000009</v>
      </c>
      <c r="J29" s="104">
        <v>-0.61402855000000001</v>
      </c>
      <c r="K29" s="104">
        <v>-0.5943621241760001</v>
      </c>
      <c r="L29" s="104">
        <v>-2.1314232089120009</v>
      </c>
      <c r="M29" s="104">
        <v>-2.3092146669119988</v>
      </c>
      <c r="N29" s="104">
        <v>-6.98638037</v>
      </c>
      <c r="O29" s="104">
        <v>-1.1090284114115001</v>
      </c>
      <c r="P29" s="104">
        <v>9.9000000000000005E-2</v>
      </c>
      <c r="Q29" s="104">
        <v>-4.1500000000000004</v>
      </c>
      <c r="R29" s="104">
        <v>-2.895</v>
      </c>
      <c r="S29" s="104">
        <v>-3.5822843543599978</v>
      </c>
      <c r="T29" s="104">
        <v>-0.49099999999999999</v>
      </c>
      <c r="U29" s="104">
        <v>-4.9539999999999997</v>
      </c>
      <c r="V29" s="104">
        <v>7.2303139297149999</v>
      </c>
      <c r="W29" s="104">
        <v>-2.1362158828139002</v>
      </c>
      <c r="X29" s="104">
        <v>71.608880341475484</v>
      </c>
      <c r="Y29" s="104">
        <v>-7.0594669231116995</v>
      </c>
      <c r="Z29" s="104">
        <v>-39.510960715997896</v>
      </c>
      <c r="AA29" s="104">
        <v>40.805913145522908</v>
      </c>
      <c r="AB29" s="104">
        <v>-12.952402426302898</v>
      </c>
      <c r="AC29" s="104">
        <v>-1.8207161852889986</v>
      </c>
      <c r="AD29" s="104">
        <v>-18.731709350132991</v>
      </c>
      <c r="AE29" s="104">
        <v>-4.6909407399715999</v>
      </c>
      <c r="AF29" s="104">
        <v>-108.95051018351148</v>
      </c>
      <c r="AG29" s="104">
        <v>-111.12296389306329</v>
      </c>
      <c r="AH29" s="6"/>
      <c r="AI29" s="104">
        <f t="shared" si="65"/>
        <v>1.3446343282500015</v>
      </c>
      <c r="AJ29" s="104">
        <f t="shared" si="66"/>
        <v>-6.6585588500000004</v>
      </c>
      <c r="AK29" s="104">
        <f t="shared" si="67"/>
        <v>-12.021380369999999</v>
      </c>
      <c r="AL29" s="104">
        <f t="shared" si="68"/>
        <v>-8.0550284114115005</v>
      </c>
      <c r="AM29" s="104">
        <f t="shared" si="69"/>
        <v>-1.7969704246449973</v>
      </c>
      <c r="AN29" s="104">
        <f t="shared" si="70"/>
        <v>22.902236819551987</v>
      </c>
      <c r="AO29" s="104">
        <f t="shared" si="71"/>
        <v>7.3010851837980226</v>
      </c>
      <c r="AP29" s="6"/>
      <c r="AQ29" s="6"/>
      <c r="AR29" s="6"/>
      <c r="AS29" s="6"/>
      <c r="AT29" s="6"/>
    </row>
    <row r="30" spans="1:46" ht="14.25" customHeight="1" x14ac:dyDescent="0.35">
      <c r="A30" s="22"/>
      <c r="B30" s="3" t="s">
        <v>125</v>
      </c>
      <c r="C30" s="2">
        <f>C22+SUM(C26:C29)</f>
        <v>-89.033276546361421</v>
      </c>
      <c r="D30" s="2">
        <f t="shared" ref="D30:Z30" si="72">D22+SUM(D26:D29)</f>
        <v>-154.79678456847998</v>
      </c>
      <c r="E30" s="2">
        <f t="shared" si="72"/>
        <v>-195.60702993234995</v>
      </c>
      <c r="F30" s="2">
        <f t="shared" si="72"/>
        <v>-195.16899917047567</v>
      </c>
      <c r="G30" s="2">
        <f t="shared" si="72"/>
        <v>-175.59904478000001</v>
      </c>
      <c r="H30" s="2">
        <f t="shared" si="72"/>
        <v>-219.45770432</v>
      </c>
      <c r="I30" s="2">
        <f t="shared" si="72"/>
        <v>-246.16274277000002</v>
      </c>
      <c r="J30" s="2">
        <f t="shared" si="72"/>
        <v>-341.80517585000007</v>
      </c>
      <c r="K30" s="2">
        <f t="shared" si="72"/>
        <v>-366.33042633342899</v>
      </c>
      <c r="L30" s="2">
        <f t="shared" si="72"/>
        <v>-440.785786838533</v>
      </c>
      <c r="M30" s="2">
        <f t="shared" si="72"/>
        <v>-471.96298558803801</v>
      </c>
      <c r="N30" s="2">
        <f t="shared" si="72"/>
        <v>-560.80140486999949</v>
      </c>
      <c r="O30" s="2">
        <f t="shared" si="72"/>
        <v>-765.0301610826865</v>
      </c>
      <c r="P30" s="2">
        <f t="shared" si="72"/>
        <v>-689.03712820456451</v>
      </c>
      <c r="Q30" s="2">
        <f t="shared" si="72"/>
        <v>-816.80602756885241</v>
      </c>
      <c r="R30" s="2">
        <f t="shared" si="72"/>
        <v>-846.19606105874516</v>
      </c>
      <c r="S30" s="2">
        <f t="shared" si="72"/>
        <v>-801.9851697045699</v>
      </c>
      <c r="T30" s="2">
        <f t="shared" si="72"/>
        <v>-928.62436966846781</v>
      </c>
      <c r="U30" s="2">
        <f t="shared" si="72"/>
        <v>-994.9182686597278</v>
      </c>
      <c r="V30" s="2">
        <f t="shared" si="72"/>
        <v>-1040.9888719368398</v>
      </c>
      <c r="W30" s="2">
        <f t="shared" si="72"/>
        <v>-1091.0990811752554</v>
      </c>
      <c r="X30" s="2">
        <f t="shared" si="72"/>
        <v>-945.01799488687141</v>
      </c>
      <c r="Y30" s="2">
        <f t="shared" si="72"/>
        <v>-1429.2527221542227</v>
      </c>
      <c r="Z30" s="2">
        <f t="shared" si="72"/>
        <v>-1574.4495007370983</v>
      </c>
      <c r="AA30" s="2">
        <v>-1706.8325007589956</v>
      </c>
      <c r="AB30" s="2">
        <v>-2031.4415490553868</v>
      </c>
      <c r="AC30" s="2">
        <v>-2354.5539688230874</v>
      </c>
      <c r="AD30" s="2">
        <v>-2867.8599538419758</v>
      </c>
      <c r="AE30" s="2">
        <f t="shared" ref="AE30:AF30" si="73">AE22+SUM(AE26:AE29)</f>
        <v>-3010.5659674010317</v>
      </c>
      <c r="AF30" s="2">
        <f t="shared" si="73"/>
        <v>-3467.872637113679</v>
      </c>
      <c r="AG30" s="2">
        <f t="shared" ref="AG30" si="74">AG22+SUM(AG26:AG29)</f>
        <v>-3610.1345796303199</v>
      </c>
      <c r="AI30" s="2">
        <f t="shared" ref="AI30:AO30" si="75">AI22+SUM(AI26:AI29)</f>
        <v>-634.60609021766697</v>
      </c>
      <c r="AJ30" s="2">
        <f t="shared" si="75"/>
        <v>-983.02466772000025</v>
      </c>
      <c r="AK30" s="2">
        <f t="shared" si="75"/>
        <v>-1839.8806036299998</v>
      </c>
      <c r="AL30" s="2">
        <f t="shared" si="75"/>
        <v>-3117.0693779148482</v>
      </c>
      <c r="AM30" s="2">
        <f t="shared" si="75"/>
        <v>-3766.5166799696053</v>
      </c>
      <c r="AN30" s="2">
        <f t="shared" si="75"/>
        <v>-5039.8192989534473</v>
      </c>
      <c r="AO30" s="2">
        <f t="shared" si="75"/>
        <v>-8960.6879724794453</v>
      </c>
    </row>
    <row r="31" spans="1:46" ht="14.25" customHeight="1" x14ac:dyDescent="0.35">
      <c r="A31" s="22"/>
      <c r="B31" s="39" t="s">
        <v>126</v>
      </c>
      <c r="C31" s="40">
        <f t="shared" ref="C31:Z31" si="76">C30-SUM(C23:C24)</f>
        <v>-89.033276546361421</v>
      </c>
      <c r="D31" s="40">
        <f t="shared" si="76"/>
        <v>-154.79678456847998</v>
      </c>
      <c r="E31" s="40">
        <f t="shared" si="76"/>
        <v>-195.60702993234995</v>
      </c>
      <c r="F31" s="40">
        <f t="shared" si="76"/>
        <v>-195.16899917047567</v>
      </c>
      <c r="G31" s="40">
        <f t="shared" si="76"/>
        <v>-175.59904478000001</v>
      </c>
      <c r="H31" s="40">
        <f t="shared" si="76"/>
        <v>-219.45770432</v>
      </c>
      <c r="I31" s="40">
        <f t="shared" si="76"/>
        <v>-246.16274277000002</v>
      </c>
      <c r="J31" s="40">
        <f t="shared" si="76"/>
        <v>-341.80517585000007</v>
      </c>
      <c r="K31" s="40">
        <f t="shared" si="76"/>
        <v>-275.76912481342896</v>
      </c>
      <c r="L31" s="40">
        <f t="shared" si="76"/>
        <v>-319.08806786853302</v>
      </c>
      <c r="M31" s="40">
        <f t="shared" si="76"/>
        <v>-310.47587192803798</v>
      </c>
      <c r="N31" s="40">
        <f t="shared" si="76"/>
        <v>-347.23192023999945</v>
      </c>
      <c r="O31" s="40">
        <f t="shared" si="76"/>
        <v>-538.56478878268649</v>
      </c>
      <c r="P31" s="40">
        <f t="shared" si="76"/>
        <v>-423.35455750456447</v>
      </c>
      <c r="Q31" s="40">
        <f t="shared" si="76"/>
        <v>-507.08447132885243</v>
      </c>
      <c r="R31" s="40">
        <f t="shared" si="76"/>
        <v>-485.32319130874515</v>
      </c>
      <c r="S31" s="40">
        <f t="shared" si="76"/>
        <v>-447.9488213845699</v>
      </c>
      <c r="T31" s="40">
        <f t="shared" si="76"/>
        <v>-528.81233975846783</v>
      </c>
      <c r="U31" s="40">
        <f t="shared" si="76"/>
        <v>-557.96552302972782</v>
      </c>
      <c r="V31" s="40">
        <f t="shared" si="76"/>
        <v>-551.79406448683983</v>
      </c>
      <c r="W31" s="40">
        <f t="shared" si="76"/>
        <v>-658.42994253525535</v>
      </c>
      <c r="X31" s="40">
        <f t="shared" si="76"/>
        <v>-525.70892437687144</v>
      </c>
      <c r="Y31" s="40">
        <f t="shared" si="76"/>
        <v>-831.57170451422269</v>
      </c>
      <c r="Z31" s="40">
        <f t="shared" si="76"/>
        <v>-906.26847627709833</v>
      </c>
      <c r="AA31" s="40">
        <v>-1001.1071633989957</v>
      </c>
      <c r="AB31" s="40">
        <v>-1203.2917658353867</v>
      </c>
      <c r="AC31" s="40">
        <v>-1369.3596853430872</v>
      </c>
      <c r="AD31" s="40">
        <v>-1689.9141349319757</v>
      </c>
      <c r="AE31" s="40">
        <f t="shared" ref="AE31:AF31" si="77">AE30-SUM(AE23:AE24)</f>
        <v>-1780.3171852810319</v>
      </c>
      <c r="AF31" s="40">
        <f t="shared" si="77"/>
        <v>-2102.808014743679</v>
      </c>
      <c r="AG31" s="40">
        <f t="shared" ref="AG31" si="78">AG30-SUM(AG23:AG24)</f>
        <v>-2230.6090655903195</v>
      </c>
      <c r="AI31" s="40">
        <f t="shared" ref="AI31:AO31" si="79">AI30-SUM(AI23:AI24)</f>
        <v>-634.60609021766697</v>
      </c>
      <c r="AJ31" s="40">
        <f t="shared" si="79"/>
        <v>-983.02466772000025</v>
      </c>
      <c r="AK31" s="40">
        <f t="shared" si="79"/>
        <v>-1252.5649848499997</v>
      </c>
      <c r="AL31" s="40">
        <f t="shared" si="79"/>
        <v>-1954.3270089248483</v>
      </c>
      <c r="AM31" s="40">
        <f t="shared" si="79"/>
        <v>-2086.520748659605</v>
      </c>
      <c r="AN31" s="40">
        <f t="shared" si="79"/>
        <v>-2921.9790477034471</v>
      </c>
      <c r="AO31" s="40">
        <f t="shared" si="79"/>
        <v>-5263.6727495094456</v>
      </c>
    </row>
    <row r="32" spans="1:46" ht="14.25" customHeight="1" x14ac:dyDescent="0.35">
      <c r="A32" s="22"/>
      <c r="B32" s="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I32" s="17"/>
      <c r="AJ32" s="17"/>
      <c r="AK32" s="17"/>
      <c r="AL32" s="17"/>
      <c r="AM32" s="17"/>
      <c r="AN32" s="17"/>
      <c r="AO32" s="17"/>
    </row>
    <row r="33" spans="1:34" ht="14.25" hidden="1" customHeigh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ht="14.25" hidden="1" customHeigh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ht="14.25" hidden="1" customHeigh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ht="14.25" hidden="1" customHeigh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ht="14.25" hidden="1" customHeigh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ht="14.25" hidden="1" customHeigh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ht="14.25" hidden="1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ht="14.25" hidden="1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ht="14.25" hidden="1" customHeigh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ht="14.25" hidden="1" customHeigh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ht="14.25" hidden="1" customHeigh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ht="14.25" hidden="1" customHeigh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ht="14.25" hidden="1" customHeigh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ht="14.25" hidden="1" customHeigh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ht="14.25" hidden="1" customHeigh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ht="14.25" hidden="1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ht="14.25" hidden="1" customHeigh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ht="14.25" hidden="1" customHeigh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ht="14.25" hidden="1" customHeigh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ht="14.25" hidden="1" customHeigh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ht="14.25" hidden="1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ht="14.25" hidden="1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ht="14.25" hidden="1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ht="14.25" hidden="1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ht="14.25" hidden="1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75" spans="12:41" ht="14.25" hidden="1" customHeight="1" x14ac:dyDescent="0.35">
      <c r="L75" s="10"/>
      <c r="Q75" s="10"/>
      <c r="AJ75" s="10"/>
      <c r="AO75" s="10"/>
    </row>
  </sheetData>
  <phoneticPr fontId="13" type="noConversion"/>
  <hyperlinks>
    <hyperlink ref="B3" r:id="rId1" xr:uid="{18BAF034-452A-44FD-9B89-0DA13BEB8FAD}"/>
  </hyperlinks>
  <pageMargins left="0.511811024" right="0.511811024" top="0.78740157499999996" bottom="0.78740157499999996" header="0.31496062000000002" footer="0.31496062000000002"/>
  <pageSetup paperSize="9" orientation="portrait" r:id="rId2"/>
  <ignoredErrors>
    <ignoredError sqref="AN20:AO21" formula="1"/>
    <ignoredError sqref="AN17:AO17 AN22:AO30 AI22:AM30 AI20:AM21 AI9:AM9 AN9:AO9 AI17:AM17 AI12:AM14 AN12:AO14 AI11:AO11" formula="1" formulaRange="1"/>
    <ignoredError sqref="AH6:AO8 AH12:AH14 C6:Z8 C20:Z21 C12:Z14 C30:Z30 AH9 AH17 C17:Z17 AH18:AH31 C11:Z11 AI10:AO10 AI15:AO15 C19:Z19 C23:Z24 C22:Z22 C26:Z26 C27:Z27 C28:Z28 C29:Z29 AI16:AO16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81D1-8FC6-4C01-AFC8-FFB81328C3CD}">
  <dimension ref="A1:AP27"/>
  <sheetViews>
    <sheetView showGridLines="0" zoomScaleNormal="100" workbookViewId="0">
      <pane xSplit="2" ySplit="5" topLeftCell="Q6" activePane="bottomRight" state="frozen"/>
      <selection activeCell="B6" sqref="B6"/>
      <selection pane="topRight" activeCell="B6" sqref="B6"/>
      <selection pane="bottomLeft" activeCell="B6" sqref="B6"/>
      <selection pane="bottomRight"/>
    </sheetView>
  </sheetViews>
  <sheetFormatPr defaultColWidth="0" defaultRowHeight="14.25" customHeight="1" zeroHeight="1" outlineLevelRow="1" outlineLevelCol="1" x14ac:dyDescent="0.35"/>
  <cols>
    <col min="1" max="1" width="2.54296875" customWidth="1"/>
    <col min="2" max="2" width="60.54296875" customWidth="1"/>
    <col min="3" max="22" width="10.54296875" hidden="1" customWidth="1" outlineLevel="1"/>
    <col min="23" max="23" width="10.54296875" hidden="1" customWidth="1" outlineLevel="1" collapsed="1"/>
    <col min="24" max="26" width="10.54296875" hidden="1" customWidth="1" outlineLevel="1"/>
    <col min="27" max="27" width="10.54296875" customWidth="1" collapsed="1"/>
    <col min="28" max="33" width="10.54296875" customWidth="1"/>
    <col min="34" max="34" width="2.54296875" customWidth="1"/>
    <col min="35" max="39" width="10.54296875" hidden="1" customWidth="1" outlineLevel="1"/>
    <col min="40" max="40" width="10.54296875" customWidth="1" collapsed="1"/>
    <col min="41" max="41" width="10.54296875" customWidth="1"/>
    <col min="42" max="42" width="2.54296875" customWidth="1"/>
    <col min="43" max="16384" width="10.54296875" hidden="1"/>
  </cols>
  <sheetData>
    <row r="1" spans="2:41" ht="14.25" customHeight="1" x14ac:dyDescent="0.35"/>
    <row r="2" spans="2:41" ht="14.25" customHeight="1" x14ac:dyDescent="0.35">
      <c r="B2" s="8" t="s">
        <v>164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2:41" ht="14.25" customHeight="1" x14ac:dyDescent="0.35">
      <c r="B3" s="11" t="s">
        <v>32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AG3" s="123"/>
    </row>
    <row r="4" spans="2:41" ht="14.25" customHeight="1" x14ac:dyDescent="0.35"/>
    <row r="5" spans="2:41" ht="14.25" customHeight="1" x14ac:dyDescent="0.35">
      <c r="B5" s="64" t="s">
        <v>33</v>
      </c>
      <c r="C5" s="26" t="s">
        <v>21</v>
      </c>
      <c r="D5" s="26" t="s">
        <v>20</v>
      </c>
      <c r="E5" s="26" t="s">
        <v>19</v>
      </c>
      <c r="F5" s="26" t="s">
        <v>18</v>
      </c>
      <c r="G5" s="26" t="s">
        <v>17</v>
      </c>
      <c r="H5" s="26" t="s">
        <v>16</v>
      </c>
      <c r="I5" s="26" t="s">
        <v>15</v>
      </c>
      <c r="J5" s="26" t="s">
        <v>14</v>
      </c>
      <c r="K5" s="26" t="s">
        <v>13</v>
      </c>
      <c r="L5" s="26" t="s">
        <v>12</v>
      </c>
      <c r="M5" s="26" t="s">
        <v>11</v>
      </c>
      <c r="N5" s="26" t="s">
        <v>10</v>
      </c>
      <c r="O5" s="26" t="s">
        <v>9</v>
      </c>
      <c r="P5" s="26" t="s">
        <v>8</v>
      </c>
      <c r="Q5" s="26" t="s">
        <v>7</v>
      </c>
      <c r="R5" s="26" t="s">
        <v>6</v>
      </c>
      <c r="S5" s="26" t="s">
        <v>5</v>
      </c>
      <c r="T5" s="26" t="s">
        <v>4</v>
      </c>
      <c r="U5" s="26" t="s">
        <v>101</v>
      </c>
      <c r="V5" s="26" t="s">
        <v>102</v>
      </c>
      <c r="W5" s="26" t="s">
        <v>104</v>
      </c>
      <c r="X5" s="26" t="s">
        <v>107</v>
      </c>
      <c r="Y5" s="26" t="s">
        <v>112</v>
      </c>
      <c r="Z5" s="26" t="s">
        <v>122</v>
      </c>
      <c r="AA5" s="26" t="s">
        <v>139</v>
      </c>
      <c r="AB5" s="26" t="s">
        <v>149</v>
      </c>
      <c r="AC5" s="26" t="s">
        <v>154</v>
      </c>
      <c r="AD5" s="26" t="s">
        <v>168</v>
      </c>
      <c r="AE5" s="26" t="s">
        <v>187</v>
      </c>
      <c r="AF5" s="26" t="s">
        <v>206</v>
      </c>
      <c r="AG5" s="26" t="s">
        <v>216</v>
      </c>
      <c r="AI5" s="26">
        <v>2015</v>
      </c>
      <c r="AJ5" s="26">
        <v>2016</v>
      </c>
      <c r="AK5" s="26">
        <v>2017</v>
      </c>
      <c r="AL5" s="26">
        <v>2018</v>
      </c>
      <c r="AM5" s="26">
        <v>2019</v>
      </c>
      <c r="AN5" s="26">
        <v>2020</v>
      </c>
      <c r="AO5" s="26">
        <v>2021</v>
      </c>
    </row>
    <row r="6" spans="2:41" ht="14.25" customHeight="1" x14ac:dyDescent="0.35">
      <c r="B6" s="58" t="s">
        <v>151</v>
      </c>
      <c r="C6" s="28">
        <f>'PAGS | IS GAAP'!C26</f>
        <v>16.726847590778604</v>
      </c>
      <c r="D6" s="28">
        <f>'PAGS | IS GAAP'!D26</f>
        <v>6.3953677180700064</v>
      </c>
      <c r="E6" s="28">
        <f>'PAGS | IS GAAP'!E26</f>
        <v>6.2441316937251452</v>
      </c>
      <c r="F6" s="28">
        <f>'PAGS | IS GAAP'!F26</f>
        <v>6.1201495358744591</v>
      </c>
      <c r="G6" s="28">
        <f>'PAGS | IS GAAP'!G26</f>
        <v>26.402484975135504</v>
      </c>
      <c r="H6" s="28">
        <f>'PAGS | IS GAAP'!H26</f>
        <v>25.636027729107632</v>
      </c>
      <c r="I6" s="28">
        <f>'PAGS | IS GAAP'!I26</f>
        <v>37.292527361628828</v>
      </c>
      <c r="J6" s="28">
        <f>'PAGS | IS GAAP'!J26</f>
        <v>38.453322520467793</v>
      </c>
      <c r="K6" s="28">
        <f>'PAGS | IS GAAP'!K26</f>
        <v>60.624692806570991</v>
      </c>
      <c r="L6" s="28">
        <f>'PAGS | IS GAAP'!L26</f>
        <v>82.221486991467032</v>
      </c>
      <c r="M6" s="28">
        <f>'PAGS | IS GAAP'!M26</f>
        <v>147.39662144196217</v>
      </c>
      <c r="N6" s="28">
        <f>'PAGS | IS GAAP'!N26</f>
        <v>188.55119875999972</v>
      </c>
      <c r="O6" s="28">
        <f>'PAGS | IS GAAP'!O26</f>
        <v>148.45532598999992</v>
      </c>
      <c r="P6" s="28">
        <f>'PAGS | IS GAAP'!P26</f>
        <v>227.60700000000006</v>
      </c>
      <c r="Q6" s="28">
        <f>'PAGS | IS GAAP'!Q26</f>
        <v>231.559</v>
      </c>
      <c r="R6" s="28">
        <f>'PAGS | IS GAAP'!R26</f>
        <v>302.78499999999991</v>
      </c>
      <c r="S6" s="28">
        <f>'PAGS | IS GAAP'!S26</f>
        <v>309.73400000000015</v>
      </c>
      <c r="T6" s="28">
        <f>'PAGS | IS GAAP'!T26</f>
        <v>322.75699999999995</v>
      </c>
      <c r="U6" s="28">
        <f>'PAGS | IS GAAP'!U26</f>
        <v>342.36</v>
      </c>
      <c r="V6" s="28">
        <f>'PAGS | IS GAAP'!V26</f>
        <v>391.93081142489689</v>
      </c>
      <c r="W6" s="28">
        <f>'PAGS | IS GAAP'!W26</f>
        <v>356.91400000000021</v>
      </c>
      <c r="X6" s="28">
        <f>'PAGS | IS GAAP'!X26</f>
        <v>296.31234241395111</v>
      </c>
      <c r="Y6" s="28">
        <f>'PAGS | IS GAAP'!Y26</f>
        <v>263.42994763162187</v>
      </c>
      <c r="Z6" s="28">
        <f>'PAGS | IS GAAP'!Z26</f>
        <v>375.50222168731489</v>
      </c>
      <c r="AA6" s="28">
        <f>'PAGS | IS GAAP'!AA26</f>
        <v>271.32668926100445</v>
      </c>
      <c r="AB6" s="28">
        <f>'PAGS | IS GAAP'!AB26</f>
        <v>272.11242057405633</v>
      </c>
      <c r="AC6" s="28">
        <f>'PAGS | IS GAAP'!AC26</f>
        <v>321.54800092771393</v>
      </c>
      <c r="AD6" s="28">
        <f>'PAGS | IS GAAP'!AD26</f>
        <v>301.26671080687277</v>
      </c>
      <c r="AE6" s="28">
        <f>'PAGS | IS GAAP'!AE26</f>
        <v>349.92185616199185</v>
      </c>
      <c r="AF6" s="28">
        <f>'PAGS | IS GAAP'!AF26</f>
        <v>366.92150524868975</v>
      </c>
      <c r="AG6" s="28">
        <f>'PAGS | IS GAAP'!AG26</f>
        <v>380.28737281989561</v>
      </c>
      <c r="AI6" s="28">
        <f t="shared" ref="AI6:AI11" si="0">SUM(C6:F6)</f>
        <v>35.486496538448215</v>
      </c>
      <c r="AJ6" s="28">
        <f t="shared" ref="AJ6:AJ12" si="1">SUM(G6:J6)</f>
        <v>127.78436258633975</v>
      </c>
      <c r="AK6" s="28">
        <f t="shared" ref="AK6:AK12" si="2">SUM(K6:N6)</f>
        <v>478.79399999999987</v>
      </c>
      <c r="AL6" s="28">
        <f t="shared" ref="AL6:AL12" si="3">SUM(O6:R6)</f>
        <v>910.40632598999991</v>
      </c>
      <c r="AM6" s="28">
        <f t="shared" ref="AM6:AM11" si="4">SUM(S6:V6)</f>
        <v>1366.7818114248971</v>
      </c>
      <c r="AN6" s="28">
        <f t="shared" ref="AN6:AN12" si="5">SUM(W6:Z6)</f>
        <v>1292.1585117328882</v>
      </c>
      <c r="AO6" s="28">
        <f t="shared" ref="AO6:AO12" si="6">SUM(AA6:AD6)</f>
        <v>1166.2538215696475</v>
      </c>
    </row>
    <row r="7" spans="2:41" ht="14.25" customHeight="1" x14ac:dyDescent="0.35">
      <c r="B7" s="66" t="s">
        <v>128</v>
      </c>
      <c r="C7" s="63">
        <f>-'PAGS | IS GAAP'!C25</f>
        <v>1.2142526394000033</v>
      </c>
      <c r="D7" s="63">
        <f>-'PAGS | IS GAAP'!D25</f>
        <v>-4.0695725199996757E-2</v>
      </c>
      <c r="E7" s="63">
        <f>-'PAGS | IS GAAP'!E25</f>
        <v>2.0004399960000034</v>
      </c>
      <c r="F7" s="63">
        <f>-'PAGS | IS GAAP'!F25</f>
        <v>1.652892243649847</v>
      </c>
      <c r="G7" s="63">
        <f>-'PAGS | IS GAAP'!G25</f>
        <v>8.4169195548644815</v>
      </c>
      <c r="H7" s="63">
        <f>-'PAGS | IS GAAP'!H25</f>
        <v>6.6619079508923331</v>
      </c>
      <c r="I7" s="63">
        <f>-'PAGS | IS GAAP'!I25</f>
        <v>11.761951808371178</v>
      </c>
      <c r="J7" s="63">
        <f>-'PAGS | IS GAAP'!J25</f>
        <v>0.73962006953201076</v>
      </c>
      <c r="K7" s="63">
        <f>-'PAGS | IS GAAP'!K25</f>
        <v>21.552880860000002</v>
      </c>
      <c r="L7" s="63">
        <f>-'PAGS | IS GAAP'!L25</f>
        <v>34.18372617</v>
      </c>
      <c r="M7" s="63">
        <f>-'PAGS | IS GAAP'!M25</f>
        <v>67.277392969999994</v>
      </c>
      <c r="N7" s="63">
        <f>-'PAGS | IS GAAP'!N25</f>
        <v>81.695999999999998</v>
      </c>
      <c r="O7" s="63">
        <f>-'PAGS | IS GAAP'!O25</f>
        <v>14.543674010000002</v>
      </c>
      <c r="P7" s="63">
        <f>-'PAGS | IS GAAP'!P25</f>
        <v>85.140999999999991</v>
      </c>
      <c r="Q7" s="63">
        <f>-'PAGS | IS GAAP'!Q25</f>
        <v>88.974999999999994</v>
      </c>
      <c r="R7" s="63">
        <f>-'PAGS | IS GAAP'!R25</f>
        <v>118.55499999999999</v>
      </c>
      <c r="S7" s="63">
        <f>-'PAGS | IS GAAP'!S25</f>
        <v>139.643</v>
      </c>
      <c r="T7" s="63">
        <f>-'PAGS | IS GAAP'!T25</f>
        <v>138.36599999999999</v>
      </c>
      <c r="U7" s="63">
        <f>-'PAGS | IS GAAP'!U25</f>
        <v>125.539</v>
      </c>
      <c r="V7" s="63">
        <f>-'PAGS | IS GAAP'!V25</f>
        <v>141.96600000000001</v>
      </c>
      <c r="W7" s="63">
        <f>-'PAGS | IS GAAP'!W25</f>
        <v>139.23999999999998</v>
      </c>
      <c r="X7" s="63">
        <f>-'PAGS | IS GAAP'!X25</f>
        <v>116.12422909</v>
      </c>
      <c r="Y7" s="63">
        <f>-'PAGS | IS GAAP'!Y25</f>
        <v>88.76057431000001</v>
      </c>
      <c r="Z7" s="63">
        <f>-'PAGS | IS GAAP'!Z25</f>
        <v>138.26745597999999</v>
      </c>
      <c r="AA7" s="63">
        <f>-'PAGS | IS GAAP'!AA25</f>
        <v>89.025337009999987</v>
      </c>
      <c r="AB7" s="63">
        <f>-'PAGS | IS GAAP'!AB25</f>
        <v>66.033025989999999</v>
      </c>
      <c r="AC7" s="63">
        <f>-'PAGS | IS GAAP'!AC25</f>
        <v>99.634741199999993</v>
      </c>
      <c r="AD7" s="63">
        <f>-'PAGS | IS GAAP'!AD25</f>
        <v>67.050568089999985</v>
      </c>
      <c r="AE7" s="63">
        <f>-'PAGS | IS GAAP'!AE25</f>
        <v>66.55188047</v>
      </c>
      <c r="AF7" s="63">
        <f>-'PAGS | IS GAAP'!AF25</f>
        <v>75.787013139999985</v>
      </c>
      <c r="AG7" s="63">
        <f>-'PAGS | IS GAAP'!AG25</f>
        <v>45.013462589999996</v>
      </c>
      <c r="AI7" s="63">
        <f t="shared" si="0"/>
        <v>4.8268891538498568</v>
      </c>
      <c r="AJ7" s="63">
        <f t="shared" si="1"/>
        <v>27.580399383660001</v>
      </c>
      <c r="AK7" s="63">
        <f t="shared" si="2"/>
        <v>204.70999999999998</v>
      </c>
      <c r="AL7" s="63">
        <f t="shared" si="3"/>
        <v>307.21467401000001</v>
      </c>
      <c r="AM7" s="63">
        <f t="shared" si="4"/>
        <v>545.51400000000001</v>
      </c>
      <c r="AN7" s="63">
        <f t="shared" si="5"/>
        <v>482.39225938000004</v>
      </c>
      <c r="AO7" s="63">
        <f t="shared" si="6"/>
        <v>321.74367228999995</v>
      </c>
    </row>
    <row r="8" spans="2:41" ht="14.25" customHeight="1" x14ac:dyDescent="0.35">
      <c r="B8" s="66" t="s">
        <v>153</v>
      </c>
      <c r="C8" s="63">
        <v>0</v>
      </c>
      <c r="D8" s="63">
        <v>0</v>
      </c>
      <c r="E8" s="63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13.094000000000001</v>
      </c>
      <c r="P8" s="63">
        <v>0.73266031999999948</v>
      </c>
      <c r="Q8" s="63">
        <v>4.1493597400000013</v>
      </c>
      <c r="R8" s="63">
        <v>0</v>
      </c>
      <c r="S8" s="63">
        <v>0</v>
      </c>
      <c r="T8" s="63">
        <v>0</v>
      </c>
      <c r="U8" s="63">
        <v>0</v>
      </c>
      <c r="V8" s="63">
        <v>0</v>
      </c>
      <c r="W8" s="63">
        <v>15.294528449854353</v>
      </c>
      <c r="X8" s="63">
        <v>16.116398234235863</v>
      </c>
      <c r="Y8" s="63">
        <v>101.38122336830506</v>
      </c>
      <c r="Z8" s="63">
        <v>74.220125960000004</v>
      </c>
      <c r="AA8" s="63">
        <v>79.670035459999994</v>
      </c>
      <c r="AB8" s="63">
        <v>105.75478376</v>
      </c>
      <c r="AC8" s="63">
        <v>140.74338036402906</v>
      </c>
      <c r="AD8" s="63">
        <v>44.347701729243354</v>
      </c>
      <c r="AE8" s="63">
        <v>27.750788890000003</v>
      </c>
      <c r="AF8" s="63">
        <v>50.595173779999996</v>
      </c>
      <c r="AG8" s="63">
        <v>43.023196894611544</v>
      </c>
      <c r="AI8" s="63">
        <f>SUM(C8:F8)</f>
        <v>0</v>
      </c>
      <c r="AJ8" s="63">
        <f>SUM(G8:J8)</f>
        <v>0</v>
      </c>
      <c r="AK8" s="63">
        <f>SUM(K8:N8)</f>
        <v>0</v>
      </c>
      <c r="AL8" s="63">
        <f>SUM(O8:R8)</f>
        <v>17.976020060000003</v>
      </c>
      <c r="AM8" s="63">
        <f>SUM(S8:V8)</f>
        <v>0</v>
      </c>
      <c r="AN8" s="63">
        <f>SUM(W8:Z8)</f>
        <v>207.01227601239526</v>
      </c>
      <c r="AO8" s="63">
        <f>SUM(AA8:AD8)</f>
        <v>370.51590131327237</v>
      </c>
    </row>
    <row r="9" spans="2:41" ht="14.25" customHeight="1" x14ac:dyDescent="0.35">
      <c r="B9" s="66" t="s">
        <v>215</v>
      </c>
      <c r="C9" s="63">
        <v>0</v>
      </c>
      <c r="D9" s="63">
        <v>0</v>
      </c>
      <c r="E9" s="63">
        <v>0</v>
      </c>
      <c r="F9" s="63">
        <v>0</v>
      </c>
      <c r="G9" s="63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  <c r="P9" s="63">
        <v>0</v>
      </c>
      <c r="Q9" s="63">
        <v>0</v>
      </c>
      <c r="R9" s="63">
        <v>0</v>
      </c>
      <c r="S9" s="63">
        <v>0</v>
      </c>
      <c r="T9" s="63">
        <v>0</v>
      </c>
      <c r="U9" s="63">
        <v>0</v>
      </c>
      <c r="V9" s="63">
        <v>0</v>
      </c>
      <c r="W9" s="63">
        <v>0</v>
      </c>
      <c r="X9" s="63">
        <v>0</v>
      </c>
      <c r="Y9" s="63">
        <v>0</v>
      </c>
      <c r="Z9" s="63">
        <v>0</v>
      </c>
      <c r="AA9" s="63">
        <v>0</v>
      </c>
      <c r="AB9" s="63">
        <v>0</v>
      </c>
      <c r="AC9" s="63">
        <v>0</v>
      </c>
      <c r="AD9" s="63">
        <v>0</v>
      </c>
      <c r="AE9" s="63">
        <v>0</v>
      </c>
      <c r="AF9" s="63">
        <v>93.10469620734591</v>
      </c>
      <c r="AG9" s="63">
        <v>41.164999999999999</v>
      </c>
      <c r="AI9" s="63">
        <f>SUM(C9:F9)</f>
        <v>0</v>
      </c>
      <c r="AJ9" s="63">
        <f>SUM(G9:J9)</f>
        <v>0</v>
      </c>
      <c r="AK9" s="63">
        <f>SUM(K9:N9)</f>
        <v>0</v>
      </c>
      <c r="AL9" s="63">
        <f>SUM(O9:R9)</f>
        <v>0</v>
      </c>
      <c r="AM9" s="63">
        <f>SUM(S9:V9)</f>
        <v>0</v>
      </c>
      <c r="AN9" s="63">
        <f>SUM(W9:Z9)</f>
        <v>0</v>
      </c>
      <c r="AO9" s="63">
        <f>SUM(AA9:AD9)</f>
        <v>0</v>
      </c>
    </row>
    <row r="10" spans="2:41" ht="14.25" customHeight="1" x14ac:dyDescent="0.35">
      <c r="B10" s="66" t="s">
        <v>225</v>
      </c>
      <c r="C10" s="63">
        <v>0</v>
      </c>
      <c r="D10" s="63">
        <v>0</v>
      </c>
      <c r="E10" s="63">
        <v>0</v>
      </c>
      <c r="F10" s="63">
        <v>0</v>
      </c>
      <c r="G10" s="63">
        <v>0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63">
        <v>0</v>
      </c>
      <c r="Q10" s="63">
        <v>0</v>
      </c>
      <c r="R10" s="63">
        <v>0</v>
      </c>
      <c r="S10" s="63">
        <v>0</v>
      </c>
      <c r="T10" s="63">
        <v>0</v>
      </c>
      <c r="U10" s="63">
        <v>0</v>
      </c>
      <c r="V10" s="63">
        <v>0</v>
      </c>
      <c r="W10" s="63">
        <v>0</v>
      </c>
      <c r="X10" s="63">
        <v>0</v>
      </c>
      <c r="Y10" s="63">
        <v>0</v>
      </c>
      <c r="Z10" s="63">
        <v>8.2099268999999993</v>
      </c>
      <c r="AA10" s="63">
        <v>0</v>
      </c>
      <c r="AB10" s="63">
        <v>1.97149372</v>
      </c>
      <c r="AC10" s="63">
        <v>3.4825084400000001</v>
      </c>
      <c r="AD10" s="63">
        <v>0</v>
      </c>
      <c r="AE10" s="63">
        <v>0</v>
      </c>
      <c r="AF10" s="63">
        <v>0</v>
      </c>
      <c r="AG10" s="63">
        <v>0</v>
      </c>
      <c r="AI10" s="124">
        <v>0</v>
      </c>
      <c r="AJ10" s="124">
        <v>0</v>
      </c>
      <c r="AK10" s="124">
        <v>0</v>
      </c>
      <c r="AL10" s="124">
        <v>0</v>
      </c>
      <c r="AM10" s="124">
        <v>0</v>
      </c>
      <c r="AN10" s="124">
        <v>8.2099269000000277</v>
      </c>
      <c r="AO10" s="124">
        <v>5.4540021600000159</v>
      </c>
    </row>
    <row r="11" spans="2:41" ht="14.25" customHeight="1" x14ac:dyDescent="0.35">
      <c r="B11" s="66" t="s">
        <v>71</v>
      </c>
      <c r="C11" s="63">
        <f>-'PAGS | IS GAAP'!C20</f>
        <v>3.8193371600000008</v>
      </c>
      <c r="D11" s="63">
        <f>-'PAGS | IS GAAP'!D20</f>
        <v>4.3005770799999983</v>
      </c>
      <c r="E11" s="63">
        <f>-'PAGS | IS GAAP'!E20</f>
        <v>4.8432917900000012</v>
      </c>
      <c r="F11" s="63">
        <f>-'PAGS | IS GAAP'!F20</f>
        <v>5.6170832900000027</v>
      </c>
      <c r="G11" s="63">
        <f>-'PAGS | IS GAAP'!G20</f>
        <v>6.2863829999999998</v>
      </c>
      <c r="H11" s="63">
        <f>-'PAGS | IS GAAP'!H20</f>
        <v>7.0978070000000004</v>
      </c>
      <c r="I11" s="63">
        <f>-'PAGS | IS GAAP'!I20</f>
        <v>8.228076999999999</v>
      </c>
      <c r="J11" s="63">
        <f>-'PAGS | IS GAAP'!J20</f>
        <v>9.6336809999999993</v>
      </c>
      <c r="K11" s="63">
        <f>-'PAGS | IS GAAP'!K20</f>
        <v>10.739059286122002</v>
      </c>
      <c r="L11" s="63">
        <f>-'PAGS | IS GAAP'!L20</f>
        <v>11.933667379328</v>
      </c>
      <c r="M11" s="63">
        <f>-'PAGS | IS GAAP'!M20</f>
        <v>13.492266995413001</v>
      </c>
      <c r="N11" s="63">
        <f>-'PAGS | IS GAAP'!N20</f>
        <v>15.406494519136968</v>
      </c>
      <c r="O11" s="63">
        <f>-'PAGS | IS GAAP'!O20</f>
        <v>18.006200776278</v>
      </c>
      <c r="P11" s="63">
        <f>-'PAGS | IS GAAP'!P20</f>
        <v>20.540659115095991</v>
      </c>
      <c r="Q11" s="63">
        <f>-'PAGS | IS GAAP'!Q20</f>
        <v>23.925763707406396</v>
      </c>
      <c r="R11" s="63">
        <f>-'PAGS | IS GAAP'!R20</f>
        <v>32.889000000000003</v>
      </c>
      <c r="S11" s="63">
        <f>-'PAGS | IS GAAP'!S20</f>
        <v>26.4</v>
      </c>
      <c r="T11" s="63">
        <f>-'PAGS | IS GAAP'!T20</f>
        <v>21.7</v>
      </c>
      <c r="U11" s="63">
        <f>-'PAGS | IS GAAP'!U20</f>
        <v>34.1</v>
      </c>
      <c r="V11" s="63">
        <f>-'PAGS | IS GAAP'!V20</f>
        <v>46.099999999999994</v>
      </c>
      <c r="W11" s="63">
        <f>-'PAGS | IS GAAP'!W20</f>
        <v>59.6</v>
      </c>
      <c r="X11" s="63">
        <f>-'PAGS | IS GAAP'!X20</f>
        <v>81.400000000000006</v>
      </c>
      <c r="Y11" s="63">
        <f>-'PAGS | IS GAAP'!Y20</f>
        <v>101.52798060813829</v>
      </c>
      <c r="Z11" s="63">
        <f>-'PAGS | IS GAAP'!Z20</f>
        <v>133.82178216510505</v>
      </c>
      <c r="AA11" s="63">
        <f>-'PAGS | IS GAAP'!AA20</f>
        <v>158.29787135049457</v>
      </c>
      <c r="AB11" s="63">
        <f>-'PAGS | IS GAAP'!AB20</f>
        <v>181.52033899584535</v>
      </c>
      <c r="AC11" s="63">
        <f>-'PAGS | IS GAAP'!AC20</f>
        <v>203.27671777909396</v>
      </c>
      <c r="AD11" s="63">
        <f>-'PAGS | IS GAAP'!AD20</f>
        <v>225.5</v>
      </c>
      <c r="AE11" s="63">
        <f>-'PAGS | IS GAAP'!AE20</f>
        <v>249.02219570682448</v>
      </c>
      <c r="AF11" s="63">
        <f>-'PAGS | IS GAAP'!AF20</f>
        <v>280.56612036482954</v>
      </c>
      <c r="AG11" s="63">
        <f>-'PAGS | IS GAAP'!AG20</f>
        <v>294.41611663115395</v>
      </c>
      <c r="AI11" s="63">
        <f t="shared" si="0"/>
        <v>18.580289320000006</v>
      </c>
      <c r="AJ11" s="63">
        <f t="shared" si="1"/>
        <v>31.245947999999999</v>
      </c>
      <c r="AK11" s="63">
        <f t="shared" si="2"/>
        <v>51.571488179999974</v>
      </c>
      <c r="AL11" s="63">
        <f t="shared" si="3"/>
        <v>95.361623598780398</v>
      </c>
      <c r="AM11" s="63">
        <f t="shared" si="4"/>
        <v>128.29999999999998</v>
      </c>
      <c r="AN11" s="63">
        <f t="shared" si="5"/>
        <v>376.34976277324336</v>
      </c>
      <c r="AO11" s="63">
        <f t="shared" si="6"/>
        <v>768.59492812543385</v>
      </c>
    </row>
    <row r="12" spans="2:41" ht="14.25" customHeight="1" x14ac:dyDescent="0.35">
      <c r="B12" s="66" t="s">
        <v>163</v>
      </c>
      <c r="C12" s="63">
        <f>-'PAGS | IS GAAP'!C9</f>
        <v>-0.8477101600000001</v>
      </c>
      <c r="D12" s="63">
        <f>-'PAGS | IS GAAP'!D9</f>
        <v>-1.2589204200000002</v>
      </c>
      <c r="E12" s="63">
        <f>-'PAGS | IS GAAP'!E9</f>
        <v>-3.9606268799999995</v>
      </c>
      <c r="F12" s="63">
        <f>-'PAGS | IS GAAP'!F9</f>
        <v>-4.6762449899999998</v>
      </c>
      <c r="G12" s="63">
        <f>-'PAGS | IS GAAP'!G9</f>
        <v>-1.5326167965050099</v>
      </c>
      <c r="H12" s="63">
        <f>-'PAGS | IS GAAP'!H9</f>
        <v>-0.283837593494985</v>
      </c>
      <c r="I12" s="63">
        <f>-'PAGS | IS GAAP'!I9</f>
        <v>-1.033630829999882</v>
      </c>
      <c r="J12" s="63">
        <f>-'PAGS | IS GAAP'!J9</f>
        <v>-2.4862875300000797</v>
      </c>
      <c r="K12" s="63">
        <f>-'PAGS | IS GAAP'!K9</f>
        <v>-0.83599999999999997</v>
      </c>
      <c r="L12" s="63">
        <f>-'PAGS | IS GAAP'!L9</f>
        <v>-2.528</v>
      </c>
      <c r="M12" s="63">
        <f>-'PAGS | IS GAAP'!M9</f>
        <v>-0.57199999999999995</v>
      </c>
      <c r="N12" s="63">
        <f>-'PAGS | IS GAAP'!N9</f>
        <v>-4.6400000000000006</v>
      </c>
      <c r="O12" s="63">
        <f>-'PAGS | IS GAAP'!O9</f>
        <v>-116.36</v>
      </c>
      <c r="P12" s="63">
        <f>-'PAGS | IS GAAP'!P9</f>
        <v>-64.531999999999996</v>
      </c>
      <c r="Q12" s="63">
        <f>-'PAGS | IS GAAP'!Q9</f>
        <v>-56.503999999999998</v>
      </c>
      <c r="R12" s="63">
        <f>-'PAGS | IS GAAP'!R9</f>
        <v>-41.049000000000007</v>
      </c>
      <c r="S12" s="63">
        <f>-'PAGS | IS GAAP'!S9</f>
        <v>-40.247999999999998</v>
      </c>
      <c r="T12" s="63">
        <f>-'PAGS | IS GAAP'!T9</f>
        <v>-30.175999999999998</v>
      </c>
      <c r="U12" s="63">
        <f>-'PAGS | IS GAAP'!U9</f>
        <v>-30.832999999999998</v>
      </c>
      <c r="V12" s="63">
        <f>-'PAGS | IS GAAP'!V9</f>
        <v>-25.1</v>
      </c>
      <c r="W12" s="63">
        <f>-'PAGS | IS GAAP'!W9</f>
        <v>-58.222999999999999</v>
      </c>
      <c r="X12" s="63">
        <f>-'PAGS | IS GAAP'!X9</f>
        <v>-41.73529061</v>
      </c>
      <c r="Y12" s="63">
        <f>-'PAGS | IS GAAP'!Y9</f>
        <v>-24.747167540000003</v>
      </c>
      <c r="Z12" s="63">
        <f>-'PAGS | IS GAAP'!Z9</f>
        <v>-3.8891552300000019</v>
      </c>
      <c r="AA12" s="63">
        <f>-'PAGS | IS GAAP'!AA9</f>
        <v>-25.247820869999998</v>
      </c>
      <c r="AB12" s="63">
        <f>SUM(AB13:AB14)</f>
        <v>1.2193639020799907</v>
      </c>
      <c r="AC12" s="63">
        <f>SUM(AC13:AC14)</f>
        <v>-27.172289500000009</v>
      </c>
      <c r="AD12" s="63">
        <f t="shared" ref="AD12:AE12" si="7">SUM(AD13:AD14)</f>
        <v>-26.053273070000003</v>
      </c>
      <c r="AE12" s="63">
        <f t="shared" si="7"/>
        <v>-28.388784418273598</v>
      </c>
      <c r="AF12" s="63">
        <f t="shared" ref="AF12" si="8">SUM(AF13:AF14)</f>
        <v>-35.974508740865197</v>
      </c>
      <c r="AG12" s="63">
        <f t="shared" ref="AG12" si="9">SUM(AG13:AG14)</f>
        <v>-33.633607463965504</v>
      </c>
      <c r="AI12" s="63">
        <f t="shared" ref="AI12" si="10">SUM(C12:F12)</f>
        <v>-10.743502449999999</v>
      </c>
      <c r="AJ12" s="63">
        <f t="shared" si="1"/>
        <v>-5.3363727499999563</v>
      </c>
      <c r="AK12" s="63">
        <f t="shared" si="2"/>
        <v>-8.5760000000000005</v>
      </c>
      <c r="AL12" s="63">
        <f t="shared" si="3"/>
        <v>-278.44499999999999</v>
      </c>
      <c r="AM12" s="63">
        <f t="shared" ref="AM12:AM18" si="11">SUM(S12:V12)</f>
        <v>-126.357</v>
      </c>
      <c r="AN12" s="63">
        <f t="shared" si="5"/>
        <v>-128.59461338000003</v>
      </c>
      <c r="AO12" s="63">
        <f t="shared" si="6"/>
        <v>-77.254019537920016</v>
      </c>
    </row>
    <row r="13" spans="2:41" ht="14.25" hidden="1" customHeight="1" outlineLevel="1" x14ac:dyDescent="0.35">
      <c r="B13" s="57" t="s">
        <v>0</v>
      </c>
      <c r="C13" s="114" t="s">
        <v>186</v>
      </c>
      <c r="D13" s="114" t="s">
        <v>186</v>
      </c>
      <c r="E13" s="114" t="s">
        <v>186</v>
      </c>
      <c r="F13" s="114" t="s">
        <v>186</v>
      </c>
      <c r="G13" s="114" t="s">
        <v>186</v>
      </c>
      <c r="H13" s="114" t="s">
        <v>186</v>
      </c>
      <c r="I13" s="114" t="s">
        <v>186</v>
      </c>
      <c r="J13" s="114" t="s">
        <v>186</v>
      </c>
      <c r="K13" s="114" t="s">
        <v>186</v>
      </c>
      <c r="L13" s="114" t="s">
        <v>186</v>
      </c>
      <c r="M13" s="114" t="s">
        <v>186</v>
      </c>
      <c r="N13" s="114" t="s">
        <v>186</v>
      </c>
      <c r="O13" s="114" t="s">
        <v>186</v>
      </c>
      <c r="P13" s="114" t="s">
        <v>186</v>
      </c>
      <c r="Q13" s="114" t="s">
        <v>186</v>
      </c>
      <c r="R13" s="114" t="s">
        <v>186</v>
      </c>
      <c r="S13" s="114" t="s">
        <v>186</v>
      </c>
      <c r="T13" s="114" t="s">
        <v>186</v>
      </c>
      <c r="U13" s="114" t="s">
        <v>186</v>
      </c>
      <c r="V13" s="114" t="s">
        <v>186</v>
      </c>
      <c r="W13" s="23">
        <v>-61.290941060000002</v>
      </c>
      <c r="X13" s="23">
        <v>-47.840107590000002</v>
      </c>
      <c r="Y13" s="23">
        <v>-31.836625740000002</v>
      </c>
      <c r="Z13" s="23">
        <v>-25.900527060000009</v>
      </c>
      <c r="AA13" s="23">
        <v>-34.550972029999997</v>
      </c>
      <c r="AB13" s="23">
        <v>-34.86230036792</v>
      </c>
      <c r="AC13" s="23">
        <v>-45.860542630000005</v>
      </c>
      <c r="AD13" s="23">
        <v>-43.527518220000005</v>
      </c>
      <c r="AE13" s="23">
        <v>-41.575661348273599</v>
      </c>
      <c r="AF13" s="23">
        <v>-44.767461206919997</v>
      </c>
      <c r="AG13" s="23">
        <v>-46.125531217340701</v>
      </c>
      <c r="AI13" s="23">
        <f t="shared" ref="AI13" si="12">SUM(C13:F13)</f>
        <v>0</v>
      </c>
      <c r="AJ13" s="23">
        <f t="shared" ref="AJ13" si="13">SUM(G13:J13)</f>
        <v>0</v>
      </c>
      <c r="AK13" s="23">
        <f t="shared" ref="AK13" si="14">SUM(K13:N13)</f>
        <v>0</v>
      </c>
      <c r="AL13" s="23">
        <f t="shared" ref="AL13" si="15">SUM(O13:R13)</f>
        <v>0</v>
      </c>
      <c r="AM13" s="23">
        <f t="shared" si="11"/>
        <v>0</v>
      </c>
      <c r="AN13" s="23">
        <f t="shared" ref="AN13" si="16">SUM(W13:Z13)</f>
        <v>-166.86820145000002</v>
      </c>
      <c r="AO13" s="23">
        <f t="shared" ref="AO13" si="17">SUM(AA13:AD13)</f>
        <v>-158.80133324792001</v>
      </c>
    </row>
    <row r="14" spans="2:41" ht="14.25" hidden="1" customHeight="1" outlineLevel="1" x14ac:dyDescent="0.35">
      <c r="B14" s="57" t="s">
        <v>152</v>
      </c>
      <c r="C14" s="114" t="s">
        <v>186</v>
      </c>
      <c r="D14" s="114" t="s">
        <v>186</v>
      </c>
      <c r="E14" s="114" t="s">
        <v>186</v>
      </c>
      <c r="F14" s="114" t="s">
        <v>186</v>
      </c>
      <c r="G14" s="114" t="s">
        <v>186</v>
      </c>
      <c r="H14" s="114" t="s">
        <v>186</v>
      </c>
      <c r="I14" s="114" t="s">
        <v>186</v>
      </c>
      <c r="J14" s="114" t="s">
        <v>186</v>
      </c>
      <c r="K14" s="114" t="s">
        <v>186</v>
      </c>
      <c r="L14" s="114" t="s">
        <v>186</v>
      </c>
      <c r="M14" s="114" t="s">
        <v>186</v>
      </c>
      <c r="N14" s="114" t="s">
        <v>186</v>
      </c>
      <c r="O14" s="114" t="s">
        <v>186</v>
      </c>
      <c r="P14" s="114" t="s">
        <v>186</v>
      </c>
      <c r="Q14" s="114" t="s">
        <v>186</v>
      </c>
      <c r="R14" s="114" t="s">
        <v>186</v>
      </c>
      <c r="S14" s="114" t="s">
        <v>186</v>
      </c>
      <c r="T14" s="114" t="s">
        <v>186</v>
      </c>
      <c r="U14" s="114" t="s">
        <v>186</v>
      </c>
      <c r="V14" s="114" t="s">
        <v>186</v>
      </c>
      <c r="W14" s="23">
        <v>3.0679410599999999</v>
      </c>
      <c r="X14" s="23">
        <v>6.1048169799999989</v>
      </c>
      <c r="Y14" s="23">
        <v>7.089458200000001</v>
      </c>
      <c r="Z14" s="23">
        <v>22.011371830000005</v>
      </c>
      <c r="AA14" s="23">
        <v>9.3031511599999988</v>
      </c>
      <c r="AB14" s="23">
        <v>36.08166426999999</v>
      </c>
      <c r="AC14" s="23">
        <v>18.688253129999996</v>
      </c>
      <c r="AD14" s="23">
        <v>17.474245150000002</v>
      </c>
      <c r="AE14" s="23">
        <v>13.18687693</v>
      </c>
      <c r="AF14" s="23">
        <v>8.7929524660547997</v>
      </c>
      <c r="AG14" s="122">
        <v>12.4919237533752</v>
      </c>
      <c r="AI14" s="23">
        <f t="shared" ref="AI14" si="18">SUM(C14:F14)</f>
        <v>0</v>
      </c>
      <c r="AJ14" s="23">
        <f t="shared" ref="AJ14" si="19">SUM(G14:J14)</f>
        <v>0</v>
      </c>
      <c r="AK14" s="23">
        <f t="shared" ref="AK14" si="20">SUM(K14:N14)</f>
        <v>0</v>
      </c>
      <c r="AL14" s="23">
        <f t="shared" ref="AL14" si="21">SUM(O14:R14)</f>
        <v>0</v>
      </c>
      <c r="AM14" s="23">
        <f t="shared" si="11"/>
        <v>0</v>
      </c>
      <c r="AN14" s="23">
        <f t="shared" ref="AN14" si="22">SUM(W14:Z14)</f>
        <v>38.273588070000002</v>
      </c>
      <c r="AO14" s="23">
        <f t="shared" ref="AO14" si="23">SUM(AA14:AD14)</f>
        <v>81.547313709999983</v>
      </c>
    </row>
    <row r="15" spans="2:41" ht="14.25" customHeight="1" collapsed="1" x14ac:dyDescent="0.35">
      <c r="B15" s="66" t="s">
        <v>226</v>
      </c>
      <c r="C15" s="125" t="s">
        <v>186</v>
      </c>
      <c r="D15" s="125" t="s">
        <v>186</v>
      </c>
      <c r="E15" s="125" t="s">
        <v>186</v>
      </c>
      <c r="F15" s="125" t="s">
        <v>186</v>
      </c>
      <c r="G15" s="125" t="s">
        <v>186</v>
      </c>
      <c r="H15" s="125" t="s">
        <v>186</v>
      </c>
      <c r="I15" s="125" t="s">
        <v>186</v>
      </c>
      <c r="J15" s="125" t="s">
        <v>186</v>
      </c>
      <c r="K15" s="125" t="s">
        <v>186</v>
      </c>
      <c r="L15" s="125" t="s">
        <v>186</v>
      </c>
      <c r="M15" s="125" t="s">
        <v>186</v>
      </c>
      <c r="N15" s="125" t="s">
        <v>186</v>
      </c>
      <c r="O15" s="125" t="s">
        <v>186</v>
      </c>
      <c r="P15" s="125" t="s">
        <v>186</v>
      </c>
      <c r="Q15" s="125" t="s">
        <v>186</v>
      </c>
      <c r="R15" s="125" t="s">
        <v>186</v>
      </c>
      <c r="S15" s="125" t="s">
        <v>186</v>
      </c>
      <c r="T15" s="125" t="s">
        <v>186</v>
      </c>
      <c r="U15" s="125" t="s">
        <v>186</v>
      </c>
      <c r="V15" s="125" t="s">
        <v>186</v>
      </c>
      <c r="W15" s="63" t="s">
        <v>186</v>
      </c>
      <c r="X15" s="63" t="s">
        <v>186</v>
      </c>
      <c r="Y15" s="63" t="s">
        <v>186</v>
      </c>
      <c r="Z15" s="63" t="s">
        <v>186</v>
      </c>
      <c r="AA15" s="63" t="s">
        <v>186</v>
      </c>
      <c r="AB15" s="63" t="s">
        <v>186</v>
      </c>
      <c r="AC15" s="63" t="s">
        <v>186</v>
      </c>
      <c r="AD15" s="63" t="s">
        <v>186</v>
      </c>
      <c r="AE15" s="63" t="s">
        <v>186</v>
      </c>
      <c r="AF15" s="63" t="s">
        <v>186</v>
      </c>
      <c r="AG15" s="63">
        <v>-52.500999999999998</v>
      </c>
      <c r="AI15" s="63">
        <f t="shared" ref="AI15:AI18" si="24">SUM(C15:F15)</f>
        <v>0</v>
      </c>
      <c r="AJ15" s="63">
        <f t="shared" ref="AJ15:AJ18" si="25">SUM(G15:J15)</f>
        <v>0</v>
      </c>
      <c r="AK15" s="63">
        <f t="shared" ref="AK15:AK18" si="26">SUM(K15:N15)</f>
        <v>0</v>
      </c>
      <c r="AL15" s="63">
        <f t="shared" ref="AL15:AL18" si="27">SUM(O15:R15)</f>
        <v>0</v>
      </c>
      <c r="AM15" s="63">
        <f t="shared" si="11"/>
        <v>0</v>
      </c>
      <c r="AN15" s="63">
        <f t="shared" ref="AN15:AN18" si="28">SUM(W15:Z15)</f>
        <v>0</v>
      </c>
      <c r="AO15" s="63">
        <f t="shared" ref="AO15:AO18" si="29">SUM(AA15:AD15)</f>
        <v>0</v>
      </c>
    </row>
    <row r="16" spans="2:41" ht="14.25" customHeight="1" x14ac:dyDescent="0.35">
      <c r="B16" s="66" t="s">
        <v>227</v>
      </c>
      <c r="C16" s="125" t="s">
        <v>186</v>
      </c>
      <c r="D16" s="125" t="s">
        <v>186</v>
      </c>
      <c r="E16" s="125" t="s">
        <v>186</v>
      </c>
      <c r="F16" s="125" t="s">
        <v>186</v>
      </c>
      <c r="G16" s="125" t="s">
        <v>186</v>
      </c>
      <c r="H16" s="125" t="s">
        <v>186</v>
      </c>
      <c r="I16" s="125" t="s">
        <v>186</v>
      </c>
      <c r="J16" s="125" t="s">
        <v>186</v>
      </c>
      <c r="K16" s="125" t="s">
        <v>186</v>
      </c>
      <c r="L16" s="125" t="s">
        <v>186</v>
      </c>
      <c r="M16" s="125" t="s">
        <v>186</v>
      </c>
      <c r="N16" s="125" t="s">
        <v>186</v>
      </c>
      <c r="O16" s="125" t="s">
        <v>186</v>
      </c>
      <c r="P16" s="125" t="s">
        <v>186</v>
      </c>
      <c r="Q16" s="125" t="s">
        <v>186</v>
      </c>
      <c r="R16" s="125" t="s">
        <v>186</v>
      </c>
      <c r="S16" s="125" t="s">
        <v>186</v>
      </c>
      <c r="T16" s="125" t="s">
        <v>186</v>
      </c>
      <c r="U16" s="125" t="s">
        <v>186</v>
      </c>
      <c r="V16" s="125" t="s">
        <v>186</v>
      </c>
      <c r="W16" s="63" t="s">
        <v>186</v>
      </c>
      <c r="X16" s="63" t="s">
        <v>186</v>
      </c>
      <c r="Y16" s="63" t="s">
        <v>186</v>
      </c>
      <c r="Z16" s="63" t="s">
        <v>186</v>
      </c>
      <c r="AA16" s="63" t="s">
        <v>186</v>
      </c>
      <c r="AB16" s="63" t="s">
        <v>186</v>
      </c>
      <c r="AC16" s="63" t="s">
        <v>186</v>
      </c>
      <c r="AD16" s="63" t="s">
        <v>186</v>
      </c>
      <c r="AE16" s="63" t="s">
        <v>186</v>
      </c>
      <c r="AF16" s="63" t="s">
        <v>186</v>
      </c>
      <c r="AG16" s="63">
        <v>29.263999999999999</v>
      </c>
      <c r="AI16" s="63">
        <f t="shared" si="24"/>
        <v>0</v>
      </c>
      <c r="AJ16" s="63">
        <f t="shared" si="25"/>
        <v>0</v>
      </c>
      <c r="AK16" s="63">
        <f t="shared" si="26"/>
        <v>0</v>
      </c>
      <c r="AL16" s="63">
        <f t="shared" si="27"/>
        <v>0</v>
      </c>
      <c r="AM16" s="63">
        <f t="shared" si="11"/>
        <v>0</v>
      </c>
      <c r="AN16" s="63">
        <f t="shared" si="28"/>
        <v>0</v>
      </c>
      <c r="AO16" s="63">
        <f t="shared" si="29"/>
        <v>0</v>
      </c>
    </row>
    <row r="17" spans="2:41" ht="14.25" customHeight="1" x14ac:dyDescent="0.35">
      <c r="B17" s="66" t="s">
        <v>228</v>
      </c>
      <c r="C17" s="125" t="s">
        <v>186</v>
      </c>
      <c r="D17" s="125" t="s">
        <v>186</v>
      </c>
      <c r="E17" s="125" t="s">
        <v>186</v>
      </c>
      <c r="F17" s="125" t="s">
        <v>186</v>
      </c>
      <c r="G17" s="125" t="s">
        <v>186</v>
      </c>
      <c r="H17" s="125" t="s">
        <v>186</v>
      </c>
      <c r="I17" s="125" t="s">
        <v>186</v>
      </c>
      <c r="J17" s="125" t="s">
        <v>186</v>
      </c>
      <c r="K17" s="125" t="s">
        <v>186</v>
      </c>
      <c r="L17" s="125" t="s">
        <v>186</v>
      </c>
      <c r="M17" s="125" t="s">
        <v>186</v>
      </c>
      <c r="N17" s="125" t="s">
        <v>186</v>
      </c>
      <c r="O17" s="125" t="s">
        <v>186</v>
      </c>
      <c r="P17" s="125" t="s">
        <v>186</v>
      </c>
      <c r="Q17" s="125" t="s">
        <v>186</v>
      </c>
      <c r="R17" s="125" t="s">
        <v>186</v>
      </c>
      <c r="S17" s="125" t="s">
        <v>186</v>
      </c>
      <c r="T17" s="125" t="s">
        <v>186</v>
      </c>
      <c r="U17" s="125" t="s">
        <v>186</v>
      </c>
      <c r="V17" s="125" t="s">
        <v>186</v>
      </c>
      <c r="W17" s="63" t="s">
        <v>186</v>
      </c>
      <c r="X17" s="63" t="s">
        <v>186</v>
      </c>
      <c r="Y17" s="63" t="s">
        <v>186</v>
      </c>
      <c r="Z17" s="63" t="s">
        <v>186</v>
      </c>
      <c r="AA17" s="63" t="s">
        <v>186</v>
      </c>
      <c r="AB17" s="63" t="s">
        <v>186</v>
      </c>
      <c r="AC17" s="63" t="s">
        <v>186</v>
      </c>
      <c r="AD17" s="63" t="s">
        <v>186</v>
      </c>
      <c r="AE17" s="63" t="s">
        <v>186</v>
      </c>
      <c r="AF17" s="63" t="s">
        <v>186</v>
      </c>
      <c r="AG17" s="63">
        <v>12.602</v>
      </c>
      <c r="AI17" s="63">
        <f t="shared" si="24"/>
        <v>0</v>
      </c>
      <c r="AJ17" s="63">
        <f t="shared" si="25"/>
        <v>0</v>
      </c>
      <c r="AK17" s="63">
        <f t="shared" si="26"/>
        <v>0</v>
      </c>
      <c r="AL17" s="63">
        <f t="shared" si="27"/>
        <v>0</v>
      </c>
      <c r="AM17" s="63">
        <f t="shared" si="11"/>
        <v>0</v>
      </c>
      <c r="AN17" s="63">
        <f t="shared" si="28"/>
        <v>0</v>
      </c>
      <c r="AO17" s="63">
        <f t="shared" si="29"/>
        <v>0</v>
      </c>
    </row>
    <row r="18" spans="2:41" ht="14.25" customHeight="1" x14ac:dyDescent="0.35">
      <c r="B18" s="66" t="s">
        <v>229</v>
      </c>
      <c r="C18" s="125" t="s">
        <v>186</v>
      </c>
      <c r="D18" s="125" t="s">
        <v>186</v>
      </c>
      <c r="E18" s="125" t="s">
        <v>186</v>
      </c>
      <c r="F18" s="125" t="s">
        <v>186</v>
      </c>
      <c r="G18" s="125" t="s">
        <v>186</v>
      </c>
      <c r="H18" s="125" t="s">
        <v>186</v>
      </c>
      <c r="I18" s="125" t="s">
        <v>186</v>
      </c>
      <c r="J18" s="125" t="s">
        <v>186</v>
      </c>
      <c r="K18" s="125" t="s">
        <v>186</v>
      </c>
      <c r="L18" s="125" t="s">
        <v>186</v>
      </c>
      <c r="M18" s="125" t="s">
        <v>186</v>
      </c>
      <c r="N18" s="125" t="s">
        <v>186</v>
      </c>
      <c r="O18" s="125" t="s">
        <v>186</v>
      </c>
      <c r="P18" s="125" t="s">
        <v>186</v>
      </c>
      <c r="Q18" s="125" t="s">
        <v>186</v>
      </c>
      <c r="R18" s="125" t="s">
        <v>186</v>
      </c>
      <c r="S18" s="125" t="s">
        <v>186</v>
      </c>
      <c r="T18" s="125" t="s">
        <v>186</v>
      </c>
      <c r="U18" s="125" t="s">
        <v>186</v>
      </c>
      <c r="V18" s="125" t="s">
        <v>186</v>
      </c>
      <c r="W18" s="63" t="s">
        <v>186</v>
      </c>
      <c r="X18" s="63" t="s">
        <v>186</v>
      </c>
      <c r="Y18" s="63" t="s">
        <v>186</v>
      </c>
      <c r="Z18" s="63" t="s">
        <v>186</v>
      </c>
      <c r="AA18" s="63" t="s">
        <v>186</v>
      </c>
      <c r="AB18" s="63" t="s">
        <v>186</v>
      </c>
      <c r="AC18" s="63" t="s">
        <v>186</v>
      </c>
      <c r="AD18" s="63" t="s">
        <v>186</v>
      </c>
      <c r="AE18" s="63" t="s">
        <v>186</v>
      </c>
      <c r="AF18" s="63" t="s">
        <v>186</v>
      </c>
      <c r="AG18" s="63">
        <v>10</v>
      </c>
      <c r="AI18" s="63">
        <f t="shared" si="24"/>
        <v>0</v>
      </c>
      <c r="AJ18" s="63">
        <f t="shared" si="25"/>
        <v>0</v>
      </c>
      <c r="AK18" s="63">
        <f t="shared" si="26"/>
        <v>0</v>
      </c>
      <c r="AL18" s="63">
        <f t="shared" si="27"/>
        <v>0</v>
      </c>
      <c r="AM18" s="63">
        <f t="shared" si="11"/>
        <v>0</v>
      </c>
      <c r="AN18" s="63">
        <f t="shared" si="28"/>
        <v>0</v>
      </c>
      <c r="AO18" s="63">
        <f t="shared" si="29"/>
        <v>0</v>
      </c>
    </row>
    <row r="19" spans="2:41" ht="14.25" customHeight="1" x14ac:dyDescent="0.35">
      <c r="B19" s="58" t="s">
        <v>143</v>
      </c>
      <c r="C19" s="28">
        <f t="shared" ref="C19:Z19" si="30">SUM(C6:C12,C15:C18)</f>
        <v>20.912727230178604</v>
      </c>
      <c r="D19" s="28">
        <f t="shared" si="30"/>
        <v>9.3963286528700074</v>
      </c>
      <c r="E19" s="28">
        <f t="shared" si="30"/>
        <v>9.1272365997251512</v>
      </c>
      <c r="F19" s="28">
        <f t="shared" si="30"/>
        <v>8.7138800795243085</v>
      </c>
      <c r="G19" s="28">
        <f t="shared" si="30"/>
        <v>39.573170733494976</v>
      </c>
      <c r="H19" s="28">
        <f t="shared" si="30"/>
        <v>39.111905086504983</v>
      </c>
      <c r="I19" s="28">
        <f t="shared" si="30"/>
        <v>56.248925340000127</v>
      </c>
      <c r="J19" s="28">
        <f t="shared" si="30"/>
        <v>46.340336059999721</v>
      </c>
      <c r="K19" s="28">
        <f t="shared" si="30"/>
        <v>92.080632952692994</v>
      </c>
      <c r="L19" s="28">
        <f t="shared" si="30"/>
        <v>125.81088054079503</v>
      </c>
      <c r="M19" s="28">
        <f t="shared" si="30"/>
        <v>227.59428140737515</v>
      </c>
      <c r="N19" s="28">
        <f t="shared" si="30"/>
        <v>281.0136932791367</v>
      </c>
      <c r="O19" s="28">
        <f t="shared" si="30"/>
        <v>77.739200776277912</v>
      </c>
      <c r="P19" s="28">
        <f t="shared" si="30"/>
        <v>269.48931943509604</v>
      </c>
      <c r="Q19" s="28">
        <f t="shared" si="30"/>
        <v>292.10512344740641</v>
      </c>
      <c r="R19" s="28">
        <f t="shared" si="30"/>
        <v>413.17999999999995</v>
      </c>
      <c r="S19" s="28">
        <f t="shared" si="30"/>
        <v>435.52900000000017</v>
      </c>
      <c r="T19" s="28">
        <f t="shared" si="30"/>
        <v>452.64699999999993</v>
      </c>
      <c r="U19" s="28">
        <f t="shared" si="30"/>
        <v>471.16600000000005</v>
      </c>
      <c r="V19" s="28">
        <f t="shared" si="30"/>
        <v>554.8968114248969</v>
      </c>
      <c r="W19" s="28">
        <f t="shared" si="30"/>
        <v>512.82552844985457</v>
      </c>
      <c r="X19" s="28">
        <f t="shared" si="30"/>
        <v>468.217679128187</v>
      </c>
      <c r="Y19" s="28">
        <f t="shared" si="30"/>
        <v>530.35255837806528</v>
      </c>
      <c r="Z19" s="28">
        <f t="shared" si="30"/>
        <v>726.13235746241992</v>
      </c>
      <c r="AA19" s="28">
        <f t="shared" ref="AA19:AG19" si="31">SUM(AA6:AA12,AA15:AA18)</f>
        <v>573.07211221149896</v>
      </c>
      <c r="AB19" s="28">
        <f t="shared" si="31"/>
        <v>628.61142694198168</v>
      </c>
      <c r="AC19" s="28">
        <f t="shared" si="31"/>
        <v>741.51305921083679</v>
      </c>
      <c r="AD19" s="28">
        <f t="shared" si="31"/>
        <v>612.11170755611602</v>
      </c>
      <c r="AE19" s="28">
        <f t="shared" si="31"/>
        <v>664.8579368105427</v>
      </c>
      <c r="AF19" s="28">
        <f t="shared" si="31"/>
        <v>831</v>
      </c>
      <c r="AG19" s="28">
        <f t="shared" si="31"/>
        <v>769.63654147169564</v>
      </c>
      <c r="AI19" s="28">
        <f t="shared" ref="AI19" si="32">SUM(AI6:AI12,AI15:AI18)</f>
        <v>48.150172562298074</v>
      </c>
      <c r="AJ19" s="28">
        <f t="shared" ref="AJ19:AO19" si="33">SUM(AJ6:AJ12,AJ15:AJ18)</f>
        <v>181.27433721999981</v>
      </c>
      <c r="AK19" s="28">
        <f t="shared" si="33"/>
        <v>726.49948817999984</v>
      </c>
      <c r="AL19" s="28">
        <f t="shared" si="33"/>
        <v>1052.5136436587804</v>
      </c>
      <c r="AM19" s="28">
        <f t="shared" si="33"/>
        <v>1914.2388114248972</v>
      </c>
      <c r="AN19" s="28">
        <f t="shared" si="33"/>
        <v>2237.5281234185268</v>
      </c>
      <c r="AO19" s="28">
        <f t="shared" si="33"/>
        <v>2555.3083059204337</v>
      </c>
    </row>
    <row r="20" spans="2:41" ht="14.25" customHeight="1" x14ac:dyDescent="0.35">
      <c r="B20" s="121" t="s">
        <v>182</v>
      </c>
      <c r="C20" s="30" t="s">
        <v>186</v>
      </c>
      <c r="D20" s="30" t="s">
        <v>186</v>
      </c>
      <c r="E20" s="30" t="s">
        <v>186</v>
      </c>
      <c r="F20" s="30" t="s">
        <v>186</v>
      </c>
      <c r="G20" s="30" t="s">
        <v>186</v>
      </c>
      <c r="H20" s="30" t="s">
        <v>186</v>
      </c>
      <c r="I20" s="30" t="s">
        <v>186</v>
      </c>
      <c r="J20" s="30" t="s">
        <v>186</v>
      </c>
      <c r="K20" s="30" t="s">
        <v>186</v>
      </c>
      <c r="L20" s="30" t="s">
        <v>186</v>
      </c>
      <c r="M20" s="30" t="s">
        <v>186</v>
      </c>
      <c r="N20" s="30" t="s">
        <v>186</v>
      </c>
      <c r="O20" s="30" t="s">
        <v>186</v>
      </c>
      <c r="P20" s="30" t="s">
        <v>186</v>
      </c>
      <c r="Q20" s="30" t="s">
        <v>186</v>
      </c>
      <c r="R20" s="30" t="s">
        <v>186</v>
      </c>
      <c r="S20" s="30" t="s">
        <v>186</v>
      </c>
      <c r="T20" s="30" t="s">
        <v>186</v>
      </c>
      <c r="U20" s="30" t="s">
        <v>186</v>
      </c>
      <c r="V20" s="30" t="s">
        <v>186</v>
      </c>
      <c r="W20" s="30" t="s">
        <v>186</v>
      </c>
      <c r="X20" s="30">
        <v>-84.3</v>
      </c>
      <c r="Y20" s="30" t="s">
        <v>186</v>
      </c>
      <c r="Z20" s="30" t="s">
        <v>186</v>
      </c>
      <c r="AA20" s="30">
        <v>-29</v>
      </c>
      <c r="AB20" s="30" t="s">
        <v>186</v>
      </c>
      <c r="AC20" s="30" t="s">
        <v>186</v>
      </c>
      <c r="AD20" s="30" t="s">
        <v>186</v>
      </c>
      <c r="AE20" s="30" t="s">
        <v>186</v>
      </c>
      <c r="AF20" s="30" t="s">
        <v>186</v>
      </c>
      <c r="AG20" s="30" t="s">
        <v>186</v>
      </c>
      <c r="AI20" s="30">
        <f t="shared" ref="AI20:AI22" si="34">SUM(C20:F20)</f>
        <v>0</v>
      </c>
      <c r="AJ20" s="30">
        <f t="shared" ref="AJ20:AJ22" si="35">SUM(G20:J20)</f>
        <v>0</v>
      </c>
      <c r="AK20" s="30">
        <f t="shared" ref="AK20:AK22" si="36">SUM(K20:N20)</f>
        <v>0</v>
      </c>
      <c r="AL20" s="30">
        <f t="shared" ref="AL20:AL22" si="37">SUM(O20:R20)</f>
        <v>0</v>
      </c>
      <c r="AM20" s="30">
        <f t="shared" ref="AM20:AM22" si="38">SUM(S20:V20)</f>
        <v>0</v>
      </c>
      <c r="AN20" s="30">
        <f t="shared" ref="AN20:AN22" si="39">SUM(W20:Z20)</f>
        <v>-84.3</v>
      </c>
      <c r="AO20" s="30">
        <f t="shared" ref="AO20:AO22" si="40">SUM(AA20:AD20)</f>
        <v>-29</v>
      </c>
    </row>
    <row r="21" spans="2:41" ht="14.25" customHeight="1" x14ac:dyDescent="0.35">
      <c r="B21" s="121" t="s">
        <v>230</v>
      </c>
      <c r="C21" s="30" t="s">
        <v>186</v>
      </c>
      <c r="D21" s="30" t="s">
        <v>186</v>
      </c>
      <c r="E21" s="30" t="s">
        <v>186</v>
      </c>
      <c r="F21" s="30" t="s">
        <v>186</v>
      </c>
      <c r="G21" s="30" t="s">
        <v>186</v>
      </c>
      <c r="H21" s="30" t="s">
        <v>186</v>
      </c>
      <c r="I21" s="30" t="s">
        <v>186</v>
      </c>
      <c r="J21" s="30" t="s">
        <v>186</v>
      </c>
      <c r="K21" s="30" t="s">
        <v>186</v>
      </c>
      <c r="L21" s="30" t="s">
        <v>186</v>
      </c>
      <c r="M21" s="30" t="s">
        <v>186</v>
      </c>
      <c r="N21" s="30" t="s">
        <v>186</v>
      </c>
      <c r="O21" s="30" t="s">
        <v>186</v>
      </c>
      <c r="P21" s="30" t="s">
        <v>186</v>
      </c>
      <c r="Q21" s="30" t="s">
        <v>186</v>
      </c>
      <c r="R21" s="30" t="s">
        <v>186</v>
      </c>
      <c r="S21" s="30" t="s">
        <v>186</v>
      </c>
      <c r="T21" s="30" t="s">
        <v>186</v>
      </c>
      <c r="U21" s="30" t="s">
        <v>186</v>
      </c>
      <c r="V21" s="30" t="s">
        <v>186</v>
      </c>
      <c r="W21" s="30" t="s">
        <v>186</v>
      </c>
      <c r="X21" s="30" t="s">
        <v>186</v>
      </c>
      <c r="Y21" s="30" t="s">
        <v>186</v>
      </c>
      <c r="Z21" s="30" t="s">
        <v>186</v>
      </c>
      <c r="AA21" s="30">
        <v>73.400000000000006</v>
      </c>
      <c r="AB21" s="30" t="s">
        <v>186</v>
      </c>
      <c r="AC21" s="30" t="s">
        <v>186</v>
      </c>
      <c r="AD21" s="30" t="s">
        <v>186</v>
      </c>
      <c r="AE21" s="30" t="s">
        <v>186</v>
      </c>
      <c r="AF21" s="30" t="s">
        <v>186</v>
      </c>
      <c r="AG21" s="30" t="s">
        <v>186</v>
      </c>
      <c r="AI21" s="30">
        <f t="shared" si="34"/>
        <v>0</v>
      </c>
      <c r="AJ21" s="30">
        <f t="shared" si="35"/>
        <v>0</v>
      </c>
      <c r="AK21" s="30">
        <f t="shared" si="36"/>
        <v>0</v>
      </c>
      <c r="AL21" s="30">
        <f t="shared" si="37"/>
        <v>0</v>
      </c>
      <c r="AM21" s="30">
        <f t="shared" si="38"/>
        <v>0</v>
      </c>
      <c r="AN21" s="30">
        <f t="shared" si="39"/>
        <v>0</v>
      </c>
      <c r="AO21" s="30">
        <f t="shared" si="40"/>
        <v>73.400000000000006</v>
      </c>
    </row>
    <row r="22" spans="2:41" ht="14.25" customHeight="1" x14ac:dyDescent="0.35">
      <c r="B22" s="121" t="s">
        <v>231</v>
      </c>
      <c r="C22" s="30" t="s">
        <v>186</v>
      </c>
      <c r="D22" s="30" t="s">
        <v>186</v>
      </c>
      <c r="E22" s="30" t="s">
        <v>186</v>
      </c>
      <c r="F22" s="30" t="s">
        <v>186</v>
      </c>
      <c r="G22" s="30" t="s">
        <v>186</v>
      </c>
      <c r="H22" s="30" t="s">
        <v>186</v>
      </c>
      <c r="I22" s="30" t="s">
        <v>186</v>
      </c>
      <c r="J22" s="30" t="s">
        <v>186</v>
      </c>
      <c r="K22" s="30" t="s">
        <v>186</v>
      </c>
      <c r="L22" s="30" t="s">
        <v>186</v>
      </c>
      <c r="M22" s="30" t="s">
        <v>186</v>
      </c>
      <c r="N22" s="30" t="s">
        <v>186</v>
      </c>
      <c r="O22" s="30" t="s">
        <v>186</v>
      </c>
      <c r="P22" s="30" t="s">
        <v>186</v>
      </c>
      <c r="Q22" s="30" t="s">
        <v>186</v>
      </c>
      <c r="R22" s="30" t="s">
        <v>186</v>
      </c>
      <c r="S22" s="30" t="s">
        <v>186</v>
      </c>
      <c r="T22" s="30" t="s">
        <v>186</v>
      </c>
      <c r="U22" s="30" t="s">
        <v>186</v>
      </c>
      <c r="V22" s="30" t="s">
        <v>186</v>
      </c>
      <c r="W22" s="30" t="s">
        <v>186</v>
      </c>
      <c r="X22" s="30" t="s">
        <v>186</v>
      </c>
      <c r="Y22" s="30" t="s">
        <v>186</v>
      </c>
      <c r="Z22" s="30" t="s">
        <v>186</v>
      </c>
      <c r="AA22" s="30" t="s">
        <v>186</v>
      </c>
      <c r="AB22" s="30" t="s">
        <v>186</v>
      </c>
      <c r="AC22" s="30" t="s">
        <v>186</v>
      </c>
      <c r="AD22" s="30">
        <v>138.65537367999997</v>
      </c>
      <c r="AE22" s="30" t="s">
        <v>186</v>
      </c>
      <c r="AF22" s="30" t="s">
        <v>186</v>
      </c>
      <c r="AG22" s="30" t="s">
        <v>186</v>
      </c>
      <c r="AI22" s="30">
        <f t="shared" si="34"/>
        <v>0</v>
      </c>
      <c r="AJ22" s="30">
        <f t="shared" si="35"/>
        <v>0</v>
      </c>
      <c r="AK22" s="30">
        <f t="shared" si="36"/>
        <v>0</v>
      </c>
      <c r="AL22" s="30">
        <f t="shared" si="37"/>
        <v>0</v>
      </c>
      <c r="AM22" s="30">
        <f t="shared" si="38"/>
        <v>0</v>
      </c>
      <c r="AN22" s="30">
        <f t="shared" si="39"/>
        <v>0</v>
      </c>
      <c r="AO22" s="30">
        <f t="shared" si="40"/>
        <v>138.65537367999997</v>
      </c>
    </row>
    <row r="23" spans="2:41" ht="14.25" customHeight="1" x14ac:dyDescent="0.35">
      <c r="B23" s="65" t="s">
        <v>224</v>
      </c>
      <c r="C23" s="15">
        <f t="shared" ref="C23:W23" si="41">SUM(C19:C19)</f>
        <v>20.912727230178604</v>
      </c>
      <c r="D23" s="15">
        <f t="shared" si="41"/>
        <v>9.3963286528700074</v>
      </c>
      <c r="E23" s="15">
        <f t="shared" si="41"/>
        <v>9.1272365997251512</v>
      </c>
      <c r="F23" s="15">
        <f t="shared" si="41"/>
        <v>8.7138800795243085</v>
      </c>
      <c r="G23" s="15">
        <f t="shared" si="41"/>
        <v>39.573170733494976</v>
      </c>
      <c r="H23" s="15">
        <f t="shared" si="41"/>
        <v>39.111905086504983</v>
      </c>
      <c r="I23" s="15">
        <f t="shared" si="41"/>
        <v>56.248925340000127</v>
      </c>
      <c r="J23" s="15">
        <f t="shared" si="41"/>
        <v>46.340336059999721</v>
      </c>
      <c r="K23" s="15">
        <f t="shared" si="41"/>
        <v>92.080632952692994</v>
      </c>
      <c r="L23" s="15">
        <f t="shared" si="41"/>
        <v>125.81088054079503</v>
      </c>
      <c r="M23" s="15">
        <f t="shared" si="41"/>
        <v>227.59428140737515</v>
      </c>
      <c r="N23" s="15">
        <f t="shared" si="41"/>
        <v>281.0136932791367</v>
      </c>
      <c r="O23" s="15">
        <f t="shared" si="41"/>
        <v>77.739200776277912</v>
      </c>
      <c r="P23" s="15">
        <f t="shared" si="41"/>
        <v>269.48931943509604</v>
      </c>
      <c r="Q23" s="15">
        <f t="shared" si="41"/>
        <v>292.10512344740641</v>
      </c>
      <c r="R23" s="15">
        <f t="shared" si="41"/>
        <v>413.17999999999995</v>
      </c>
      <c r="S23" s="15">
        <f t="shared" si="41"/>
        <v>435.52900000000017</v>
      </c>
      <c r="T23" s="15">
        <f t="shared" si="41"/>
        <v>452.64699999999993</v>
      </c>
      <c r="U23" s="15">
        <f t="shared" si="41"/>
        <v>471.16600000000005</v>
      </c>
      <c r="V23" s="15">
        <f t="shared" si="41"/>
        <v>554.8968114248969</v>
      </c>
      <c r="W23" s="15">
        <f t="shared" si="41"/>
        <v>512.82552844985457</v>
      </c>
      <c r="X23" s="15">
        <f t="shared" ref="X23:AG23" si="42">SUM(X19:X22)</f>
        <v>383.91767912818699</v>
      </c>
      <c r="Y23" s="15">
        <f t="shared" si="42"/>
        <v>530.35255837806528</v>
      </c>
      <c r="Z23" s="15">
        <f t="shared" si="42"/>
        <v>726.13235746241992</v>
      </c>
      <c r="AA23" s="15">
        <f t="shared" si="42"/>
        <v>617.47211221149894</v>
      </c>
      <c r="AB23" s="15">
        <f t="shared" si="42"/>
        <v>628.61142694198168</v>
      </c>
      <c r="AC23" s="15">
        <f t="shared" si="42"/>
        <v>741.51305921083679</v>
      </c>
      <c r="AD23" s="15">
        <f t="shared" si="42"/>
        <v>750.76708123611593</v>
      </c>
      <c r="AE23" s="15">
        <f t="shared" si="42"/>
        <v>664.8579368105427</v>
      </c>
      <c r="AF23" s="15">
        <f t="shared" si="42"/>
        <v>831</v>
      </c>
      <c r="AG23" s="15">
        <f t="shared" si="42"/>
        <v>769.63654147169564</v>
      </c>
      <c r="AI23" s="15">
        <f t="shared" ref="AI23:AO23" si="43">SUM(AI19:AI22)</f>
        <v>48.150172562298074</v>
      </c>
      <c r="AJ23" s="15">
        <f t="shared" si="43"/>
        <v>181.27433721999981</v>
      </c>
      <c r="AK23" s="15">
        <f t="shared" si="43"/>
        <v>726.49948817999984</v>
      </c>
      <c r="AL23" s="15">
        <f t="shared" si="43"/>
        <v>1052.5136436587804</v>
      </c>
      <c r="AM23" s="15">
        <f t="shared" si="43"/>
        <v>1914.2388114248972</v>
      </c>
      <c r="AN23" s="15">
        <f t="shared" si="43"/>
        <v>2153.2281234185266</v>
      </c>
      <c r="AO23" s="15">
        <f t="shared" si="43"/>
        <v>2738.3636796004339</v>
      </c>
    </row>
    <row r="24" spans="2:41" ht="14.25" customHeight="1" x14ac:dyDescent="0.35"/>
    <row r="25" spans="2:41" ht="14.5" hidden="1" x14ac:dyDescent="0.35"/>
    <row r="26" spans="2:41" ht="14.5" hidden="1" x14ac:dyDescent="0.35"/>
    <row r="27" spans="2:41" ht="14.5" hidden="1" x14ac:dyDescent="0.35">
      <c r="AD27" s="68"/>
      <c r="AE27" s="68"/>
      <c r="AF27" s="68"/>
      <c r="AG27" s="68"/>
    </row>
  </sheetData>
  <hyperlinks>
    <hyperlink ref="B3" r:id="rId1" xr:uid="{ABBECFD5-7EFF-4BFA-9021-6C67C162744C}"/>
  </hyperlinks>
  <pageMargins left="0.7" right="0.7" top="0.75" bottom="0.75" header="0.3" footer="0.3"/>
  <pageSetup paperSize="9" orientation="portrait" r:id="rId2"/>
  <ignoredErrors>
    <ignoredError sqref="AI19:AO19" formula="1"/>
    <ignoredError sqref="X13:AD14 AI11:AO12 AI14:AO14 AM13 AH13:AH14 AI8:AO8 AI9:AM9 AN9:AO9" formulaRange="1"/>
    <ignoredError sqref="AN13:AO13 AI13:AL13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PAGS | 3Q22 Results</vt:lpstr>
      <vt:lpstr>PAGS | Operating Figures</vt:lpstr>
      <vt:lpstr>PAGS | IS GAAP</vt:lpstr>
      <vt:lpstr>PAGS | IS NON-GAAP</vt:lpstr>
      <vt:lpstr>PAGS | Take Rate</vt:lpstr>
      <vt:lpstr>PAGS | Capex</vt:lpstr>
      <vt:lpstr>PAGS | Cash Flow</vt:lpstr>
      <vt:lpstr>PAGS | Total Costs and Expenses</vt:lpstr>
      <vt:lpstr>PAGS | Adjusted EBITDA</vt:lpstr>
      <vt:lpstr>PAGS | Balance Sheet</vt:lpstr>
      <vt:lpstr>PAGS | IS PagBank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Krahembuhl de Oliveira</dc:creator>
  <cp:lastModifiedBy>Ana Barbara Tsivum de Almeida Alves</cp:lastModifiedBy>
  <cp:lastPrinted>2021-05-12T20:30:22Z</cp:lastPrinted>
  <dcterms:created xsi:type="dcterms:W3CDTF">2019-05-08T01:51:37Z</dcterms:created>
  <dcterms:modified xsi:type="dcterms:W3CDTF">2022-11-22T21:39:30Z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a73fae-5dbd-458a-93e0-5fdf739dc18f_Enabled">
    <vt:lpwstr>true</vt:lpwstr>
  </property>
  <property fmtid="{D5CDD505-2E9C-101B-9397-08002B2CF9AE}" pid="3" name="MSIP_Label_f6a73fae-5dbd-458a-93e0-5fdf739dc18f_SetDate">
    <vt:lpwstr>2022-11-22T21:39:24Z</vt:lpwstr>
  </property>
  <property fmtid="{D5CDD505-2E9C-101B-9397-08002B2CF9AE}" pid="4" name="MSIP_Label_f6a73fae-5dbd-458a-93e0-5fdf739dc18f_Method">
    <vt:lpwstr>Privileged</vt:lpwstr>
  </property>
  <property fmtid="{D5CDD505-2E9C-101B-9397-08002B2CF9AE}" pid="5" name="MSIP_Label_f6a73fae-5dbd-458a-93e0-5fdf739dc18f_Name">
    <vt:lpwstr>f6a73fae-5dbd-458a-93e0-5fdf739dc18f</vt:lpwstr>
  </property>
  <property fmtid="{D5CDD505-2E9C-101B-9397-08002B2CF9AE}" pid="6" name="MSIP_Label_f6a73fae-5dbd-458a-93e0-5fdf739dc18f_SiteId">
    <vt:lpwstr>7575b092-fc5f-4f6c-b7a5-9e9ef7aca80d</vt:lpwstr>
  </property>
  <property fmtid="{D5CDD505-2E9C-101B-9397-08002B2CF9AE}" pid="7" name="MSIP_Label_f6a73fae-5dbd-458a-93e0-5fdf739dc18f_ActionId">
    <vt:lpwstr>8a5588d5-9987-4ac7-bfa9-40f0abde79e5</vt:lpwstr>
  </property>
  <property fmtid="{D5CDD505-2E9C-101B-9397-08002B2CF9AE}" pid="8" name="MSIP_Label_f6a73fae-5dbd-458a-93e0-5fdf739dc18f_ContentBits">
    <vt:lpwstr>0</vt:lpwstr>
  </property>
</Properties>
</file>