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" yWindow="30" windowWidth="11385" windowHeight="4995" tabRatio="819" activeTab="1"/>
  </bookViews>
  <sheets>
    <sheet name="RECAP OF ACCOUNTS 12-31-09" sheetId="23" r:id="rId1"/>
    <sheet name="CURRENT ACCOUNTS-07-31-15" sheetId="1" r:id="rId2"/>
    <sheet name="PASTDUE 2015" sheetId="35" r:id="rId3"/>
    <sheet name="2014 PASTDUE" sheetId="34" r:id="rId4"/>
    <sheet name="2013 PASTDUE" sheetId="33" r:id="rId5"/>
    <sheet name="2012 PASTDUE" sheetId="28" r:id="rId6"/>
    <sheet name="2011 PASTDUE" sheetId="26" r:id="rId7"/>
    <sheet name="2010 RELEASES" sheetId="24" r:id="rId8"/>
    <sheet name="P.D. RELEASED JAN-DEC.. 2009" sheetId="16" r:id="rId9"/>
    <sheet name="P.D.-RELEASED JAN-DEC 2008" sheetId="15" r:id="rId10"/>
    <sheet name="P.D. RELEASED JAN-DEC. 2007" sheetId="17" r:id="rId11"/>
    <sheet name="P.D. RELEASED JAN-DEC. 2006" sheetId="18" r:id="rId12"/>
    <sheet name="P.D. RELEASED JAN-DEC.2005" sheetId="19" r:id="rId13"/>
    <sheet name="P.D. RELEASED JAN-DEC. 2004" sheetId="20" r:id="rId14"/>
    <sheet name="P.D. RELEASED JAN-DEC. 2003" sheetId="21" r:id="rId15"/>
    <sheet name="P.D. RELEASED JAN-DEC. 2002" sheetId="22" r:id="rId16"/>
    <sheet name="SPECIAL ACCOUNT" sheetId="32" r:id="rId17"/>
    <sheet name="FOR COURT DECISION" sheetId="29" r:id="rId18"/>
    <sheet name="MISSING CLIENTS" sheetId="25" r:id="rId19"/>
    <sheet name="RIP" sheetId="31" r:id="rId20"/>
  </sheets>
  <calcPr calcId="144525"/>
</workbook>
</file>

<file path=xl/calcChain.xml><?xml version="1.0" encoding="utf-8"?>
<calcChain xmlns="http://schemas.openxmlformats.org/spreadsheetml/2006/main">
  <c r="M109" i="34" l="1"/>
  <c r="M105" i="34"/>
  <c r="L105" i="34"/>
  <c r="M106" i="34"/>
  <c r="L106" i="34"/>
  <c r="M90" i="34"/>
  <c r="L90" i="34"/>
  <c r="M69" i="34"/>
  <c r="L69" i="34"/>
  <c r="L61" i="34"/>
  <c r="L57" i="34"/>
  <c r="M57" i="34"/>
  <c r="M56" i="35"/>
  <c r="M48" i="34"/>
  <c r="M47" i="34"/>
  <c r="L47" i="34"/>
  <c r="M42" i="34"/>
  <c r="M36" i="34"/>
  <c r="L36" i="34"/>
  <c r="M34" i="34"/>
  <c r="L34" i="34"/>
  <c r="L26" i="34"/>
  <c r="M26" i="34"/>
  <c r="N24" i="1"/>
  <c r="M24" i="1"/>
  <c r="L130" i="35"/>
  <c r="M130" i="35"/>
  <c r="M118" i="35"/>
  <c r="L118" i="35"/>
  <c r="M121" i="35"/>
  <c r="L121" i="35"/>
  <c r="M113" i="35"/>
  <c r="L113" i="35"/>
  <c r="M112" i="35"/>
  <c r="L112" i="35"/>
  <c r="L110" i="35"/>
  <c r="M110" i="35"/>
  <c r="L94" i="35"/>
  <c r="M94" i="35"/>
  <c r="L63" i="35"/>
  <c r="M50" i="35"/>
  <c r="M51" i="35"/>
  <c r="L51" i="35"/>
  <c r="M42" i="35"/>
  <c r="L42" i="35"/>
  <c r="L30" i="35"/>
  <c r="M30" i="35"/>
  <c r="L13" i="35"/>
  <c r="M13" i="35"/>
  <c r="M12" i="35"/>
  <c r="L12" i="35"/>
  <c r="M9" i="35"/>
  <c r="M135" i="35"/>
  <c r="L135" i="35"/>
  <c r="M134" i="35"/>
  <c r="L134" i="35"/>
  <c r="M133" i="35"/>
  <c r="L133" i="35"/>
  <c r="M132" i="35"/>
  <c r="L132" i="35"/>
  <c r="M131" i="35"/>
  <c r="L131" i="35"/>
  <c r="M127" i="35"/>
  <c r="L127" i="35"/>
  <c r="M126" i="35"/>
  <c r="L126" i="35"/>
  <c r="M125" i="35"/>
  <c r="L125" i="35"/>
  <c r="M124" i="35"/>
  <c r="L124" i="35"/>
  <c r="M123" i="35"/>
  <c r="L123" i="35"/>
  <c r="M120" i="35"/>
  <c r="L120" i="35"/>
  <c r="M119" i="35"/>
  <c r="L119" i="35"/>
  <c r="M117" i="35"/>
  <c r="L117" i="35"/>
  <c r="M115" i="35"/>
  <c r="L115" i="35"/>
  <c r="M114" i="35"/>
  <c r="L114" i="35"/>
  <c r="M111" i="35"/>
  <c r="L111" i="35"/>
  <c r="M109" i="35"/>
  <c r="L109" i="35"/>
  <c r="M108" i="35"/>
  <c r="L108" i="35"/>
  <c r="M106" i="35"/>
  <c r="L106" i="35"/>
  <c r="M105" i="35"/>
  <c r="L105" i="35"/>
  <c r="M104" i="35"/>
  <c r="L104" i="35"/>
  <c r="M103" i="35"/>
  <c r="L103" i="35"/>
  <c r="M102" i="35"/>
  <c r="L102" i="35"/>
  <c r="M101" i="35"/>
  <c r="L101" i="35"/>
  <c r="M100" i="35"/>
  <c r="L100" i="35"/>
  <c r="M99" i="35"/>
  <c r="L99" i="35"/>
  <c r="M98" i="35"/>
  <c r="L98" i="35"/>
  <c r="M97" i="35"/>
  <c r="L97" i="35"/>
  <c r="M96" i="35"/>
  <c r="L96" i="35"/>
  <c r="M92" i="35"/>
  <c r="L92" i="35"/>
  <c r="M91" i="35"/>
  <c r="L91" i="35"/>
  <c r="M90" i="35"/>
  <c r="L90" i="35"/>
  <c r="M89" i="35"/>
  <c r="L89" i="35"/>
  <c r="M88" i="35"/>
  <c r="L88" i="35"/>
  <c r="M87" i="35"/>
  <c r="L87" i="35"/>
  <c r="M86" i="35"/>
  <c r="L86" i="35"/>
  <c r="M85" i="35"/>
  <c r="L85" i="35"/>
  <c r="M84" i="35"/>
  <c r="L84" i="35"/>
  <c r="M83" i="35"/>
  <c r="L83" i="35"/>
  <c r="M82" i="35"/>
  <c r="L82" i="35"/>
  <c r="M78" i="35"/>
  <c r="L78" i="35"/>
  <c r="M77" i="35"/>
  <c r="L77" i="35"/>
  <c r="M76" i="35"/>
  <c r="L76" i="35"/>
  <c r="M75" i="35"/>
  <c r="L75" i="35"/>
  <c r="M74" i="35"/>
  <c r="L74" i="35"/>
  <c r="M73" i="35"/>
  <c r="L73" i="35"/>
  <c r="M72" i="35"/>
  <c r="L72" i="35"/>
  <c r="M71" i="35"/>
  <c r="L71" i="35"/>
  <c r="M70" i="35"/>
  <c r="L70" i="35"/>
  <c r="M69" i="35"/>
  <c r="L69" i="35"/>
  <c r="M68" i="35"/>
  <c r="L68" i="35"/>
  <c r="M67" i="35"/>
  <c r="L67" i="35"/>
  <c r="M65" i="35"/>
  <c r="L65" i="35"/>
  <c r="M64" i="35"/>
  <c r="L64" i="35"/>
  <c r="M62" i="35"/>
  <c r="L62" i="35"/>
  <c r="M61" i="35"/>
  <c r="L61" i="35"/>
  <c r="M60" i="35"/>
  <c r="L60" i="35"/>
  <c r="M59" i="35"/>
  <c r="L59" i="35"/>
  <c r="M58" i="35"/>
  <c r="L58" i="35"/>
  <c r="M57" i="35"/>
  <c r="L57" i="35"/>
  <c r="M55" i="35"/>
  <c r="L55" i="35"/>
  <c r="M53" i="35"/>
  <c r="L53" i="35"/>
  <c r="M52" i="35"/>
  <c r="L52" i="35"/>
  <c r="M49" i="35"/>
  <c r="L49" i="35"/>
  <c r="M48" i="35"/>
  <c r="L48" i="35"/>
  <c r="M47" i="35"/>
  <c r="L47" i="35"/>
  <c r="M45" i="35"/>
  <c r="L45" i="35"/>
  <c r="M43" i="35"/>
  <c r="L43" i="35"/>
  <c r="M41" i="35"/>
  <c r="L41" i="35"/>
  <c r="M40" i="35"/>
  <c r="L40" i="35"/>
  <c r="M39" i="35"/>
  <c r="L39" i="35"/>
  <c r="M37" i="35"/>
  <c r="L37" i="35"/>
  <c r="M36" i="35"/>
  <c r="L36" i="35"/>
  <c r="M34" i="35"/>
  <c r="L34" i="35"/>
  <c r="M32" i="35"/>
  <c r="L32" i="35"/>
  <c r="M31" i="35"/>
  <c r="L31" i="35"/>
  <c r="M28" i="35"/>
  <c r="L28" i="35"/>
  <c r="M27" i="35"/>
  <c r="L27" i="35"/>
  <c r="M26" i="35"/>
  <c r="L26" i="35"/>
  <c r="M24" i="35"/>
  <c r="L24" i="35"/>
  <c r="M23" i="35"/>
  <c r="L23" i="35"/>
  <c r="M22" i="35"/>
  <c r="L22" i="35"/>
  <c r="M21" i="35"/>
  <c r="L21" i="35"/>
  <c r="M20" i="35"/>
  <c r="L20" i="35"/>
  <c r="M18" i="35"/>
  <c r="L18" i="35"/>
  <c r="M17" i="35"/>
  <c r="L17" i="35"/>
  <c r="M16" i="35"/>
  <c r="L16" i="35"/>
  <c r="M15" i="35"/>
  <c r="L15" i="35"/>
  <c r="M14" i="35"/>
  <c r="L14" i="35"/>
  <c r="M11" i="35"/>
  <c r="L11" i="35"/>
  <c r="L9" i="35"/>
  <c r="M10" i="35"/>
  <c r="L10" i="35"/>
  <c r="M332" i="1" l="1"/>
  <c r="M228" i="1"/>
  <c r="M79" i="1"/>
  <c r="M31" i="1"/>
  <c r="M30" i="1"/>
  <c r="N344" i="1"/>
  <c r="N343" i="1"/>
  <c r="N342" i="1"/>
  <c r="N300" i="1"/>
  <c r="N15" i="1"/>
  <c r="N11" i="1"/>
  <c r="N10" i="1"/>
  <c r="N132" i="1"/>
  <c r="N228" i="1"/>
  <c r="M208" i="1"/>
  <c r="M206" i="1"/>
  <c r="M203" i="1"/>
  <c r="M176" i="1"/>
  <c r="M171" i="1"/>
  <c r="N176" i="1"/>
  <c r="L116" i="35" l="1"/>
  <c r="M116" i="35"/>
  <c r="N332" i="1"/>
  <c r="E332" i="1"/>
  <c r="F332" i="1"/>
  <c r="N328" i="1"/>
  <c r="E328" i="1"/>
  <c r="F328" i="1"/>
  <c r="E76" i="1"/>
  <c r="N171" i="1" l="1"/>
  <c r="M170" i="1"/>
  <c r="M168" i="1"/>
  <c r="N170" i="1"/>
  <c r="N168" i="1"/>
  <c r="M140" i="1"/>
  <c r="M139" i="1"/>
  <c r="N140" i="1"/>
  <c r="N139" i="1"/>
  <c r="M129" i="1"/>
  <c r="N129" i="1"/>
  <c r="N79" i="1"/>
  <c r="E79" i="1"/>
  <c r="N277" i="1"/>
  <c r="M277" i="1"/>
  <c r="M371" i="1"/>
  <c r="M369" i="1"/>
  <c r="M361" i="1"/>
  <c r="M343" i="1"/>
  <c r="M342" i="1"/>
  <c r="M341" i="1"/>
  <c r="M340" i="1"/>
  <c r="M339" i="1"/>
  <c r="M338" i="1"/>
  <c r="M327" i="1"/>
  <c r="M334" i="1"/>
  <c r="M325" i="1"/>
  <c r="M320" i="1"/>
  <c r="M318" i="1"/>
  <c r="M316" i="1"/>
  <c r="M309" i="1"/>
  <c r="M306" i="1"/>
  <c r="M300" i="1"/>
  <c r="M286" i="1"/>
  <c r="M281" i="1"/>
  <c r="M276" i="1"/>
  <c r="M275" i="1"/>
  <c r="M271" i="1"/>
  <c r="M261" i="1"/>
  <c r="M259" i="1"/>
  <c r="M258" i="1"/>
  <c r="M257" i="1"/>
  <c r="M256" i="1"/>
  <c r="M255" i="1"/>
  <c r="M252" i="1"/>
  <c r="M246" i="1"/>
  <c r="M244" i="1"/>
  <c r="M243" i="1"/>
  <c r="M236" i="1"/>
  <c r="M232" i="1"/>
  <c r="M230" i="1"/>
  <c r="M229" i="1"/>
  <c r="M223" i="1"/>
  <c r="M219" i="1"/>
  <c r="M217" i="1"/>
  <c r="M216" i="1"/>
  <c r="M213" i="1"/>
  <c r="M212" i="1"/>
  <c r="M182" i="1"/>
  <c r="M181" i="1"/>
  <c r="M177" i="1"/>
  <c r="M175" i="1"/>
  <c r="M169" i="1"/>
  <c r="M167" i="1"/>
  <c r="M166" i="1"/>
  <c r="M160" i="1"/>
  <c r="M165" i="1"/>
  <c r="M156" i="1"/>
  <c r="M154" i="1"/>
  <c r="M145" i="1"/>
  <c r="M141" i="1"/>
  <c r="M138" i="1"/>
  <c r="M135" i="1"/>
  <c r="M131" i="1"/>
  <c r="M126" i="1"/>
  <c r="M43" i="1"/>
  <c r="M42" i="1"/>
  <c r="M11" i="1"/>
  <c r="M10" i="1"/>
  <c r="M15" i="1"/>
  <c r="M13" i="1"/>
  <c r="M35" i="1"/>
  <c r="M47" i="1"/>
  <c r="M45" i="1"/>
  <c r="M53" i="1"/>
  <c r="M58" i="1"/>
  <c r="M57" i="1"/>
  <c r="M56" i="1"/>
  <c r="M62" i="1"/>
  <c r="M72" i="1"/>
  <c r="M71" i="1"/>
  <c r="M73" i="1"/>
  <c r="M77" i="1"/>
  <c r="M76" i="1"/>
  <c r="M124" i="1"/>
  <c r="M113" i="1"/>
  <c r="M108" i="1"/>
  <c r="M105" i="1"/>
  <c r="M104" i="1"/>
  <c r="M96" i="1"/>
  <c r="M97" i="1"/>
  <c r="M91" i="1"/>
  <c r="M95" i="1"/>
  <c r="M90" i="1"/>
  <c r="M84" i="1"/>
  <c r="N84" i="1"/>
  <c r="N156" i="1"/>
  <c r="N160" i="1"/>
  <c r="N95" i="1"/>
  <c r="E95" i="1"/>
  <c r="N43" i="1"/>
  <c r="N369" i="1"/>
  <c r="N371" i="1"/>
  <c r="N361" i="1"/>
  <c r="E361" i="1"/>
  <c r="F361" i="1"/>
  <c r="N357" i="1"/>
  <c r="M358" i="1"/>
  <c r="N358" i="1"/>
  <c r="N334" i="1"/>
  <c r="E334" i="1"/>
  <c r="F334" i="1"/>
  <c r="N327" i="1"/>
  <c r="E327" i="1"/>
  <c r="F327" i="1"/>
  <c r="N318" i="1"/>
  <c r="E318" i="1"/>
  <c r="F318" i="1"/>
  <c r="N316" i="1"/>
  <c r="E316" i="1"/>
  <c r="F316" i="1"/>
  <c r="N320" i="1"/>
  <c r="E320" i="1"/>
  <c r="F320" i="1"/>
  <c r="N341" i="1"/>
  <c r="N340" i="1"/>
  <c r="N339" i="1"/>
  <c r="N338" i="1"/>
  <c r="N325" i="1"/>
  <c r="E325" i="1"/>
  <c r="F325" i="1"/>
  <c r="N281" i="1"/>
  <c r="E281" i="1"/>
  <c r="F281" i="1"/>
  <c r="N286" i="1"/>
  <c r="E286" i="1"/>
  <c r="F286" i="1"/>
  <c r="N306" i="1"/>
  <c r="N309" i="1"/>
  <c r="N275" i="1"/>
  <c r="N261" i="1"/>
  <c r="N271" i="1"/>
  <c r="N276" i="1"/>
  <c r="N259" i="1"/>
  <c r="N258" i="1"/>
  <c r="N252" i="1"/>
  <c r="E252" i="1"/>
  <c r="N244" i="1"/>
  <c r="N257" i="1"/>
  <c r="E257" i="1"/>
  <c r="F257" i="1"/>
  <c r="N256" i="1"/>
  <c r="E256" i="1"/>
  <c r="F256" i="1"/>
  <c r="N255" i="1"/>
  <c r="E255" i="1"/>
  <c r="F255" i="1"/>
  <c r="N243" i="1"/>
  <c r="N246" i="1"/>
  <c r="N229" i="1"/>
  <c r="N230" i="1"/>
  <c r="N232" i="1"/>
  <c r="N236" i="1"/>
  <c r="N219" i="1"/>
  <c r="N223" i="1"/>
  <c r="N208" i="1"/>
  <c r="N216" i="1"/>
  <c r="N206" i="1"/>
  <c r="N213" i="1"/>
  <c r="N217" i="1"/>
  <c r="N203" i="1"/>
  <c r="N212" i="1"/>
  <c r="N175" i="1"/>
  <c r="E175" i="1"/>
  <c r="N177" i="1"/>
  <c r="E177" i="1"/>
  <c r="N182" i="1"/>
  <c r="E182" i="1"/>
  <c r="F182" i="1"/>
  <c r="N181" i="1"/>
  <c r="E181" i="1"/>
  <c r="F181" i="1"/>
  <c r="N169" i="1" l="1"/>
  <c r="N167" i="1"/>
  <c r="N165" i="1"/>
  <c r="N166" i="1"/>
  <c r="N154" i="1"/>
  <c r="M63" i="35"/>
  <c r="N148" i="1"/>
  <c r="N145" i="1"/>
  <c r="N141" i="1"/>
  <c r="N138" i="1"/>
  <c r="N126" i="1"/>
  <c r="N124" i="1"/>
  <c r="N135" i="1"/>
  <c r="N131" i="1"/>
  <c r="N108" i="1"/>
  <c r="N113" i="1"/>
  <c r="M46" i="35"/>
  <c r="L46" i="35"/>
  <c r="M44" i="35"/>
  <c r="L44" i="35"/>
  <c r="N105" i="1"/>
  <c r="E105" i="1"/>
  <c r="F105" i="1"/>
  <c r="N96" i="1"/>
  <c r="E96" i="1"/>
  <c r="F96" i="1"/>
  <c r="N91" i="1"/>
  <c r="E91" i="1"/>
  <c r="N97" i="1"/>
  <c r="N90" i="1"/>
  <c r="E90" i="1"/>
  <c r="N104" i="1"/>
  <c r="E104" i="1"/>
  <c r="F104" i="1"/>
  <c r="N53" i="1"/>
  <c r="E53" i="1"/>
  <c r="N73" i="1"/>
  <c r="E73" i="1"/>
  <c r="N72" i="1"/>
  <c r="E72" i="1"/>
  <c r="N71" i="1"/>
  <c r="E71" i="1"/>
  <c r="N58" i="1"/>
  <c r="E58" i="1"/>
  <c r="N62" i="1"/>
  <c r="E62" i="1"/>
  <c r="F62" i="1"/>
  <c r="N47" i="1"/>
  <c r="N57" i="1"/>
  <c r="E57" i="1"/>
  <c r="N45" i="1"/>
  <c r="N76" i="1"/>
  <c r="N77" i="1"/>
  <c r="E77" i="1"/>
  <c r="N56" i="1"/>
  <c r="E56" i="1"/>
  <c r="M25" i="35"/>
  <c r="L25" i="35"/>
  <c r="M365" i="1"/>
  <c r="N365" i="1"/>
  <c r="N17" i="1"/>
  <c r="M17" i="1"/>
  <c r="N13" i="1"/>
  <c r="N42" i="1"/>
  <c r="N30" i="1"/>
  <c r="N35" i="1"/>
  <c r="M38" i="1"/>
  <c r="N38" i="1"/>
  <c r="M40" i="1"/>
  <c r="N40" i="1"/>
  <c r="N31" i="1"/>
  <c r="M9" i="1" l="1"/>
  <c r="N9" i="1"/>
  <c r="M121" i="34"/>
  <c r="L121" i="34"/>
  <c r="M120" i="34"/>
  <c r="L120" i="34"/>
  <c r="M114" i="34"/>
  <c r="L114" i="34"/>
  <c r="M101" i="34"/>
  <c r="L101" i="34"/>
  <c r="M100" i="34"/>
  <c r="L100" i="34"/>
  <c r="M95" i="34"/>
  <c r="L95" i="34"/>
  <c r="M79" i="34"/>
  <c r="L79" i="34"/>
  <c r="M46" i="34"/>
  <c r="L46" i="34"/>
  <c r="M53" i="34"/>
  <c r="L53" i="34"/>
  <c r="M60" i="34"/>
  <c r="L60" i="34"/>
  <c r="M64" i="34"/>
  <c r="L64" i="34"/>
  <c r="M77" i="34"/>
  <c r="L77" i="34"/>
  <c r="M72" i="34"/>
  <c r="L72" i="34"/>
  <c r="M67" i="34"/>
  <c r="L67" i="34"/>
  <c r="K122" i="34"/>
  <c r="J122" i="34"/>
  <c r="I122" i="34"/>
  <c r="H122" i="34"/>
  <c r="G122" i="34"/>
  <c r="F122" i="34"/>
  <c r="E122" i="34"/>
  <c r="N372" i="1"/>
  <c r="M372" i="1"/>
  <c r="N370" i="1"/>
  <c r="M370" i="1"/>
  <c r="N368" i="1"/>
  <c r="M368" i="1"/>
  <c r="N367" i="1"/>
  <c r="M367" i="1"/>
  <c r="N366" i="1"/>
  <c r="M366" i="1"/>
  <c r="N364" i="1"/>
  <c r="M364" i="1"/>
  <c r="N363" i="1"/>
  <c r="M363" i="1"/>
  <c r="N362" i="1"/>
  <c r="M362" i="1"/>
  <c r="N360" i="1"/>
  <c r="M360" i="1"/>
  <c r="N359" i="1"/>
  <c r="M359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37" i="1"/>
  <c r="M337" i="1"/>
  <c r="N336" i="1"/>
  <c r="M336" i="1"/>
  <c r="N335" i="1"/>
  <c r="M335" i="1"/>
  <c r="N333" i="1"/>
  <c r="M333" i="1"/>
  <c r="N331" i="1"/>
  <c r="M331" i="1"/>
  <c r="N330" i="1"/>
  <c r="M330" i="1"/>
  <c r="N329" i="1"/>
  <c r="M329" i="1"/>
  <c r="N326" i="1"/>
  <c r="M326" i="1"/>
  <c r="N324" i="1"/>
  <c r="M324" i="1"/>
  <c r="N323" i="1"/>
  <c r="M323" i="1"/>
  <c r="N322" i="1"/>
  <c r="M322" i="1"/>
  <c r="N321" i="1"/>
  <c r="M321" i="1"/>
  <c r="N319" i="1"/>
  <c r="M319" i="1"/>
  <c r="N317" i="1"/>
  <c r="M317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8" i="1"/>
  <c r="M308" i="1"/>
  <c r="N307" i="1"/>
  <c r="M307" i="1"/>
  <c r="N305" i="1"/>
  <c r="M305" i="1"/>
  <c r="N304" i="1"/>
  <c r="M304" i="1"/>
  <c r="N303" i="1"/>
  <c r="M303" i="1"/>
  <c r="N302" i="1"/>
  <c r="M302" i="1"/>
  <c r="N301" i="1"/>
  <c r="M301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5" i="1"/>
  <c r="M285" i="1"/>
  <c r="N284" i="1"/>
  <c r="M284" i="1"/>
  <c r="N283" i="1"/>
  <c r="M283" i="1"/>
  <c r="N282" i="1"/>
  <c r="M282" i="1"/>
  <c r="N280" i="1"/>
  <c r="M280" i="1"/>
  <c r="N279" i="1"/>
  <c r="M279" i="1"/>
  <c r="N278" i="1"/>
  <c r="M278" i="1"/>
  <c r="N274" i="1"/>
  <c r="M274" i="1"/>
  <c r="N273" i="1"/>
  <c r="M273" i="1"/>
  <c r="N272" i="1"/>
  <c r="M272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0" i="1"/>
  <c r="M260" i="1"/>
  <c r="N254" i="1"/>
  <c r="M254" i="1"/>
  <c r="N253" i="1"/>
  <c r="M253" i="1"/>
  <c r="N251" i="1"/>
  <c r="M251" i="1"/>
  <c r="N250" i="1"/>
  <c r="M250" i="1"/>
  <c r="N249" i="1"/>
  <c r="M249" i="1"/>
  <c r="N248" i="1"/>
  <c r="M248" i="1"/>
  <c r="N247" i="1"/>
  <c r="M247" i="1"/>
  <c r="N245" i="1"/>
  <c r="M245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5" i="1"/>
  <c r="M235" i="1"/>
  <c r="N234" i="1"/>
  <c r="M234" i="1"/>
  <c r="N233" i="1"/>
  <c r="M233" i="1"/>
  <c r="N231" i="1"/>
  <c r="M231" i="1"/>
  <c r="N227" i="1"/>
  <c r="M227" i="1"/>
  <c r="N226" i="1"/>
  <c r="M226" i="1"/>
  <c r="N225" i="1"/>
  <c r="M225" i="1"/>
  <c r="N224" i="1"/>
  <c r="M224" i="1"/>
  <c r="N222" i="1"/>
  <c r="M222" i="1"/>
  <c r="N221" i="1"/>
  <c r="M221" i="1"/>
  <c r="N220" i="1"/>
  <c r="M220" i="1"/>
  <c r="N218" i="1"/>
  <c r="M218" i="1"/>
  <c r="N215" i="1"/>
  <c r="M215" i="1"/>
  <c r="N214" i="1"/>
  <c r="M214" i="1"/>
  <c r="N211" i="1"/>
  <c r="M211" i="1"/>
  <c r="N210" i="1"/>
  <c r="M210" i="1"/>
  <c r="N209" i="1"/>
  <c r="M209" i="1"/>
  <c r="N207" i="1"/>
  <c r="M207" i="1"/>
  <c r="N205" i="1"/>
  <c r="M205" i="1"/>
  <c r="N204" i="1"/>
  <c r="M204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0" i="1"/>
  <c r="M180" i="1"/>
  <c r="N179" i="1"/>
  <c r="M179" i="1"/>
  <c r="N178" i="1"/>
  <c r="M178" i="1"/>
  <c r="N174" i="1"/>
  <c r="M174" i="1"/>
  <c r="N173" i="1"/>
  <c r="M173" i="1"/>
  <c r="N172" i="1"/>
  <c r="M172" i="1"/>
  <c r="N164" i="1"/>
  <c r="M164" i="1"/>
  <c r="N163" i="1"/>
  <c r="M163" i="1"/>
  <c r="N162" i="1"/>
  <c r="M162" i="1"/>
  <c r="N161" i="1"/>
  <c r="M161" i="1"/>
  <c r="N159" i="1"/>
  <c r="M159" i="1"/>
  <c r="N158" i="1"/>
  <c r="M158" i="1"/>
  <c r="N157" i="1"/>
  <c r="M157" i="1"/>
  <c r="N155" i="1"/>
  <c r="M155" i="1"/>
  <c r="N153" i="1"/>
  <c r="M153" i="1"/>
  <c r="N152" i="1"/>
  <c r="M152" i="1"/>
  <c r="N151" i="1"/>
  <c r="M151" i="1"/>
  <c r="N150" i="1"/>
  <c r="M150" i="1"/>
  <c r="N149" i="1"/>
  <c r="M149" i="1"/>
  <c r="N147" i="1"/>
  <c r="M147" i="1"/>
  <c r="N146" i="1"/>
  <c r="M146" i="1"/>
  <c r="N144" i="1"/>
  <c r="M144" i="1"/>
  <c r="N143" i="1"/>
  <c r="M143" i="1"/>
  <c r="N142" i="1"/>
  <c r="M142" i="1"/>
  <c r="N137" i="1"/>
  <c r="M137" i="1"/>
  <c r="N136" i="1"/>
  <c r="M136" i="1"/>
  <c r="N134" i="1"/>
  <c r="M134" i="1"/>
  <c r="N133" i="1"/>
  <c r="M133" i="1"/>
  <c r="N130" i="1"/>
  <c r="M130" i="1"/>
  <c r="N128" i="1"/>
  <c r="M128" i="1"/>
  <c r="N127" i="1"/>
  <c r="M127" i="1"/>
  <c r="N125" i="1"/>
  <c r="M125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2" i="1"/>
  <c r="M112" i="1"/>
  <c r="N111" i="1"/>
  <c r="M111" i="1"/>
  <c r="N110" i="1"/>
  <c r="M110" i="1"/>
  <c r="N109" i="1"/>
  <c r="M109" i="1"/>
  <c r="N107" i="1"/>
  <c r="M107" i="1"/>
  <c r="N106" i="1"/>
  <c r="M106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4" i="1"/>
  <c r="M94" i="1"/>
  <c r="N93" i="1"/>
  <c r="M93" i="1"/>
  <c r="N92" i="1"/>
  <c r="M92" i="1"/>
  <c r="N89" i="1"/>
  <c r="M89" i="1"/>
  <c r="N88" i="1"/>
  <c r="M88" i="1"/>
  <c r="N87" i="1"/>
  <c r="M87" i="1"/>
  <c r="N86" i="1"/>
  <c r="M86" i="1"/>
  <c r="N85" i="1"/>
  <c r="M85" i="1"/>
  <c r="N83" i="1"/>
  <c r="M83" i="1"/>
  <c r="N82" i="1"/>
  <c r="M82" i="1"/>
  <c r="N81" i="1"/>
  <c r="M81" i="1"/>
  <c r="N80" i="1"/>
  <c r="M80" i="1"/>
  <c r="N78" i="1"/>
  <c r="M78" i="1"/>
  <c r="N75" i="1"/>
  <c r="M75" i="1"/>
  <c r="N74" i="1"/>
  <c r="M74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1" i="1"/>
  <c r="M61" i="1"/>
  <c r="N60" i="1"/>
  <c r="M60" i="1"/>
  <c r="N59" i="1"/>
  <c r="M59" i="1"/>
  <c r="N55" i="1"/>
  <c r="M55" i="1"/>
  <c r="N54" i="1"/>
  <c r="M54" i="1"/>
  <c r="N52" i="1"/>
  <c r="M52" i="1"/>
  <c r="N51" i="1"/>
  <c r="M51" i="1"/>
  <c r="N50" i="1"/>
  <c r="M50" i="1"/>
  <c r="N49" i="1"/>
  <c r="M49" i="1"/>
  <c r="N48" i="1"/>
  <c r="M48" i="1"/>
  <c r="N46" i="1"/>
  <c r="M46" i="1"/>
  <c r="N44" i="1"/>
  <c r="M44" i="1"/>
  <c r="N41" i="1"/>
  <c r="M41" i="1"/>
  <c r="N39" i="1"/>
  <c r="M39" i="1"/>
  <c r="N36" i="1"/>
  <c r="M36" i="1"/>
  <c r="N34" i="1"/>
  <c r="M34" i="1"/>
  <c r="N37" i="1"/>
  <c r="M37" i="1"/>
  <c r="N33" i="1"/>
  <c r="M33" i="1"/>
  <c r="N32" i="1"/>
  <c r="M32" i="1"/>
  <c r="N29" i="1"/>
  <c r="M29" i="1"/>
  <c r="N28" i="1"/>
  <c r="M28" i="1"/>
  <c r="N27" i="1"/>
  <c r="M27" i="1"/>
  <c r="N26" i="1"/>
  <c r="M26" i="1"/>
  <c r="N25" i="1"/>
  <c r="M25" i="1"/>
  <c r="N23" i="1"/>
  <c r="M23" i="1"/>
  <c r="N22" i="1"/>
  <c r="M22" i="1"/>
  <c r="N21" i="1"/>
  <c r="M21" i="1"/>
  <c r="N20" i="1"/>
  <c r="M20" i="1"/>
  <c r="N19" i="1"/>
  <c r="M19" i="1"/>
  <c r="N18" i="1"/>
  <c r="M18" i="1"/>
  <c r="N16" i="1"/>
  <c r="M16" i="1"/>
  <c r="N373" i="1"/>
  <c r="M373" i="1"/>
  <c r="N14" i="1"/>
  <c r="M14" i="1"/>
  <c r="N12" i="1"/>
  <c r="M12" i="1"/>
  <c r="N8" i="1"/>
  <c r="M8" i="1"/>
  <c r="E359" i="1"/>
  <c r="F359" i="1"/>
  <c r="L66" i="35"/>
  <c r="M66" i="35"/>
  <c r="E323" i="1"/>
  <c r="F323" i="1"/>
  <c r="M61" i="34"/>
  <c r="L58" i="34"/>
  <c r="M58" i="34"/>
  <c r="M54" i="34"/>
  <c r="L54" i="34"/>
  <c r="M115" i="34"/>
  <c r="L115" i="34"/>
  <c r="M113" i="34"/>
  <c r="L113" i="34"/>
  <c r="M107" i="34"/>
  <c r="L107" i="34"/>
  <c r="M104" i="34"/>
  <c r="L104" i="34"/>
  <c r="M99" i="34"/>
  <c r="L99" i="34"/>
  <c r="M96" i="34"/>
  <c r="L96" i="34"/>
  <c r="M86" i="34"/>
  <c r="L86" i="34"/>
  <c r="M87" i="34"/>
  <c r="L87" i="34"/>
  <c r="M83" i="34"/>
  <c r="L83" i="34"/>
  <c r="M82" i="34"/>
  <c r="L82" i="34"/>
  <c r="M84" i="34"/>
  <c r="L84" i="34"/>
  <c r="M70" i="34"/>
  <c r="L70" i="34"/>
  <c r="M59" i="34"/>
  <c r="L59" i="34"/>
  <c r="M51" i="34"/>
  <c r="L51" i="34"/>
  <c r="M39" i="34"/>
  <c r="L39" i="34"/>
  <c r="M38" i="34"/>
  <c r="L38" i="34"/>
  <c r="M10" i="34"/>
  <c r="L10" i="34"/>
  <c r="M15" i="34"/>
  <c r="L15" i="34"/>
  <c r="M30" i="34"/>
  <c r="L30" i="34"/>
  <c r="M29" i="34"/>
  <c r="L29" i="34"/>
  <c r="M28" i="34"/>
  <c r="L28" i="34"/>
  <c r="M17" i="34"/>
  <c r="L17" i="34"/>
  <c r="M18" i="34"/>
  <c r="L18" i="34"/>
  <c r="M20" i="34"/>
  <c r="L20" i="34"/>
  <c r="M19" i="34"/>
  <c r="L19" i="34"/>
  <c r="M29" i="35"/>
  <c r="L29" i="35"/>
  <c r="M8" i="35"/>
  <c r="L8" i="35"/>
  <c r="E102" i="1"/>
  <c r="F102" i="1"/>
  <c r="E55" i="1"/>
  <c r="E362" i="1"/>
  <c r="F362" i="1"/>
  <c r="E329" i="1"/>
  <c r="F329" i="1"/>
  <c r="E324" i="1"/>
  <c r="F324" i="1"/>
  <c r="E284" i="1"/>
  <c r="F284" i="1"/>
  <c r="E254" i="1"/>
  <c r="F254" i="1"/>
  <c r="E253" i="1"/>
  <c r="F253" i="1"/>
  <c r="E101" i="1"/>
  <c r="F101" i="1"/>
  <c r="E94" i="1"/>
  <c r="F94" i="1"/>
  <c r="E64" i="1"/>
  <c r="E65" i="1"/>
  <c r="K136" i="35"/>
  <c r="J136" i="35"/>
  <c r="I136" i="35"/>
  <c r="H136" i="35"/>
  <c r="G136" i="35"/>
  <c r="F136" i="35"/>
  <c r="E136" i="35"/>
  <c r="M129" i="35"/>
  <c r="L129" i="35"/>
  <c r="M128" i="35"/>
  <c r="L128" i="35"/>
  <c r="M122" i="35"/>
  <c r="L122" i="35"/>
  <c r="M107" i="35"/>
  <c r="L107" i="35"/>
  <c r="M93" i="35"/>
  <c r="L93" i="35"/>
  <c r="M95" i="35"/>
  <c r="L95" i="35"/>
  <c r="M81" i="35"/>
  <c r="L81" i="35"/>
  <c r="M80" i="35"/>
  <c r="L80" i="35"/>
  <c r="M79" i="35"/>
  <c r="L79" i="35"/>
  <c r="M54" i="35"/>
  <c r="L54" i="35"/>
  <c r="M38" i="35"/>
  <c r="L38" i="35"/>
  <c r="M35" i="35"/>
  <c r="L35" i="35"/>
  <c r="M33" i="35"/>
  <c r="L33" i="35"/>
  <c r="M19" i="35"/>
  <c r="M136" i="35" s="1"/>
  <c r="L19" i="35"/>
  <c r="L136" i="35" s="1"/>
  <c r="E322" i="1"/>
  <c r="F322" i="1" s="1"/>
  <c r="E326" i="1"/>
  <c r="F326" i="1" s="1"/>
  <c r="E283" i="1"/>
  <c r="F283" i="1"/>
  <c r="E67" i="1"/>
  <c r="E69" i="1"/>
  <c r="E317" i="1"/>
  <c r="F317" i="1" s="1"/>
  <c r="L374" i="1"/>
  <c r="K374" i="1"/>
  <c r="J374" i="1"/>
  <c r="I374" i="1"/>
  <c r="H374" i="1"/>
  <c r="G374" i="1"/>
  <c r="M118" i="34"/>
  <c r="L118" i="34"/>
  <c r="M119" i="34"/>
  <c r="L119" i="34"/>
  <c r="M117" i="34"/>
  <c r="L117" i="34"/>
  <c r="M116" i="34"/>
  <c r="L116" i="34"/>
  <c r="M111" i="34"/>
  <c r="L111" i="34"/>
  <c r="M112" i="34"/>
  <c r="L112" i="34"/>
  <c r="M108" i="34"/>
  <c r="L108" i="34"/>
  <c r="M102" i="34"/>
  <c r="L102" i="34"/>
  <c r="M94" i="34"/>
  <c r="L94" i="34"/>
  <c r="M93" i="34"/>
  <c r="L93" i="34"/>
  <c r="M88" i="34"/>
  <c r="L88" i="34"/>
  <c r="M91" i="34"/>
  <c r="L91" i="34"/>
  <c r="M89" i="34"/>
  <c r="L89" i="34"/>
  <c r="M85" i="34"/>
  <c r="L85" i="34"/>
  <c r="M80" i="34"/>
  <c r="L80" i="34"/>
  <c r="M78" i="34"/>
  <c r="L78" i="34"/>
  <c r="M75" i="34"/>
  <c r="L75" i="34"/>
  <c r="M74" i="34"/>
  <c r="L74" i="34"/>
  <c r="M73" i="34"/>
  <c r="L73" i="34"/>
  <c r="M71" i="34"/>
  <c r="L71" i="34"/>
  <c r="M68" i="34"/>
  <c r="L68" i="34"/>
  <c r="M66" i="34"/>
  <c r="L66" i="34"/>
  <c r="M65" i="34"/>
  <c r="L65" i="34"/>
  <c r="M63" i="34"/>
  <c r="L63" i="34"/>
  <c r="M55" i="34"/>
  <c r="L55" i="34"/>
  <c r="M52" i="34"/>
  <c r="L52" i="34"/>
  <c r="M50" i="34"/>
  <c r="L50" i="34"/>
  <c r="M45" i="34"/>
  <c r="L45" i="34"/>
  <c r="M44" i="34"/>
  <c r="L44" i="34"/>
  <c r="M43" i="34"/>
  <c r="L43" i="34"/>
  <c r="M41" i="34"/>
  <c r="L41" i="34"/>
  <c r="M40" i="34"/>
  <c r="L40" i="34"/>
  <c r="M37" i="34"/>
  <c r="L37" i="34"/>
  <c r="M35" i="34"/>
  <c r="L35" i="34"/>
  <c r="M33" i="34"/>
  <c r="L33" i="34"/>
  <c r="M32" i="34"/>
  <c r="L32" i="34"/>
  <c r="M31" i="34"/>
  <c r="L31" i="34"/>
  <c r="M22" i="34"/>
  <c r="L22" i="34"/>
  <c r="E310" i="1"/>
  <c r="F310" i="1"/>
  <c r="E289" i="1"/>
  <c r="F289" i="1" s="1"/>
  <c r="E282" i="1"/>
  <c r="F282" i="1" s="1"/>
  <c r="E251" i="1"/>
  <c r="E250" i="1"/>
  <c r="M62" i="34"/>
  <c r="L62" i="34"/>
  <c r="M25" i="34"/>
  <c r="L25" i="34"/>
  <c r="M24" i="34"/>
  <c r="L24" i="34"/>
  <c r="M23" i="34"/>
  <c r="L23" i="34"/>
  <c r="M21" i="34"/>
  <c r="L21" i="34"/>
  <c r="M9" i="34"/>
  <c r="L9" i="34"/>
  <c r="M14" i="34"/>
  <c r="L14" i="34"/>
  <c r="M13" i="34"/>
  <c r="L13" i="34"/>
  <c r="M12" i="34"/>
  <c r="L12" i="34"/>
  <c r="M11" i="34"/>
  <c r="L11" i="34"/>
  <c r="M8" i="34"/>
  <c r="L8" i="34"/>
  <c r="E205" i="1"/>
  <c r="F205" i="1" s="1"/>
  <c r="E112" i="1" l="1"/>
  <c r="F112" i="1" s="1"/>
  <c r="E54" i="1"/>
  <c r="E66" i="1"/>
  <c r="E61" i="1"/>
  <c r="F61" i="1" s="1"/>
  <c r="E51" i="1"/>
  <c r="E50" i="1"/>
  <c r="E109" i="1"/>
  <c r="F109" i="1" s="1"/>
  <c r="E59" i="1"/>
  <c r="F59" i="1" s="1"/>
  <c r="E355" i="1"/>
  <c r="F355" i="1" s="1"/>
  <c r="E107" i="1"/>
  <c r="F107" i="1" s="1"/>
  <c r="E92" i="1"/>
  <c r="E49" i="1"/>
  <c r="E52" i="1"/>
  <c r="E60" i="1"/>
  <c r="F60" i="1" s="1"/>
  <c r="M43" i="26"/>
  <c r="M49" i="26"/>
  <c r="L49" i="26"/>
  <c r="L20" i="31"/>
  <c r="L42" i="28"/>
  <c r="M42" i="28"/>
  <c r="M110" i="34" l="1"/>
  <c r="L110" i="34"/>
  <c r="M103" i="34"/>
  <c r="L103" i="34"/>
  <c r="M98" i="34"/>
  <c r="L98" i="34"/>
  <c r="M97" i="34"/>
  <c r="L97" i="34"/>
  <c r="M92" i="34"/>
  <c r="L92" i="34"/>
  <c r="M81" i="34"/>
  <c r="L81" i="34"/>
  <c r="M76" i="34"/>
  <c r="L76" i="34"/>
  <c r="M56" i="34"/>
  <c r="L56" i="34"/>
  <c r="M49" i="34"/>
  <c r="L49" i="34"/>
  <c r="M27" i="34"/>
  <c r="L27" i="34"/>
  <c r="N123" i="33"/>
  <c r="M123" i="33"/>
  <c r="N122" i="33"/>
  <c r="M122" i="33"/>
  <c r="N121" i="33"/>
  <c r="M121" i="33"/>
  <c r="N120" i="33"/>
  <c r="M120" i="33"/>
  <c r="N119" i="33"/>
  <c r="M119" i="33"/>
  <c r="N118" i="33"/>
  <c r="M118" i="33"/>
  <c r="N117" i="33"/>
  <c r="M117" i="33"/>
  <c r="N116" i="33"/>
  <c r="M116" i="33"/>
  <c r="N115" i="33"/>
  <c r="M115" i="33"/>
  <c r="N114" i="33"/>
  <c r="M114" i="33"/>
  <c r="N113" i="33"/>
  <c r="M113" i="33"/>
  <c r="N112" i="33"/>
  <c r="M112" i="33"/>
  <c r="N111" i="33"/>
  <c r="M111" i="33"/>
  <c r="N110" i="33"/>
  <c r="M110" i="33"/>
  <c r="N109" i="33"/>
  <c r="M109" i="33"/>
  <c r="N108" i="33"/>
  <c r="M108" i="33"/>
  <c r="N107" i="33"/>
  <c r="M107" i="33"/>
  <c r="N106" i="33"/>
  <c r="M106" i="33"/>
  <c r="N105" i="33"/>
  <c r="M105" i="33"/>
  <c r="N104" i="33"/>
  <c r="M104" i="33"/>
  <c r="N103" i="33"/>
  <c r="M103" i="33"/>
  <c r="N102" i="33"/>
  <c r="M102" i="33"/>
  <c r="N101" i="33"/>
  <c r="M101" i="33"/>
  <c r="N100" i="33"/>
  <c r="M100" i="33"/>
  <c r="N99" i="33"/>
  <c r="M99" i="33"/>
  <c r="N98" i="33"/>
  <c r="M98" i="33"/>
  <c r="N97" i="33"/>
  <c r="M97" i="33"/>
  <c r="N96" i="33"/>
  <c r="M96" i="33"/>
  <c r="N95" i="33"/>
  <c r="M95" i="33"/>
  <c r="N94" i="33"/>
  <c r="M94" i="33"/>
  <c r="N93" i="33"/>
  <c r="M93" i="33"/>
  <c r="N92" i="33"/>
  <c r="M92" i="33"/>
  <c r="N91" i="33"/>
  <c r="M91" i="33"/>
  <c r="N90" i="33"/>
  <c r="M90" i="33"/>
  <c r="N89" i="33"/>
  <c r="M89" i="33"/>
  <c r="N88" i="33"/>
  <c r="M88" i="33"/>
  <c r="N87" i="33"/>
  <c r="M87" i="33"/>
  <c r="N86" i="33"/>
  <c r="M86" i="33"/>
  <c r="N85" i="33"/>
  <c r="M85" i="33"/>
  <c r="N84" i="33"/>
  <c r="M84" i="33"/>
  <c r="N83" i="33"/>
  <c r="M83" i="33"/>
  <c r="N82" i="33"/>
  <c r="M82" i="33"/>
  <c r="N81" i="33"/>
  <c r="M81" i="33"/>
  <c r="N80" i="33"/>
  <c r="M80" i="33"/>
  <c r="N79" i="33"/>
  <c r="M79" i="33"/>
  <c r="N78" i="33"/>
  <c r="M78" i="33"/>
  <c r="N77" i="33"/>
  <c r="M77" i="33"/>
  <c r="N76" i="33"/>
  <c r="M76" i="33"/>
  <c r="N75" i="33"/>
  <c r="M75" i="33"/>
  <c r="N74" i="33"/>
  <c r="M74" i="33"/>
  <c r="N73" i="33"/>
  <c r="M73" i="33"/>
  <c r="N72" i="33"/>
  <c r="M72" i="33"/>
  <c r="N71" i="33"/>
  <c r="M71" i="33"/>
  <c r="N70" i="33"/>
  <c r="M70" i="33"/>
  <c r="N69" i="33"/>
  <c r="M69" i="33"/>
  <c r="N68" i="33"/>
  <c r="M68" i="33"/>
  <c r="N67" i="33"/>
  <c r="M67" i="33"/>
  <c r="N66" i="33"/>
  <c r="M66" i="33"/>
  <c r="N65" i="33"/>
  <c r="M65" i="33"/>
  <c r="N64" i="33"/>
  <c r="M64" i="33"/>
  <c r="N63" i="33"/>
  <c r="M63" i="33"/>
  <c r="N62" i="33"/>
  <c r="M62" i="33"/>
  <c r="N61" i="33"/>
  <c r="M61" i="33"/>
  <c r="N60" i="33"/>
  <c r="M60" i="33"/>
  <c r="N59" i="33"/>
  <c r="M59" i="33"/>
  <c r="N58" i="33"/>
  <c r="M58" i="33"/>
  <c r="N57" i="33"/>
  <c r="M57" i="33"/>
  <c r="N56" i="33"/>
  <c r="M56" i="33"/>
  <c r="N55" i="33"/>
  <c r="M55" i="33"/>
  <c r="N54" i="33"/>
  <c r="M54" i="33"/>
  <c r="N53" i="33"/>
  <c r="M53" i="33"/>
  <c r="N52" i="33"/>
  <c r="M52" i="33"/>
  <c r="N51" i="33"/>
  <c r="M51" i="33"/>
  <c r="N50" i="33"/>
  <c r="M50" i="33"/>
  <c r="N49" i="33"/>
  <c r="M49" i="33"/>
  <c r="N48" i="33"/>
  <c r="M48" i="33"/>
  <c r="N47" i="33"/>
  <c r="M47" i="33"/>
  <c r="N46" i="33"/>
  <c r="M46" i="33"/>
  <c r="N45" i="33"/>
  <c r="M45" i="33"/>
  <c r="N44" i="33"/>
  <c r="M44" i="33"/>
  <c r="N43" i="33"/>
  <c r="M43" i="33"/>
  <c r="N42" i="33"/>
  <c r="M42" i="33"/>
  <c r="N41" i="33"/>
  <c r="M41" i="33"/>
  <c r="N40" i="33"/>
  <c r="M40" i="33"/>
  <c r="N39" i="33"/>
  <c r="M39" i="33"/>
  <c r="N38" i="33"/>
  <c r="M38" i="33"/>
  <c r="N37" i="33"/>
  <c r="M37" i="33"/>
  <c r="N36" i="33"/>
  <c r="M36" i="33"/>
  <c r="N35" i="33"/>
  <c r="M35" i="33"/>
  <c r="N34" i="33"/>
  <c r="M34" i="33"/>
  <c r="N33" i="33"/>
  <c r="M33" i="33"/>
  <c r="N32" i="33"/>
  <c r="M32" i="33"/>
  <c r="N31" i="33"/>
  <c r="M31" i="33"/>
  <c r="N30" i="33"/>
  <c r="M30" i="33"/>
  <c r="N29" i="33"/>
  <c r="M29" i="33"/>
  <c r="N28" i="33"/>
  <c r="M28" i="33"/>
  <c r="N27" i="33"/>
  <c r="M27" i="33"/>
  <c r="N26" i="33"/>
  <c r="M26" i="33"/>
  <c r="N25" i="33"/>
  <c r="M25" i="33"/>
  <c r="N24" i="33"/>
  <c r="M24" i="33"/>
  <c r="N23" i="33"/>
  <c r="M23" i="33"/>
  <c r="N22" i="33"/>
  <c r="M22" i="33"/>
  <c r="N21" i="33"/>
  <c r="M21" i="33"/>
  <c r="N20" i="33"/>
  <c r="M20" i="33"/>
  <c r="N19" i="33"/>
  <c r="M19" i="33"/>
  <c r="N18" i="33"/>
  <c r="M18" i="33"/>
  <c r="N17" i="33"/>
  <c r="M17" i="33"/>
  <c r="N16" i="33"/>
  <c r="M16" i="33"/>
  <c r="N15" i="33"/>
  <c r="M15" i="33"/>
  <c r="N14" i="33"/>
  <c r="M14" i="33"/>
  <c r="N13" i="33"/>
  <c r="M13" i="33"/>
  <c r="N12" i="33"/>
  <c r="M12" i="33"/>
  <c r="N11" i="33"/>
  <c r="M11" i="33"/>
  <c r="N10" i="33"/>
  <c r="M10" i="33"/>
  <c r="E337" i="1" l="1"/>
  <c r="E174" i="1"/>
  <c r="E367" i="1"/>
  <c r="E345" i="1"/>
  <c r="E70" i="1"/>
  <c r="M16" i="34"/>
  <c r="M122" i="34" s="1"/>
  <c r="L16" i="34"/>
  <c r="L122" i="34" s="1"/>
  <c r="M9" i="33"/>
  <c r="N9" i="33"/>
  <c r="G124" i="33"/>
  <c r="E44" i="1"/>
  <c r="E287" i="1"/>
  <c r="E311" i="1"/>
  <c r="N374" i="1"/>
  <c r="M374" i="1"/>
  <c r="E74" i="1"/>
  <c r="E356" i="1"/>
  <c r="E180" i="1"/>
  <c r="E351" i="1"/>
  <c r="E336" i="1"/>
  <c r="E313" i="1"/>
  <c r="E270" i="1"/>
  <c r="E249" i="1"/>
  <c r="E111" i="1"/>
  <c r="E99" i="1"/>
  <c r="E319" i="1"/>
  <c r="E248" i="1"/>
  <c r="E207" i="1"/>
  <c r="E162" i="1"/>
  <c r="M23" i="20"/>
  <c r="L23" i="20"/>
  <c r="M22" i="17"/>
  <c r="L22" i="17"/>
  <c r="E366" i="1"/>
  <c r="E214" i="1"/>
  <c r="E63" i="1"/>
  <c r="M23" i="17"/>
  <c r="L23" i="17"/>
  <c r="M33" i="17"/>
  <c r="L33" i="17"/>
  <c r="L38" i="17"/>
  <c r="M37" i="17"/>
  <c r="L37" i="17"/>
  <c r="M36" i="17"/>
  <c r="L36" i="17"/>
  <c r="M35" i="17"/>
  <c r="L35" i="17"/>
  <c r="M37" i="28"/>
  <c r="L37" i="28"/>
  <c r="M43" i="28"/>
  <c r="L43" i="28"/>
  <c r="M49" i="28"/>
  <c r="L49" i="28"/>
  <c r="M48" i="28"/>
  <c r="L48" i="28"/>
  <c r="M64" i="28"/>
  <c r="L64" i="28"/>
  <c r="L124" i="33"/>
  <c r="K124" i="33"/>
  <c r="J124" i="33"/>
  <c r="I124" i="33"/>
  <c r="H124" i="33"/>
  <c r="F124" i="33"/>
  <c r="E307" i="1"/>
  <c r="E331" i="1"/>
  <c r="F248" i="1" l="1"/>
  <c r="F319" i="1"/>
  <c r="F214" i="1"/>
  <c r="F366" i="1"/>
  <c r="F207" i="1"/>
  <c r="F99" i="1"/>
  <c r="F270" i="1"/>
  <c r="F313" i="1"/>
  <c r="F180" i="1"/>
  <c r="F356" i="1"/>
  <c r="F311" i="1"/>
  <c r="F367" i="1"/>
  <c r="F331" i="1"/>
  <c r="F307" i="1"/>
  <c r="F111" i="1"/>
  <c r="F336" i="1"/>
  <c r="F351" i="1"/>
  <c r="F287" i="1"/>
  <c r="F345" i="1"/>
  <c r="E178" i="1"/>
  <c r="L17" i="21"/>
  <c r="M17" i="21"/>
  <c r="S17" i="21"/>
  <c r="L53" i="19"/>
  <c r="L52" i="19"/>
  <c r="M53" i="19"/>
  <c r="L51" i="19"/>
  <c r="M52" i="19"/>
  <c r="L17" i="20"/>
  <c r="M17" i="20"/>
  <c r="L16" i="18"/>
  <c r="M16" i="18"/>
  <c r="M15" i="20"/>
  <c r="L15" i="20"/>
  <c r="L34" i="18"/>
  <c r="M34" i="18"/>
  <c r="L33" i="18"/>
  <c r="M33" i="18"/>
  <c r="L40" i="19"/>
  <c r="M40" i="19"/>
  <c r="L16" i="29"/>
  <c r="M16" i="29"/>
  <c r="L20" i="18"/>
  <c r="M20" i="18"/>
  <c r="L32" i="19"/>
  <c r="M32" i="19"/>
  <c r="M8" i="18"/>
  <c r="L8" i="18"/>
  <c r="F178" i="1" l="1"/>
  <c r="L28" i="18"/>
  <c r="M28" i="18"/>
  <c r="M8" i="22"/>
  <c r="L8" i="22"/>
  <c r="L24" i="18"/>
  <c r="M24" i="18"/>
  <c r="L14" i="18"/>
  <c r="M14" i="18"/>
  <c r="M24" i="19"/>
  <c r="L24" i="19"/>
  <c r="S24" i="19"/>
  <c r="M9" i="20"/>
  <c r="L9" i="20"/>
  <c r="N15" i="15"/>
  <c r="M14" i="15"/>
  <c r="N14" i="15"/>
  <c r="N9" i="15"/>
  <c r="M9" i="15"/>
  <c r="L46" i="16"/>
  <c r="M46" i="16"/>
  <c r="L60" i="25"/>
  <c r="L59" i="25"/>
  <c r="L58" i="25"/>
  <c r="L57" i="25"/>
  <c r="M56" i="25"/>
  <c r="L56" i="25"/>
  <c r="L55" i="25"/>
  <c r="L54" i="25"/>
  <c r="L53" i="25"/>
  <c r="L52" i="25"/>
  <c r="L51" i="25"/>
  <c r="L50" i="25"/>
  <c r="L49" i="25"/>
  <c r="L48" i="25"/>
  <c r="M47" i="25"/>
  <c r="L47" i="25"/>
  <c r="L46" i="25"/>
  <c r="L45" i="25"/>
  <c r="L44" i="25"/>
  <c r="M43" i="25"/>
  <c r="L43" i="25"/>
  <c r="L42" i="25"/>
  <c r="L41" i="25"/>
  <c r="M40" i="25"/>
  <c r="L40" i="25"/>
  <c r="L39" i="25"/>
  <c r="M38" i="25"/>
  <c r="L38" i="25"/>
  <c r="L37" i="25"/>
  <c r="M36" i="25"/>
  <c r="L36" i="25"/>
  <c r="L35" i="25"/>
  <c r="M34" i="25"/>
  <c r="L34" i="25"/>
  <c r="L33" i="25"/>
  <c r="L32" i="25"/>
  <c r="M31" i="25"/>
  <c r="L31" i="25"/>
  <c r="M30" i="25"/>
  <c r="L30" i="25"/>
  <c r="M29" i="25"/>
  <c r="L29" i="25"/>
  <c r="L28" i="25"/>
  <c r="L27" i="25"/>
  <c r="M26" i="25"/>
  <c r="L26" i="25"/>
  <c r="M25" i="25"/>
  <c r="L25" i="25"/>
  <c r="L24" i="25"/>
  <c r="M23" i="25"/>
  <c r="L23" i="25"/>
  <c r="M22" i="25"/>
  <c r="L22" i="25"/>
  <c r="L21" i="25"/>
  <c r="M20" i="25"/>
  <c r="L20" i="25"/>
  <c r="M19" i="25"/>
  <c r="L19" i="25"/>
  <c r="M18" i="25"/>
  <c r="L18" i="25"/>
  <c r="M17" i="25"/>
  <c r="L17" i="25"/>
  <c r="M16" i="25"/>
  <c r="L16" i="25"/>
  <c r="L15" i="25"/>
  <c r="M14" i="25"/>
  <c r="L14" i="25"/>
  <c r="M13" i="25"/>
  <c r="L13" i="25"/>
  <c r="L12" i="25"/>
  <c r="M11" i="25"/>
  <c r="L11" i="25"/>
  <c r="M10" i="25"/>
  <c r="L10" i="25"/>
  <c r="M9" i="25"/>
  <c r="L9" i="25"/>
  <c r="L8" i="25"/>
  <c r="M7" i="25"/>
  <c r="L7" i="25"/>
  <c r="L6" i="25"/>
  <c r="M6" i="25"/>
  <c r="L35" i="16"/>
  <c r="M35" i="16"/>
  <c r="M50" i="16"/>
  <c r="L50" i="16"/>
  <c r="M49" i="16"/>
  <c r="L49" i="16"/>
  <c r="M48" i="16"/>
  <c r="L48" i="16"/>
  <c r="M47" i="16"/>
  <c r="L47" i="16"/>
  <c r="M45" i="16"/>
  <c r="L45" i="16"/>
  <c r="M44" i="16"/>
  <c r="L44" i="16"/>
  <c r="M43" i="16"/>
  <c r="L43" i="16"/>
  <c r="M42" i="16"/>
  <c r="L42" i="16"/>
  <c r="M41" i="16"/>
  <c r="L41" i="16"/>
  <c r="M40" i="16"/>
  <c r="L40" i="16"/>
  <c r="M39" i="16"/>
  <c r="L39" i="16"/>
  <c r="M38" i="16"/>
  <c r="L38" i="16"/>
  <c r="M37" i="16"/>
  <c r="L37" i="16"/>
  <c r="M36" i="16"/>
  <c r="L36" i="16"/>
  <c r="M34" i="16"/>
  <c r="L34" i="16"/>
  <c r="M33" i="16"/>
  <c r="L33" i="16"/>
  <c r="M32" i="16"/>
  <c r="L32" i="16"/>
  <c r="M31" i="16"/>
  <c r="L31" i="16"/>
  <c r="M30" i="16"/>
  <c r="L30" i="16"/>
  <c r="M29" i="16"/>
  <c r="L29" i="16"/>
  <c r="M28" i="16"/>
  <c r="L28" i="16"/>
  <c r="M27" i="16"/>
  <c r="L27" i="16"/>
  <c r="M26" i="16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L8" i="16"/>
  <c r="M8" i="16"/>
  <c r="L17" i="24"/>
  <c r="M17" i="24"/>
  <c r="M10" i="24"/>
  <c r="L10" i="24"/>
  <c r="L12" i="31"/>
  <c r="M10" i="28"/>
  <c r="L10" i="28"/>
  <c r="L11" i="31"/>
  <c r="L23" i="31"/>
  <c r="L29" i="31"/>
  <c r="L36" i="31"/>
  <c r="L35" i="31"/>
  <c r="L34" i="31"/>
  <c r="L33" i="31"/>
  <c r="L28" i="31"/>
  <c r="L27" i="31"/>
  <c r="L24" i="31"/>
  <c r="L25" i="31"/>
  <c r="L26" i="31"/>
  <c r="L21" i="31"/>
  <c r="L22" i="31"/>
  <c r="L19" i="31"/>
  <c r="L18" i="31"/>
  <c r="L16" i="31"/>
  <c r="L7" i="31"/>
  <c r="L8" i="31"/>
  <c r="L14" i="31"/>
  <c r="L17" i="31"/>
  <c r="L13" i="31"/>
  <c r="L15" i="31"/>
  <c r="L9" i="31"/>
  <c r="L5" i="31"/>
  <c r="L31" i="31"/>
  <c r="L6" i="31"/>
  <c r="L32" i="31"/>
  <c r="L30" i="31"/>
  <c r="M6" i="29"/>
  <c r="L6" i="29"/>
  <c r="B10" i="23" l="1"/>
  <c r="I7" i="23"/>
  <c r="E215" i="1"/>
  <c r="B14" i="23"/>
  <c r="M124" i="33"/>
  <c r="E68" i="1"/>
  <c r="M11" i="32"/>
  <c r="L11" i="32"/>
  <c r="L28" i="26"/>
  <c r="M28" i="26"/>
  <c r="F215" i="1" l="1"/>
  <c r="N124" i="33"/>
  <c r="B22" i="23"/>
  <c r="M11" i="18"/>
  <c r="L11" i="18"/>
  <c r="M53" i="28"/>
  <c r="L53" i="28"/>
  <c r="E103" i="1"/>
  <c r="E106" i="1"/>
  <c r="E335" i="1"/>
  <c r="F103" i="1" l="1"/>
  <c r="F106" i="1"/>
  <c r="F335" i="1"/>
  <c r="E333" i="1"/>
  <c r="E304" i="1"/>
  <c r="E88" i="1"/>
  <c r="M83" i="28"/>
  <c r="L83" i="28"/>
  <c r="L75" i="28"/>
  <c r="M75" i="28"/>
  <c r="L77" i="28"/>
  <c r="M77" i="28"/>
  <c r="L76" i="28"/>
  <c r="M76" i="28"/>
  <c r="M72" i="28"/>
  <c r="L72" i="28"/>
  <c r="L65" i="28"/>
  <c r="M65" i="28"/>
  <c r="L67" i="28"/>
  <c r="M67" i="28"/>
  <c r="F304" i="1" l="1"/>
  <c r="F333" i="1"/>
  <c r="L63" i="28"/>
  <c r="L59" i="28"/>
  <c r="M59" i="28"/>
  <c r="L57" i="28"/>
  <c r="M57" i="28"/>
  <c r="L61" i="28"/>
  <c r="M61" i="28"/>
  <c r="L56" i="28"/>
  <c r="M56" i="28"/>
  <c r="L55" i="28"/>
  <c r="M55" i="28"/>
  <c r="M54" i="28"/>
  <c r="L54" i="28"/>
  <c r="L51" i="28"/>
  <c r="M51" i="28"/>
  <c r="L32" i="28"/>
  <c r="M32" i="28"/>
  <c r="L46" i="28"/>
  <c r="M46" i="28"/>
  <c r="L47" i="28"/>
  <c r="M47" i="28"/>
  <c r="L44" i="28"/>
  <c r="M44" i="28"/>
  <c r="L41" i="28"/>
  <c r="M41" i="28"/>
  <c r="M38" i="28"/>
  <c r="L38" i="28"/>
  <c r="L40" i="28"/>
  <c r="M40" i="28"/>
  <c r="L36" i="28"/>
  <c r="M36" i="28"/>
  <c r="L27" i="28"/>
  <c r="M27" i="28"/>
  <c r="L24" i="28"/>
  <c r="M24" i="28"/>
  <c r="K84" i="28"/>
  <c r="J84" i="28"/>
  <c r="I84" i="28"/>
  <c r="H84" i="28"/>
  <c r="G84" i="28"/>
  <c r="F84" i="28"/>
  <c r="E84" i="28"/>
  <c r="L22" i="28"/>
  <c r="M22" i="28"/>
  <c r="M26" i="28"/>
  <c r="L26" i="28"/>
  <c r="L21" i="28"/>
  <c r="M21" i="28"/>
  <c r="L18" i="28"/>
  <c r="M25" i="28"/>
  <c r="L25" i="28"/>
  <c r="M18" i="28"/>
  <c r="M11" i="28"/>
  <c r="L11" i="28"/>
  <c r="M12" i="28"/>
  <c r="L12" i="28"/>
  <c r="M9" i="28"/>
  <c r="L9" i="28"/>
  <c r="M42" i="19"/>
  <c r="L42" i="19"/>
  <c r="A3" i="18" l="1"/>
  <c r="E155" i="1"/>
  <c r="E89" i="1"/>
  <c r="E247" i="1"/>
  <c r="E87" i="1"/>
  <c r="L19" i="29"/>
  <c r="M19" i="29"/>
  <c r="L12" i="19"/>
  <c r="M12" i="19"/>
  <c r="F247" i="1" l="1"/>
  <c r="F155" i="1"/>
  <c r="J61" i="25"/>
  <c r="H61" i="25"/>
  <c r="G61" i="25"/>
  <c r="F61" i="25"/>
  <c r="E61" i="25"/>
  <c r="I12" i="25"/>
  <c r="I51" i="25"/>
  <c r="M51" i="25" s="1"/>
  <c r="R51" i="25"/>
  <c r="F25" i="32"/>
  <c r="M24" i="32"/>
  <c r="L24" i="32"/>
  <c r="M23" i="32"/>
  <c r="L23" i="32"/>
  <c r="M22" i="32"/>
  <c r="L22" i="32"/>
  <c r="M18" i="32"/>
  <c r="L18" i="32"/>
  <c r="M17" i="32"/>
  <c r="L17" i="32"/>
  <c r="M16" i="32"/>
  <c r="L16" i="32"/>
  <c r="M19" i="32"/>
  <c r="M20" i="32"/>
  <c r="M13" i="32"/>
  <c r="M12" i="32"/>
  <c r="M14" i="32"/>
  <c r="M10" i="32"/>
  <c r="L19" i="32"/>
  <c r="L20" i="32"/>
  <c r="L13" i="32"/>
  <c r="L12" i="32"/>
  <c r="L14" i="32"/>
  <c r="L10" i="32"/>
  <c r="M9" i="32"/>
  <c r="L9" i="32"/>
  <c r="M15" i="32"/>
  <c r="L15" i="32"/>
  <c r="M21" i="32"/>
  <c r="L21" i="32"/>
  <c r="M7" i="32"/>
  <c r="L7" i="32"/>
  <c r="M8" i="32"/>
  <c r="L8" i="32"/>
  <c r="K10" i="31"/>
  <c r="L10" i="31" s="1"/>
  <c r="I60" i="25"/>
  <c r="M60" i="25" s="1"/>
  <c r="K57" i="25"/>
  <c r="M57" i="25" s="1"/>
  <c r="I41" i="25"/>
  <c r="M41" i="25" s="1"/>
  <c r="I39" i="25"/>
  <c r="M39" i="25" s="1"/>
  <c r="I37" i="25"/>
  <c r="M37" i="25" s="1"/>
  <c r="I35" i="25"/>
  <c r="M35" i="25" s="1"/>
  <c r="I33" i="25"/>
  <c r="M33" i="25" s="1"/>
  <c r="I32" i="25"/>
  <c r="M32" i="25" s="1"/>
  <c r="I28" i="25"/>
  <c r="M28" i="25" s="1"/>
  <c r="I27" i="25"/>
  <c r="M27" i="25" s="1"/>
  <c r="I24" i="25"/>
  <c r="M24" i="25" s="1"/>
  <c r="I21" i="25"/>
  <c r="M21" i="25" s="1"/>
  <c r="I15" i="25"/>
  <c r="M15" i="25" s="1"/>
  <c r="K12" i="25"/>
  <c r="I8" i="25"/>
  <c r="M8" i="25" s="1"/>
  <c r="L36" i="19"/>
  <c r="M36" i="19"/>
  <c r="L19" i="20"/>
  <c r="M19" i="20"/>
  <c r="M12" i="22"/>
  <c r="L12" i="22"/>
  <c r="M25" i="15"/>
  <c r="N25" i="15"/>
  <c r="L48" i="19"/>
  <c r="M48" i="19"/>
  <c r="M25" i="18"/>
  <c r="L25" i="18"/>
  <c r="M25" i="21"/>
  <c r="L25" i="21"/>
  <c r="L13" i="22"/>
  <c r="K13" i="22"/>
  <c r="M13" i="22"/>
  <c r="K61" i="25" l="1"/>
  <c r="M12" i="25"/>
  <c r="L61" i="25"/>
  <c r="M17" i="15"/>
  <c r="N17" i="15"/>
  <c r="L8" i="29"/>
  <c r="M8" i="29"/>
  <c r="L9" i="22"/>
  <c r="K9" i="22"/>
  <c r="M9" i="22" s="1"/>
  <c r="M8" i="21"/>
  <c r="L8" i="21"/>
  <c r="K25" i="32"/>
  <c r="J25" i="32"/>
  <c r="H25" i="32"/>
  <c r="G25" i="32"/>
  <c r="E25" i="32"/>
  <c r="M25" i="32"/>
  <c r="L25" i="32"/>
  <c r="L37" i="29"/>
  <c r="L22" i="29"/>
  <c r="L37" i="31"/>
  <c r="K37" i="31"/>
  <c r="I37" i="31"/>
  <c r="G37" i="31"/>
  <c r="E37" i="31"/>
  <c r="M23" i="18"/>
  <c r="L23" i="18"/>
  <c r="M16" i="22"/>
  <c r="L16" i="22"/>
  <c r="M24" i="29"/>
  <c r="L24" i="29"/>
  <c r="M21" i="21"/>
  <c r="L21" i="21"/>
  <c r="M20" i="21"/>
  <c r="L20" i="21"/>
  <c r="M20" i="20"/>
  <c r="L20" i="20"/>
  <c r="M11" i="20"/>
  <c r="L11" i="20"/>
  <c r="M11" i="21"/>
  <c r="L11" i="21"/>
  <c r="M10" i="18"/>
  <c r="L10" i="18"/>
  <c r="N18" i="15"/>
  <c r="M18" i="15"/>
  <c r="M12" i="29"/>
  <c r="L12" i="29"/>
  <c r="M63" i="28"/>
  <c r="L58" i="28"/>
  <c r="M58" i="28"/>
  <c r="M30" i="29"/>
  <c r="L30" i="29"/>
  <c r="M31" i="29"/>
  <c r="L50" i="19"/>
  <c r="M50" i="19"/>
  <c r="L45" i="28"/>
  <c r="M17" i="28"/>
  <c r="M35" i="29"/>
  <c r="L35" i="29"/>
  <c r="L34" i="29"/>
  <c r="M26" i="29"/>
  <c r="M18" i="29"/>
  <c r="L27" i="29"/>
  <c r="L25" i="29"/>
  <c r="M25" i="29"/>
  <c r="L26" i="29"/>
  <c r="L29" i="29"/>
  <c r="L28" i="29"/>
  <c r="M27" i="29"/>
  <c r="L17" i="29"/>
  <c r="M17" i="29"/>
  <c r="M15" i="29"/>
  <c r="L15" i="29"/>
  <c r="L20" i="29"/>
  <c r="M20" i="29"/>
  <c r="L21" i="29"/>
  <c r="M21" i="29"/>
  <c r="L32" i="29"/>
  <c r="M32" i="29"/>
  <c r="M33" i="29"/>
  <c r="L33" i="29"/>
  <c r="M38" i="29"/>
  <c r="L38" i="29"/>
  <c r="L7" i="29"/>
  <c r="M7" i="29"/>
  <c r="M10" i="29"/>
  <c r="L10" i="29"/>
  <c r="L31" i="29"/>
  <c r="L11" i="29"/>
  <c r="M11" i="29"/>
  <c r="M36" i="29"/>
  <c r="L36" i="29"/>
  <c r="L23" i="29"/>
  <c r="M23" i="29"/>
  <c r="M13" i="29"/>
  <c r="L13" i="29"/>
  <c r="L14" i="29"/>
  <c r="M14" i="29"/>
  <c r="L9" i="29"/>
  <c r="M9" i="29"/>
  <c r="J39" i="29"/>
  <c r="H39" i="29"/>
  <c r="G39" i="29"/>
  <c r="F39" i="29"/>
  <c r="E39" i="29"/>
  <c r="N31" i="15"/>
  <c r="M31" i="15"/>
  <c r="L39" i="29" l="1"/>
  <c r="I25" i="32"/>
  <c r="M34" i="29"/>
  <c r="K39" i="29"/>
  <c r="E242" i="1"/>
  <c r="E315" i="1"/>
  <c r="F315" i="1" l="1"/>
  <c r="E55" i="16"/>
  <c r="H38" i="15"/>
  <c r="E44" i="18"/>
  <c r="F34" i="20"/>
  <c r="F32" i="21"/>
  <c r="F22" i="22"/>
  <c r="E65" i="19"/>
  <c r="J29" i="20"/>
  <c r="L391" i="1"/>
  <c r="M60" i="28"/>
  <c r="L69" i="28"/>
  <c r="L60" i="28"/>
  <c r="M69" i="28"/>
  <c r="M30" i="28"/>
  <c r="M23" i="28"/>
  <c r="M19" i="28"/>
  <c r="L62" i="28"/>
  <c r="L33" i="28"/>
  <c r="L30" i="28"/>
  <c r="L29" i="28"/>
  <c r="L28" i="28"/>
  <c r="L23" i="28"/>
  <c r="L19" i="28"/>
  <c r="L15" i="28"/>
  <c r="M15" i="28"/>
  <c r="M32" i="24" l="1"/>
  <c r="L20" i="24"/>
  <c r="M20" i="24"/>
  <c r="L78" i="28" l="1"/>
  <c r="M78" i="28"/>
  <c r="L79" i="28"/>
  <c r="M79" i="28"/>
  <c r="L71" i="28"/>
  <c r="M71" i="28"/>
  <c r="L66" i="28"/>
  <c r="M66" i="28"/>
  <c r="M62" i="28"/>
  <c r="M29" i="28"/>
  <c r="M28" i="28"/>
  <c r="M14" i="28"/>
  <c r="L14" i="28"/>
  <c r="E158" i="1"/>
  <c r="E288" i="1"/>
  <c r="L20" i="28"/>
  <c r="M20" i="28"/>
  <c r="E7" i="23"/>
  <c r="B7" i="23"/>
  <c r="E312" i="1"/>
  <c r="E199" i="1"/>
  <c r="F199" i="1" l="1"/>
  <c r="F288" i="1"/>
  <c r="F312" i="1"/>
  <c r="F158" i="1"/>
  <c r="E75" i="1"/>
  <c r="M70" i="28"/>
  <c r="L70" i="28"/>
  <c r="L50" i="28"/>
  <c r="M50" i="28"/>
  <c r="M45" i="28"/>
  <c r="M33" i="28"/>
  <c r="L68" i="28"/>
  <c r="M68" i="28"/>
  <c r="E86" i="1"/>
  <c r="L17" i="28"/>
  <c r="L81" i="28"/>
  <c r="L16" i="28" l="1"/>
  <c r="M16" i="28"/>
  <c r="M81" i="28"/>
  <c r="M80" i="28"/>
  <c r="L80" i="28"/>
  <c r="M82" i="28"/>
  <c r="L82" i="28"/>
  <c r="M73" i="28"/>
  <c r="L73" i="28"/>
  <c r="M74" i="28"/>
  <c r="L74" i="28"/>
  <c r="M39" i="28"/>
  <c r="L39" i="28"/>
  <c r="M34" i="28"/>
  <c r="L34" i="28"/>
  <c r="M31" i="28"/>
  <c r="L31" i="28"/>
  <c r="L52" i="28" l="1"/>
  <c r="L35" i="28"/>
  <c r="M52" i="28"/>
  <c r="M13" i="28"/>
  <c r="M35" i="28"/>
  <c r="L84" i="28" l="1"/>
  <c r="M84" i="28"/>
  <c r="E370" i="1"/>
  <c r="F370" i="1" l="1"/>
  <c r="M36" i="24"/>
  <c r="L36" i="24"/>
  <c r="M35" i="24"/>
  <c r="L35" i="24"/>
  <c r="M34" i="24"/>
  <c r="L34" i="24"/>
  <c r="M33" i="24"/>
  <c r="L33" i="24"/>
  <c r="L32" i="24"/>
  <c r="M31" i="24"/>
  <c r="L31" i="24"/>
  <c r="M30" i="24"/>
  <c r="L30" i="24"/>
  <c r="M29" i="24"/>
  <c r="L29" i="24"/>
  <c r="M28" i="24"/>
  <c r="L28" i="24"/>
  <c r="M27" i="24"/>
  <c r="L27" i="24"/>
  <c r="M26" i="24"/>
  <c r="L26" i="24"/>
  <c r="M25" i="24"/>
  <c r="L25" i="24"/>
  <c r="M24" i="24"/>
  <c r="L24" i="24"/>
  <c r="M23" i="24"/>
  <c r="L23" i="24"/>
  <c r="M22" i="24"/>
  <c r="L22" i="24"/>
  <c r="M21" i="24"/>
  <c r="L21" i="24"/>
  <c r="M19" i="24"/>
  <c r="L19" i="24"/>
  <c r="M18" i="24"/>
  <c r="L18" i="24"/>
  <c r="M16" i="24"/>
  <c r="L16" i="24"/>
  <c r="M15" i="24"/>
  <c r="L15" i="24"/>
  <c r="M14" i="24"/>
  <c r="L14" i="24"/>
  <c r="M13" i="24"/>
  <c r="L13" i="24"/>
  <c r="M12" i="24"/>
  <c r="L12" i="24"/>
  <c r="M11" i="24"/>
  <c r="L11" i="24"/>
  <c r="M55" i="26"/>
  <c r="L55" i="26"/>
  <c r="M54" i="26"/>
  <c r="L54" i="26"/>
  <c r="M53" i="26"/>
  <c r="L53" i="26"/>
  <c r="M52" i="26"/>
  <c r="L52" i="26"/>
  <c r="M51" i="26"/>
  <c r="L51" i="26"/>
  <c r="M50" i="26"/>
  <c r="L50" i="26"/>
  <c r="M48" i="26"/>
  <c r="L48" i="26"/>
  <c r="M47" i="26"/>
  <c r="L47" i="26"/>
  <c r="M46" i="26"/>
  <c r="L46" i="26"/>
  <c r="M45" i="26"/>
  <c r="L45" i="26"/>
  <c r="M44" i="26"/>
  <c r="L44" i="26"/>
  <c r="M42" i="26"/>
  <c r="L42" i="26"/>
  <c r="M41" i="26"/>
  <c r="L41" i="26"/>
  <c r="M40" i="26"/>
  <c r="L40" i="26"/>
  <c r="M39" i="26"/>
  <c r="L39" i="26"/>
  <c r="M38" i="26"/>
  <c r="L38" i="26"/>
  <c r="M37" i="26"/>
  <c r="L37" i="26"/>
  <c r="M36" i="26"/>
  <c r="L36" i="26"/>
  <c r="M35" i="26"/>
  <c r="L35" i="26"/>
  <c r="M34" i="26"/>
  <c r="L34" i="26"/>
  <c r="M33" i="26"/>
  <c r="L33" i="26"/>
  <c r="M32" i="26"/>
  <c r="L32" i="26"/>
  <c r="M31" i="26"/>
  <c r="L31" i="26"/>
  <c r="M30" i="26"/>
  <c r="L30" i="26"/>
  <c r="M29" i="26"/>
  <c r="L29" i="26"/>
  <c r="M27" i="26"/>
  <c r="L27" i="26"/>
  <c r="M26" i="26"/>
  <c r="L26" i="26"/>
  <c r="M25" i="26"/>
  <c r="L25" i="26"/>
  <c r="M24" i="26"/>
  <c r="L24" i="26"/>
  <c r="M23" i="26"/>
  <c r="L23" i="26"/>
  <c r="M22" i="26"/>
  <c r="L22" i="26"/>
  <c r="M21" i="26"/>
  <c r="L21" i="26"/>
  <c r="M20" i="26"/>
  <c r="L20" i="26"/>
  <c r="M19" i="26"/>
  <c r="L19" i="26"/>
  <c r="M18" i="26"/>
  <c r="L18" i="26"/>
  <c r="M17" i="26"/>
  <c r="L17" i="26"/>
  <c r="M16" i="26"/>
  <c r="L16" i="26"/>
  <c r="M15" i="26"/>
  <c r="L15" i="26"/>
  <c r="L14" i="26"/>
  <c r="M13" i="26"/>
  <c r="L13" i="26"/>
  <c r="M12" i="26"/>
  <c r="L12" i="26"/>
  <c r="M11" i="26"/>
  <c r="L11" i="26"/>
  <c r="M10" i="26"/>
  <c r="L10" i="26"/>
  <c r="M9" i="26"/>
  <c r="L9" i="26"/>
  <c r="E314" i="1" l="1"/>
  <c r="S23" i="17"/>
  <c r="F314" i="1" l="1"/>
  <c r="M14" i="26"/>
  <c r="M56" i="26" s="1"/>
  <c r="E285" i="1"/>
  <c r="S22" i="17"/>
  <c r="F285" i="1" l="1"/>
  <c r="F34" i="15"/>
  <c r="G34" i="15"/>
  <c r="H34" i="15"/>
  <c r="I34" i="15"/>
  <c r="K34" i="15"/>
  <c r="N33" i="15"/>
  <c r="M33" i="15"/>
  <c r="N32" i="15"/>
  <c r="M32" i="15"/>
  <c r="N30" i="15"/>
  <c r="M30" i="15"/>
  <c r="N29" i="15"/>
  <c r="M29" i="15"/>
  <c r="N28" i="15"/>
  <c r="M28" i="15"/>
  <c r="N27" i="15"/>
  <c r="M27" i="15"/>
  <c r="N26" i="15"/>
  <c r="M26" i="15"/>
  <c r="N24" i="15"/>
  <c r="M24" i="15"/>
  <c r="N23" i="15"/>
  <c r="M23" i="15"/>
  <c r="N22" i="15"/>
  <c r="M22" i="15"/>
  <c r="N21" i="15"/>
  <c r="M21" i="15"/>
  <c r="N20" i="15"/>
  <c r="M20" i="15"/>
  <c r="N19" i="15"/>
  <c r="M19" i="15"/>
  <c r="N16" i="15"/>
  <c r="M16" i="15"/>
  <c r="N13" i="15"/>
  <c r="M13" i="15"/>
  <c r="M12" i="15"/>
  <c r="N11" i="15"/>
  <c r="M11" i="15"/>
  <c r="M10" i="15"/>
  <c r="M8" i="15"/>
  <c r="N8" i="15"/>
  <c r="F46" i="17"/>
  <c r="H46" i="17"/>
  <c r="J46" i="17"/>
  <c r="E46" i="17"/>
  <c r="M45" i="17"/>
  <c r="M44" i="17"/>
  <c r="M41" i="17"/>
  <c r="M40" i="17"/>
  <c r="M34" i="17"/>
  <c r="M32" i="17"/>
  <c r="M31" i="17"/>
  <c r="M30" i="17"/>
  <c r="M28" i="17"/>
  <c r="M26" i="17"/>
  <c r="M25" i="17"/>
  <c r="M21" i="17"/>
  <c r="M20" i="17"/>
  <c r="M16" i="17"/>
  <c r="M15" i="17"/>
  <c r="M14" i="17"/>
  <c r="M12" i="17"/>
  <c r="M11" i="17"/>
  <c r="M10" i="17"/>
  <c r="M9" i="17"/>
  <c r="E37" i="18"/>
  <c r="F37" i="18"/>
  <c r="G37" i="18"/>
  <c r="H37" i="18"/>
  <c r="J37" i="18"/>
  <c r="M36" i="18"/>
  <c r="L36" i="18"/>
  <c r="L35" i="18"/>
  <c r="M32" i="18"/>
  <c r="L32" i="18"/>
  <c r="M31" i="18"/>
  <c r="L31" i="18"/>
  <c r="M30" i="18"/>
  <c r="L30" i="18"/>
  <c r="L29" i="18"/>
  <c r="M27" i="18"/>
  <c r="L27" i="18"/>
  <c r="L26" i="18"/>
  <c r="M22" i="18"/>
  <c r="L22" i="18"/>
  <c r="L21" i="18"/>
  <c r="L19" i="18"/>
  <c r="M18" i="18"/>
  <c r="L18" i="18"/>
  <c r="M17" i="18"/>
  <c r="L17" i="18"/>
  <c r="M15" i="18"/>
  <c r="L15" i="18"/>
  <c r="M13" i="18"/>
  <c r="L13" i="18"/>
  <c r="L12" i="18"/>
  <c r="M9" i="18"/>
  <c r="L9" i="18"/>
  <c r="L7" i="18"/>
  <c r="M7" i="18"/>
  <c r="E59" i="19"/>
  <c r="F59" i="19"/>
  <c r="G59" i="19"/>
  <c r="H59" i="19"/>
  <c r="J59" i="19"/>
  <c r="L58" i="19"/>
  <c r="L57" i="19"/>
  <c r="L56" i="19"/>
  <c r="L55" i="19"/>
  <c r="L54" i="19"/>
  <c r="L49" i="19"/>
  <c r="L47" i="19"/>
  <c r="L46" i="19"/>
  <c r="L45" i="19"/>
  <c r="L44" i="19"/>
  <c r="L43" i="19"/>
  <c r="L41" i="19"/>
  <c r="L39" i="19"/>
  <c r="L38" i="19"/>
  <c r="L37" i="19"/>
  <c r="L35" i="19"/>
  <c r="L34" i="19"/>
  <c r="L33" i="19"/>
  <c r="L31" i="19"/>
  <c r="L30" i="19"/>
  <c r="L29" i="19"/>
  <c r="L28" i="19"/>
  <c r="L27" i="19"/>
  <c r="L26" i="19"/>
  <c r="L25" i="19"/>
  <c r="L23" i="19"/>
  <c r="L22" i="19"/>
  <c r="L21" i="19"/>
  <c r="L20" i="19"/>
  <c r="L19" i="19"/>
  <c r="L18" i="19"/>
  <c r="L17" i="19"/>
  <c r="L16" i="19"/>
  <c r="L15" i="19"/>
  <c r="L14" i="19"/>
  <c r="L13" i="19"/>
  <c r="L11" i="19"/>
  <c r="L10" i="19"/>
  <c r="L9" i="19"/>
  <c r="L8" i="19"/>
  <c r="L7" i="19"/>
  <c r="M57" i="19"/>
  <c r="M55" i="19"/>
  <c r="M54" i="19"/>
  <c r="M51" i="19"/>
  <c r="M49" i="19"/>
  <c r="M47" i="19"/>
  <c r="M45" i="19"/>
  <c r="M44" i="19"/>
  <c r="M38" i="19"/>
  <c r="M35" i="19"/>
  <c r="M33" i="19"/>
  <c r="M31" i="19"/>
  <c r="M30" i="19"/>
  <c r="M29" i="19"/>
  <c r="M28" i="19"/>
  <c r="M26" i="19"/>
  <c r="M22" i="19"/>
  <c r="M20" i="19"/>
  <c r="M19" i="19"/>
  <c r="M18" i="19"/>
  <c r="M16" i="19"/>
  <c r="M15" i="19"/>
  <c r="M13" i="19"/>
  <c r="M10" i="19"/>
  <c r="M9" i="19"/>
  <c r="M8" i="19"/>
  <c r="M7" i="19"/>
  <c r="M28" i="20"/>
  <c r="L28" i="20"/>
  <c r="M27" i="20"/>
  <c r="L27" i="20"/>
  <c r="M26" i="20"/>
  <c r="L26" i="20"/>
  <c r="L25" i="20"/>
  <c r="M24" i="20"/>
  <c r="L24" i="20"/>
  <c r="L22" i="20"/>
  <c r="M21" i="20"/>
  <c r="L21" i="20"/>
  <c r="M18" i="20"/>
  <c r="L18" i="20"/>
  <c r="L16" i="20"/>
  <c r="L14" i="20"/>
  <c r="L13" i="20"/>
  <c r="L12" i="20"/>
  <c r="M10" i="20"/>
  <c r="L10" i="20"/>
  <c r="M8" i="20"/>
  <c r="L8" i="20"/>
  <c r="M7" i="20"/>
  <c r="L7" i="20"/>
  <c r="M24" i="21"/>
  <c r="L24" i="21"/>
  <c r="M23" i="21"/>
  <c r="L23" i="21"/>
  <c r="L22" i="21"/>
  <c r="M19" i="21"/>
  <c r="L19" i="21"/>
  <c r="M18" i="21"/>
  <c r="L18" i="21"/>
  <c r="M16" i="21"/>
  <c r="L16" i="21"/>
  <c r="M15" i="21"/>
  <c r="L15" i="21"/>
  <c r="M14" i="21"/>
  <c r="L14" i="21"/>
  <c r="M13" i="21"/>
  <c r="L13" i="21"/>
  <c r="M12" i="21"/>
  <c r="L12" i="21"/>
  <c r="M10" i="21"/>
  <c r="L10" i="21"/>
  <c r="M9" i="21"/>
  <c r="L9" i="21"/>
  <c r="M7" i="21"/>
  <c r="M9" i="24"/>
  <c r="M18" i="22"/>
  <c r="L18" i="22"/>
  <c r="M17" i="22"/>
  <c r="L17" i="22"/>
  <c r="M15" i="22"/>
  <c r="L15" i="22"/>
  <c r="M14" i="22"/>
  <c r="L14" i="22"/>
  <c r="M11" i="22"/>
  <c r="L11" i="22"/>
  <c r="M10" i="22"/>
  <c r="L10" i="22"/>
  <c r="L9" i="24"/>
  <c r="L7" i="21"/>
  <c r="E26" i="21"/>
  <c r="F26" i="21"/>
  <c r="G26" i="21"/>
  <c r="H26" i="21"/>
  <c r="J26" i="21"/>
  <c r="K26" i="21"/>
  <c r="E179" i="1"/>
  <c r="E279" i="1"/>
  <c r="F279" i="1" l="1"/>
  <c r="F179" i="1"/>
  <c r="L29" i="20"/>
  <c r="M34" i="15"/>
  <c r="L37" i="18"/>
  <c r="L59" i="19"/>
  <c r="L26" i="21"/>
  <c r="E78" i="1"/>
  <c r="L20" i="17"/>
  <c r="L11" i="17"/>
  <c r="R44" i="19"/>
  <c r="S44" i="19"/>
  <c r="U44" i="19"/>
  <c r="W44" i="19"/>
  <c r="L9" i="17"/>
  <c r="S10" i="22"/>
  <c r="S20" i="17"/>
  <c r="W25" i="21"/>
  <c r="S25" i="21"/>
  <c r="Q25" i="21" s="1"/>
  <c r="T25" i="21" s="1"/>
  <c r="U25" i="21" s="1"/>
  <c r="S20" i="21"/>
  <c r="Q20" i="21" s="1"/>
  <c r="T20" i="21" s="1"/>
  <c r="U20" i="21" s="1"/>
  <c r="V20" i="21" s="1"/>
  <c r="W20" i="21" s="1"/>
  <c r="S18" i="21"/>
  <c r="W18" i="21"/>
  <c r="S19" i="21"/>
  <c r="W19" i="21"/>
  <c r="W16" i="21"/>
  <c r="S16" i="21"/>
  <c r="Q16" i="21" s="1"/>
  <c r="T16" i="21" s="1"/>
  <c r="U16" i="21" s="1"/>
  <c r="W14" i="21"/>
  <c r="T14" i="21"/>
  <c r="S14" i="21"/>
  <c r="U13" i="21"/>
  <c r="V13" i="21" s="1"/>
  <c r="W13" i="21" s="1"/>
  <c r="S13" i="21"/>
  <c r="S12" i="21"/>
  <c r="Q12" i="21" s="1"/>
  <c r="T12" i="21" s="1"/>
  <c r="U12" i="21" s="1"/>
  <c r="V12" i="21" s="1"/>
  <c r="W12" i="21" s="1"/>
  <c r="S8" i="21"/>
  <c r="Q8" i="21" s="1"/>
  <c r="T8" i="21" s="1"/>
  <c r="U8" i="21" s="1"/>
  <c r="V8" i="21" s="1"/>
  <c r="W8" i="21" s="1"/>
  <c r="R10" i="21"/>
  <c r="S10" i="21"/>
  <c r="S14" i="20"/>
  <c r="Q14" i="20" s="1"/>
  <c r="T14" i="20" s="1"/>
  <c r="U14" i="20" s="1"/>
  <c r="W14" i="20"/>
  <c r="S35" i="19"/>
  <c r="Q35" i="19" s="1"/>
  <c r="T35" i="19" s="1"/>
  <c r="U35" i="19" s="1"/>
  <c r="V35" i="19" s="1"/>
  <c r="W35" i="19" s="1"/>
  <c r="S16" i="20"/>
  <c r="Q16" i="20" s="1"/>
  <c r="T16" i="20" s="1"/>
  <c r="U16" i="20" s="1"/>
  <c r="V16" i="20" s="1"/>
  <c r="W16" i="20" s="1"/>
  <c r="S18" i="20"/>
  <c r="Q18" i="20" s="1"/>
  <c r="T18" i="20" s="1"/>
  <c r="U18" i="20" s="1"/>
  <c r="V18" i="20" s="1"/>
  <c r="W18" i="20" s="1"/>
  <c r="V15" i="21"/>
  <c r="R15" i="21"/>
  <c r="P15" i="21" s="1"/>
  <c r="S15" i="21" s="1"/>
  <c r="S21" i="20"/>
  <c r="Q21" i="20" s="1"/>
  <c r="T21" i="20" s="1"/>
  <c r="U21" i="20" s="1"/>
  <c r="V21" i="20" s="1"/>
  <c r="W21" i="20" s="1"/>
  <c r="L45" i="17"/>
  <c r="L44" i="17"/>
  <c r="L43" i="17"/>
  <c r="L39" i="17"/>
  <c r="L34" i="17"/>
  <c r="L29" i="17"/>
  <c r="L28" i="17"/>
  <c r="L24" i="17"/>
  <c r="L27" i="17"/>
  <c r="L26" i="17"/>
  <c r="L31" i="17"/>
  <c r="L30" i="17"/>
  <c r="L41" i="17"/>
  <c r="L42" i="17"/>
  <c r="L40" i="17"/>
  <c r="L32" i="17"/>
  <c r="L25" i="17"/>
  <c r="L16" i="17"/>
  <c r="L21" i="17"/>
  <c r="L15" i="17"/>
  <c r="L19" i="17"/>
  <c r="L18" i="17"/>
  <c r="L17" i="17"/>
  <c r="L14" i="17"/>
  <c r="L10" i="17"/>
  <c r="L13" i="17"/>
  <c r="T28" i="15"/>
  <c r="U28" i="15" s="1"/>
  <c r="V28" i="15" s="1"/>
  <c r="R28" i="15"/>
  <c r="Q28" i="15"/>
  <c r="R29" i="15"/>
  <c r="S29" i="15" s="1"/>
  <c r="T29" i="15" s="1"/>
  <c r="U29" i="15" s="1"/>
  <c r="V29" i="15" s="1"/>
  <c r="U24" i="15"/>
  <c r="V24" i="15" s="1"/>
  <c r="R24" i="15"/>
  <c r="S24" i="15" s="1"/>
  <c r="R19" i="15"/>
  <c r="S19" i="15"/>
  <c r="T19" i="15" s="1"/>
  <c r="U19" i="15" s="1"/>
  <c r="V19" i="15" s="1"/>
  <c r="S42" i="17"/>
  <c r="Q42" i="17" s="1"/>
  <c r="T42" i="17" s="1"/>
  <c r="U42" i="17" s="1"/>
  <c r="V42" i="17" s="1"/>
  <c r="W42" i="17" s="1"/>
  <c r="W41" i="17"/>
  <c r="X41" i="17" s="1"/>
  <c r="S41" i="17"/>
  <c r="W40" i="17"/>
  <c r="X40" i="17" s="1"/>
  <c r="U40" i="17"/>
  <c r="S40" i="17"/>
  <c r="Q40" i="17" s="1"/>
  <c r="S37" i="17"/>
  <c r="Q37" i="17" s="1"/>
  <c r="T37" i="17" s="1"/>
  <c r="U37" i="17" s="1"/>
  <c r="V37" i="17" s="1"/>
  <c r="W37" i="17" s="1"/>
  <c r="W36" i="17"/>
  <c r="X36" i="17" s="1"/>
  <c r="S36" i="17"/>
  <c r="Q36" i="17" s="1"/>
  <c r="T36" i="17" s="1"/>
  <c r="U36" i="17" s="1"/>
  <c r="W35" i="17"/>
  <c r="X35" i="17" s="1"/>
  <c r="S35" i="17"/>
  <c r="R35" i="17"/>
  <c r="V33" i="17"/>
  <c r="W33" i="17" s="1"/>
  <c r="S33" i="17"/>
  <c r="Q33" i="17" s="1"/>
  <c r="T33" i="17" s="1"/>
  <c r="S32" i="17"/>
  <c r="Q32" i="17" s="1"/>
  <c r="T32" i="17" s="1"/>
  <c r="U32" i="17" s="1"/>
  <c r="V32" i="17" s="1"/>
  <c r="W32" i="17" s="1"/>
  <c r="U31" i="17"/>
  <c r="V31" i="17" s="1"/>
  <c r="W31" i="17" s="1"/>
  <c r="S31" i="17"/>
  <c r="Q31" i="17" s="1"/>
  <c r="S30" i="17"/>
  <c r="Q30" i="17" s="1"/>
  <c r="T30" i="17" s="1"/>
  <c r="U30" i="17" s="1"/>
  <c r="V30" i="17" s="1"/>
  <c r="W30" i="17" s="1"/>
  <c r="W27" i="17"/>
  <c r="X27" i="17" s="1"/>
  <c r="I27" i="17" s="1"/>
  <c r="M27" i="17" s="1"/>
  <c r="S27" i="17"/>
  <c r="Q27" i="17" s="1"/>
  <c r="T27" i="17" s="1"/>
  <c r="U27" i="17" s="1"/>
  <c r="V26" i="17"/>
  <c r="W26" i="17" s="1"/>
  <c r="S26" i="17"/>
  <c r="Q26" i="17" s="1"/>
  <c r="V25" i="17"/>
  <c r="W25" i="17" s="1"/>
  <c r="S25" i="17"/>
  <c r="Q25" i="17" s="1"/>
  <c r="S21" i="17"/>
  <c r="Q21" i="17" s="1"/>
  <c r="T21" i="17" s="1"/>
  <c r="U21" i="17" s="1"/>
  <c r="V21" i="17" s="1"/>
  <c r="W21" i="17" s="1"/>
  <c r="S19" i="17"/>
  <c r="Q19" i="17" s="1"/>
  <c r="T19" i="17" s="1"/>
  <c r="U19" i="17" s="1"/>
  <c r="V19" i="17" s="1"/>
  <c r="W19" i="17" s="1"/>
  <c r="S18" i="17"/>
  <c r="Q18" i="17" s="1"/>
  <c r="T18" i="17" s="1"/>
  <c r="U18" i="17" s="1"/>
  <c r="V18" i="17" s="1"/>
  <c r="W18" i="17" s="1"/>
  <c r="R17" i="17"/>
  <c r="S17" i="17"/>
  <c r="W17" i="17"/>
  <c r="S14" i="17"/>
  <c r="S10" i="17"/>
  <c r="Q10" i="17" s="1"/>
  <c r="T10" i="17" s="1"/>
  <c r="U10" i="17" s="1"/>
  <c r="V10" i="17" s="1"/>
  <c r="W10" i="17" s="1"/>
  <c r="S13" i="17"/>
  <c r="Q13" i="17" s="1"/>
  <c r="T13" i="17" s="1"/>
  <c r="U13" i="17" s="1"/>
  <c r="V13" i="17" s="1"/>
  <c r="W13" i="17" s="1"/>
  <c r="T35" i="18"/>
  <c r="U35" i="18" s="1"/>
  <c r="V35" i="18" s="1"/>
  <c r="Q35" i="18"/>
  <c r="R35" i="18" s="1"/>
  <c r="V32" i="18"/>
  <c r="W32" i="18" s="1"/>
  <c r="T32" i="18"/>
  <c r="R32" i="18"/>
  <c r="T30" i="18"/>
  <c r="U30" i="18" s="1"/>
  <c r="V30" i="18" s="1"/>
  <c r="P30" i="18"/>
  <c r="R30" i="18" s="1"/>
  <c r="P29" i="18"/>
  <c r="R29" i="18" s="1"/>
  <c r="V27" i="18"/>
  <c r="W27" i="18" s="1"/>
  <c r="T27" i="18"/>
  <c r="R27" i="18"/>
  <c r="P17" i="18"/>
  <c r="R17" i="18" s="1"/>
  <c r="P15" i="18"/>
  <c r="R15" i="18" s="1"/>
  <c r="U13" i="18"/>
  <c r="V13" i="18" s="1"/>
  <c r="P13" i="18"/>
  <c r="S13" i="18" s="1"/>
  <c r="P9" i="18"/>
  <c r="R9" i="18" s="1"/>
  <c r="P7" i="18"/>
  <c r="R7" i="18" s="1"/>
  <c r="V23" i="19"/>
  <c r="W23" i="19" s="1"/>
  <c r="S23" i="19"/>
  <c r="Q23" i="19" s="1"/>
  <c r="T23" i="19" s="1"/>
  <c r="S22" i="19"/>
  <c r="Q22" i="19" s="1"/>
  <c r="T22" i="19" s="1"/>
  <c r="U22" i="19" s="1"/>
  <c r="V22" i="19" s="1"/>
  <c r="W22" i="19" s="1"/>
  <c r="S21" i="19"/>
  <c r="Q21" i="19" s="1"/>
  <c r="T21" i="19" s="1"/>
  <c r="U21" i="19" s="1"/>
  <c r="V21" i="19" s="1"/>
  <c r="W21" i="19" s="1"/>
  <c r="S25" i="19"/>
  <c r="Q25" i="19" s="1"/>
  <c r="T25" i="19" s="1"/>
  <c r="U25" i="19" s="1"/>
  <c r="V25" i="19" s="1"/>
  <c r="W25" i="19" s="1"/>
  <c r="U26" i="19"/>
  <c r="V26" i="19" s="1"/>
  <c r="W26" i="19" s="1"/>
  <c r="S26" i="19"/>
  <c r="U20" i="19"/>
  <c r="V20" i="19" s="1"/>
  <c r="W20" i="19" s="1"/>
  <c r="S20" i="19"/>
  <c r="Q20" i="19" s="1"/>
  <c r="S27" i="19"/>
  <c r="Q27" i="19" s="1"/>
  <c r="T27" i="19" s="1"/>
  <c r="U27" i="19" s="1"/>
  <c r="V27" i="19" s="1"/>
  <c r="W27" i="19" s="1"/>
  <c r="S28" i="19"/>
  <c r="Q28" i="19" s="1"/>
  <c r="T28" i="19" s="1"/>
  <c r="U28" i="19" s="1"/>
  <c r="V28" i="19" s="1"/>
  <c r="W28" i="19" s="1"/>
  <c r="W19" i="19"/>
  <c r="X19" i="19" s="1"/>
  <c r="S19" i="19"/>
  <c r="R19" i="19"/>
  <c r="S18" i="19"/>
  <c r="Q18" i="19" s="1"/>
  <c r="T18" i="19" s="1"/>
  <c r="U18" i="19" s="1"/>
  <c r="V18" i="19" s="1"/>
  <c r="W18" i="19" s="1"/>
  <c r="S17" i="19"/>
  <c r="Q17" i="19" s="1"/>
  <c r="T17" i="19" s="1"/>
  <c r="U17" i="19" s="1"/>
  <c r="V17" i="19" s="1"/>
  <c r="W17" i="19" s="1"/>
  <c r="S16" i="19"/>
  <c r="Q16" i="19" s="1"/>
  <c r="T16" i="19" s="1"/>
  <c r="U16" i="19" s="1"/>
  <c r="V16" i="19" s="1"/>
  <c r="W16" i="19" s="1"/>
  <c r="S15" i="19"/>
  <c r="Q15" i="19" s="1"/>
  <c r="T15" i="19" s="1"/>
  <c r="U15" i="19" s="1"/>
  <c r="V15" i="19" s="1"/>
  <c r="W15" i="19" s="1"/>
  <c r="W14" i="19"/>
  <c r="X14" i="19" s="1"/>
  <c r="U14" i="19"/>
  <c r="S14" i="19"/>
  <c r="Q14" i="19" s="1"/>
  <c r="S11" i="19"/>
  <c r="Q11" i="19" s="1"/>
  <c r="T11" i="19" s="1"/>
  <c r="U11" i="19" s="1"/>
  <c r="V11" i="19" s="1"/>
  <c r="W11" i="19" s="1"/>
  <c r="S10" i="19"/>
  <c r="Q10" i="19" s="1"/>
  <c r="T10" i="19" s="1"/>
  <c r="V10" i="19"/>
  <c r="W10" i="19" s="1"/>
  <c r="S7" i="19"/>
  <c r="Q7" i="19" s="1"/>
  <c r="W7" i="19"/>
  <c r="V33" i="15"/>
  <c r="W33" i="15" s="1"/>
  <c r="R33" i="15"/>
  <c r="S33" i="15" s="1"/>
  <c r="T33" i="15" s="1"/>
  <c r="R8" i="15"/>
  <c r="V8" i="15"/>
  <c r="W8" i="15" s="1"/>
  <c r="E51" i="16"/>
  <c r="F51" i="16"/>
  <c r="G51" i="16"/>
  <c r="H51" i="16"/>
  <c r="J51" i="16"/>
  <c r="R20" i="16"/>
  <c r="E37" i="24"/>
  <c r="F37" i="24"/>
  <c r="G37" i="24"/>
  <c r="H37" i="24"/>
  <c r="J37" i="24"/>
  <c r="E56" i="26"/>
  <c r="F56" i="26"/>
  <c r="G56" i="26"/>
  <c r="H56" i="26"/>
  <c r="I56" i="26"/>
  <c r="J56" i="26"/>
  <c r="L56" i="26"/>
  <c r="I37" i="24" l="1"/>
  <c r="W15" i="21"/>
  <c r="X15" i="21" s="1"/>
  <c r="X16" i="21"/>
  <c r="X25" i="21"/>
  <c r="X14" i="21"/>
  <c r="X19" i="21"/>
  <c r="K37" i="24"/>
  <c r="X44" i="19"/>
  <c r="X20" i="21"/>
  <c r="I22" i="21" s="1"/>
  <c r="M22" i="21" s="1"/>
  <c r="X18" i="21"/>
  <c r="X12" i="21"/>
  <c r="X13" i="21"/>
  <c r="Q10" i="21"/>
  <c r="T10" i="21" s="1"/>
  <c r="U10" i="21" s="1"/>
  <c r="V10" i="21" s="1"/>
  <c r="W10" i="21" s="1"/>
  <c r="X8" i="21"/>
  <c r="X14" i="20"/>
  <c r="X35" i="19"/>
  <c r="X18" i="20"/>
  <c r="X16" i="20"/>
  <c r="X21" i="20"/>
  <c r="Q35" i="17"/>
  <c r="T35" i="17" s="1"/>
  <c r="U35" i="17" s="1"/>
  <c r="W28" i="15"/>
  <c r="W29" i="15"/>
  <c r="W24" i="15"/>
  <c r="W19" i="15"/>
  <c r="X42" i="17"/>
  <c r="I42" i="17" s="1"/>
  <c r="M42" i="17" s="1"/>
  <c r="X37" i="17"/>
  <c r="X33" i="17"/>
  <c r="X32" i="17"/>
  <c r="M29" i="29" s="1"/>
  <c r="X31" i="17"/>
  <c r="M28" i="29" s="1"/>
  <c r="X30" i="17"/>
  <c r="X26" i="17"/>
  <c r="X25" i="17"/>
  <c r="X21" i="17"/>
  <c r="Q17" i="17"/>
  <c r="T17" i="17" s="1"/>
  <c r="X19" i="17"/>
  <c r="M19" i="17" s="1"/>
  <c r="X18" i="17"/>
  <c r="M18" i="17" s="1"/>
  <c r="X17" i="17"/>
  <c r="M17" i="17" s="1"/>
  <c r="X10" i="17"/>
  <c r="X13" i="17"/>
  <c r="I13" i="17" s="1"/>
  <c r="W35" i="18"/>
  <c r="M35" i="18" s="1"/>
  <c r="W30" i="18"/>
  <c r="S29" i="18"/>
  <c r="T29" i="18" s="1"/>
  <c r="U29" i="18" s="1"/>
  <c r="V29" i="18" s="1"/>
  <c r="S17" i="18"/>
  <c r="T17" i="18" s="1"/>
  <c r="U17" i="18" s="1"/>
  <c r="V17" i="18" s="1"/>
  <c r="R13" i="18"/>
  <c r="S15" i="18"/>
  <c r="T15" i="18" s="1"/>
  <c r="U15" i="18" s="1"/>
  <c r="V15" i="18" s="1"/>
  <c r="W13" i="18"/>
  <c r="S9" i="18"/>
  <c r="T9" i="18" s="1"/>
  <c r="U9" i="18" s="1"/>
  <c r="V9" i="18" s="1"/>
  <c r="S7" i="18"/>
  <c r="T7" i="18" s="1"/>
  <c r="U7" i="18" s="1"/>
  <c r="V7" i="18" s="1"/>
  <c r="X23" i="19"/>
  <c r="X22" i="19"/>
  <c r="Q19" i="19"/>
  <c r="X21" i="19"/>
  <c r="X25" i="19"/>
  <c r="X26" i="19"/>
  <c r="X20" i="19"/>
  <c r="X27" i="19"/>
  <c r="X28" i="19"/>
  <c r="X18" i="19"/>
  <c r="X17" i="19"/>
  <c r="I25" i="19" s="1"/>
  <c r="M25" i="19" s="1"/>
  <c r="X16" i="19"/>
  <c r="X15" i="19"/>
  <c r="X10" i="19"/>
  <c r="X11" i="19"/>
  <c r="I11" i="19" s="1"/>
  <c r="M11" i="19" s="1"/>
  <c r="X7" i="19"/>
  <c r="M13" i="17" l="1"/>
  <c r="I26" i="21"/>
  <c r="M27" i="19"/>
  <c r="X10" i="21"/>
  <c r="W29" i="18"/>
  <c r="M29" i="18" s="1"/>
  <c r="W17" i="18"/>
  <c r="W15" i="18"/>
  <c r="W7" i="18"/>
  <c r="W9" i="18"/>
  <c r="E81" i="1" l="1"/>
  <c r="F81" i="1" l="1"/>
  <c r="L37" i="24" l="1"/>
  <c r="M37" i="24"/>
  <c r="F19" i="22" l="1"/>
  <c r="G19" i="22"/>
  <c r="H19" i="22"/>
  <c r="J19" i="22"/>
  <c r="E29" i="20"/>
  <c r="H29" i="20"/>
  <c r="F29" i="20"/>
  <c r="K26" i="18"/>
  <c r="E265" i="1" l="1"/>
  <c r="F265" i="1" l="1"/>
  <c r="W22" i="15"/>
  <c r="W39" i="16"/>
  <c r="W33" i="16"/>
  <c r="W16" i="16"/>
  <c r="W13" i="16"/>
  <c r="W10" i="16"/>
  <c r="E218" i="1"/>
  <c r="E227" i="1"/>
  <c r="U7" i="25"/>
  <c r="L10" i="15"/>
  <c r="V42" i="16"/>
  <c r="V38" i="16"/>
  <c r="V24" i="16"/>
  <c r="L51" i="16"/>
  <c r="L7" i="22"/>
  <c r="F218" i="1" l="1"/>
  <c r="K51" i="16"/>
  <c r="W38" i="16"/>
  <c r="L19" i="22"/>
  <c r="W24" i="16"/>
  <c r="W42" i="16"/>
  <c r="L12" i="17"/>
  <c r="L46" i="17" s="1"/>
  <c r="E354" i="1"/>
  <c r="E46" i="1"/>
  <c r="F46" i="1" l="1"/>
  <c r="F354" i="1"/>
  <c r="Q15" i="25"/>
  <c r="R15" i="25" s="1"/>
  <c r="S15" i="25" s="1"/>
  <c r="T15" i="25" s="1"/>
  <c r="R16" i="25"/>
  <c r="R58" i="25"/>
  <c r="P78" i="25" s="1"/>
  <c r="S58" i="25" s="1"/>
  <c r="T58" i="25" s="1"/>
  <c r="U58" i="25" s="1"/>
  <c r="P69" i="25"/>
  <c r="R37" i="25"/>
  <c r="P66" i="25" s="1"/>
  <c r="S37" i="25" s="1"/>
  <c r="T37" i="25" s="1"/>
  <c r="U37" i="25" s="1"/>
  <c r="R34" i="25"/>
  <c r="P63" i="25" s="1"/>
  <c r="S34" i="25" s="1"/>
  <c r="T34" i="25" s="1"/>
  <c r="U34" i="25" s="1"/>
  <c r="R24" i="25"/>
  <c r="P72" i="25"/>
  <c r="R47" i="25" s="1"/>
  <c r="P71" i="25"/>
  <c r="R41" i="25" s="1"/>
  <c r="P68" i="25"/>
  <c r="R39" i="25" s="1"/>
  <c r="P65" i="25"/>
  <c r="R36" i="25" s="1"/>
  <c r="P64" i="25"/>
  <c r="R35" i="25" s="1"/>
  <c r="P62" i="25"/>
  <c r="R28" i="25"/>
  <c r="R27" i="25"/>
  <c r="R25" i="25"/>
  <c r="R17" i="25"/>
  <c r="R13" i="25"/>
  <c r="R6" i="25"/>
  <c r="R52" i="25"/>
  <c r="P77" i="25" s="1"/>
  <c r="S52" i="25" s="1"/>
  <c r="T52" i="25" s="1"/>
  <c r="U52" i="25" s="1"/>
  <c r="P75" i="25"/>
  <c r="P74" i="25"/>
  <c r="S51" i="25" s="1"/>
  <c r="T51" i="25" s="1"/>
  <c r="U51" i="25" s="1"/>
  <c r="R40" i="25"/>
  <c r="P70" i="25" s="1"/>
  <c r="S40" i="25" s="1"/>
  <c r="T40" i="25" s="1"/>
  <c r="U40" i="25" s="1"/>
  <c r="R33" i="25"/>
  <c r="P61" i="25" s="1"/>
  <c r="S33" i="25" s="1"/>
  <c r="T33" i="25" s="1"/>
  <c r="U33" i="25" s="1"/>
  <c r="R26" i="25"/>
  <c r="R22" i="25"/>
  <c r="P67" i="25"/>
  <c r="R5" i="25"/>
  <c r="R48" i="25"/>
  <c r="P73" i="25" s="1"/>
  <c r="S48" i="25" s="1"/>
  <c r="T48" i="25" s="1"/>
  <c r="U48" i="25" s="1"/>
  <c r="R14" i="25"/>
  <c r="W18" i="22"/>
  <c r="K24" i="17"/>
  <c r="K46" i="17" s="1"/>
  <c r="G24" i="17"/>
  <c r="K41" i="19"/>
  <c r="M41" i="19" s="1"/>
  <c r="K43" i="19"/>
  <c r="M43" i="19" s="1"/>
  <c r="W55" i="19"/>
  <c r="W15" i="22"/>
  <c r="W57" i="19"/>
  <c r="V32" i="15"/>
  <c r="W32" i="15" s="1"/>
  <c r="V31" i="15"/>
  <c r="W31" i="15" s="1"/>
  <c r="V30" i="15"/>
  <c r="W30" i="15" s="1"/>
  <c r="V26" i="15"/>
  <c r="W26" i="15" s="1"/>
  <c r="V16" i="15"/>
  <c r="W16" i="15" s="1"/>
  <c r="W39" i="17"/>
  <c r="W34" i="17"/>
  <c r="V12" i="18"/>
  <c r="W46" i="19"/>
  <c r="W45" i="19"/>
  <c r="W26" i="20"/>
  <c r="W7" i="20"/>
  <c r="K7" i="22"/>
  <c r="V16" i="17"/>
  <c r="W16" i="17" s="1"/>
  <c r="V56" i="19"/>
  <c r="V12" i="17"/>
  <c r="U9" i="16"/>
  <c r="V9" i="16" s="1"/>
  <c r="E305" i="1"/>
  <c r="E98" i="1"/>
  <c r="E360" i="1"/>
  <c r="E19" i="22"/>
  <c r="T36" i="18"/>
  <c r="U28" i="20"/>
  <c r="V28" i="20" s="1"/>
  <c r="K59" i="19"/>
  <c r="T26" i="18"/>
  <c r="U26" i="18" s="1"/>
  <c r="U57" i="19"/>
  <c r="L34" i="15"/>
  <c r="T32" i="16"/>
  <c r="U32" i="16" s="1"/>
  <c r="V32" i="16" s="1"/>
  <c r="E93" i="1"/>
  <c r="T18" i="22"/>
  <c r="U18" i="22" s="1"/>
  <c r="T15" i="22"/>
  <c r="T46" i="19"/>
  <c r="U46" i="19" s="1"/>
  <c r="T38" i="19"/>
  <c r="U38" i="19" s="1"/>
  <c r="V38" i="19" s="1"/>
  <c r="W38" i="19" s="1"/>
  <c r="X38" i="19" s="1"/>
  <c r="F98" i="1" l="1"/>
  <c r="F93" i="1"/>
  <c r="F360" i="1"/>
  <c r="F305" i="1"/>
  <c r="S22" i="25"/>
  <c r="T22" i="25" s="1"/>
  <c r="U22" i="25" s="1"/>
  <c r="S24" i="25"/>
  <c r="T24" i="25" s="1"/>
  <c r="U24" i="25" s="1"/>
  <c r="S16" i="25"/>
  <c r="T16" i="25" s="1"/>
  <c r="U16" i="25" s="1"/>
  <c r="S14" i="25"/>
  <c r="T14" i="25" s="1"/>
  <c r="U14" i="25" s="1"/>
  <c r="S26" i="25"/>
  <c r="T26" i="25" s="1"/>
  <c r="U26" i="25" s="1"/>
  <c r="S5" i="25"/>
  <c r="M21" i="19"/>
  <c r="G46" i="17"/>
  <c r="X55" i="19"/>
  <c r="W12" i="18"/>
  <c r="M12" i="18" s="1"/>
  <c r="X39" i="17"/>
  <c r="M39" i="17" s="1"/>
  <c r="X34" i="17"/>
  <c r="X46" i="19"/>
  <c r="X7" i="20"/>
  <c r="X26" i="20"/>
  <c r="X45" i="19"/>
  <c r="W32" i="16"/>
  <c r="W9" i="16"/>
  <c r="X16" i="17"/>
  <c r="X57" i="19"/>
  <c r="X15" i="22"/>
  <c r="X18" i="22"/>
  <c r="I59" i="25"/>
  <c r="M59" i="25" s="1"/>
  <c r="S47" i="25"/>
  <c r="T47" i="25" s="1"/>
  <c r="U47" i="25" s="1"/>
  <c r="S41" i="25"/>
  <c r="T41" i="25" s="1"/>
  <c r="U41" i="25" s="1"/>
  <c r="S39" i="25"/>
  <c r="T39" i="25" s="1"/>
  <c r="U39" i="25" s="1"/>
  <c r="I49" i="25" s="1"/>
  <c r="M49" i="25" s="1"/>
  <c r="S36" i="25"/>
  <c r="T36" i="25" s="1"/>
  <c r="U36" i="25" s="1"/>
  <c r="S35" i="25"/>
  <c r="T35" i="25" s="1"/>
  <c r="U35" i="25" s="1"/>
  <c r="S28" i="25"/>
  <c r="T28" i="25" s="1"/>
  <c r="U28" i="25" s="1"/>
  <c r="S27" i="25"/>
  <c r="T27" i="25" s="1"/>
  <c r="U27" i="25" s="1"/>
  <c r="I46" i="25" s="1"/>
  <c r="M46" i="25" s="1"/>
  <c r="S25" i="25"/>
  <c r="T25" i="25" s="1"/>
  <c r="U25" i="25" s="1"/>
  <c r="S6" i="25"/>
  <c r="T6" i="25" s="1"/>
  <c r="U6" i="25" s="1"/>
  <c r="S13" i="25"/>
  <c r="T13" i="25" s="1"/>
  <c r="U13" i="25" s="1"/>
  <c r="S17" i="25"/>
  <c r="T17" i="25" s="1"/>
  <c r="U17" i="25" s="1"/>
  <c r="I58" i="25"/>
  <c r="M58" i="25" s="1"/>
  <c r="M55" i="25"/>
  <c r="I54" i="25"/>
  <c r="M54" i="25" s="1"/>
  <c r="M50" i="25"/>
  <c r="I42" i="25"/>
  <c r="M42" i="25" s="1"/>
  <c r="I53" i="25"/>
  <c r="M53" i="25" s="1"/>
  <c r="W28" i="20"/>
  <c r="W12" i="17"/>
  <c r="V26" i="18"/>
  <c r="U36" i="18"/>
  <c r="V36" i="18" s="1"/>
  <c r="W56" i="19"/>
  <c r="S22" i="15"/>
  <c r="V30" i="16"/>
  <c r="P79" i="25" l="1"/>
  <c r="T5" i="25"/>
  <c r="W26" i="18"/>
  <c r="M26" i="18" s="1"/>
  <c r="W36" i="18"/>
  <c r="X12" i="17"/>
  <c r="X56" i="19"/>
  <c r="I56" i="19" s="1"/>
  <c r="M56" i="19" s="1"/>
  <c r="X28" i="20"/>
  <c r="W30" i="16"/>
  <c r="I52" i="25"/>
  <c r="M52" i="25" s="1"/>
  <c r="I48" i="25"/>
  <c r="M48" i="25" s="1"/>
  <c r="I45" i="25"/>
  <c r="M45" i="25" s="1"/>
  <c r="I44" i="25"/>
  <c r="M44" i="25" s="1"/>
  <c r="I61" i="25"/>
  <c r="T22" i="15"/>
  <c r="U22" i="15" s="1"/>
  <c r="S49" i="16"/>
  <c r="R8" i="16"/>
  <c r="S8" i="16" s="1"/>
  <c r="T8" i="16" s="1"/>
  <c r="U8" i="16" s="1"/>
  <c r="R14" i="16"/>
  <c r="S14" i="16" s="1"/>
  <c r="R24" i="16"/>
  <c r="S24" i="16" s="1"/>
  <c r="R36" i="16"/>
  <c r="S36" i="16" s="1"/>
  <c r="M61" i="25" l="1"/>
  <c r="U5" i="25"/>
  <c r="V8" i="16"/>
  <c r="T49" i="16"/>
  <c r="U49" i="16" s="1"/>
  <c r="T36" i="16"/>
  <c r="U36" i="16" s="1"/>
  <c r="T14" i="16"/>
  <c r="U14" i="16" s="1"/>
  <c r="Q57" i="19"/>
  <c r="E321" i="1"/>
  <c r="Q41" i="19"/>
  <c r="T41" i="19" s="1"/>
  <c r="U41" i="19" s="1"/>
  <c r="V41" i="19" s="1"/>
  <c r="K21" i="18"/>
  <c r="R36" i="18"/>
  <c r="P36" i="18" s="1"/>
  <c r="R31" i="18"/>
  <c r="P31" i="18" s="1"/>
  <c r="S31" i="18" s="1"/>
  <c r="T31" i="18" s="1"/>
  <c r="U31" i="18" s="1"/>
  <c r="V31" i="18" s="1"/>
  <c r="R26" i="18"/>
  <c r="R22" i="18"/>
  <c r="P22" i="18" s="1"/>
  <c r="S22" i="18" s="1"/>
  <c r="T22" i="18" s="1"/>
  <c r="U22" i="18" s="1"/>
  <c r="R21" i="18"/>
  <c r="P21" i="18" s="1"/>
  <c r="S21" i="18" s="1"/>
  <c r="T21" i="18" s="1"/>
  <c r="U21" i="18" s="1"/>
  <c r="R19" i="18"/>
  <c r="P19" i="18" s="1"/>
  <c r="S19" i="18" s="1"/>
  <c r="T19" i="18" s="1"/>
  <c r="U19" i="18" s="1"/>
  <c r="R12" i="18"/>
  <c r="S45" i="17"/>
  <c r="Q45" i="17" s="1"/>
  <c r="T45" i="17" s="1"/>
  <c r="U45" i="17" s="1"/>
  <c r="V45" i="17" s="1"/>
  <c r="W45" i="17" s="1"/>
  <c r="S44" i="17"/>
  <c r="S43" i="17"/>
  <c r="Q43" i="17" s="1"/>
  <c r="T43" i="17" s="1"/>
  <c r="U43" i="17" s="1"/>
  <c r="V43" i="17" s="1"/>
  <c r="S39" i="17"/>
  <c r="S38" i="17"/>
  <c r="Q38" i="17" s="1"/>
  <c r="T38" i="17" s="1"/>
  <c r="U38" i="17" s="1"/>
  <c r="V38" i="17" s="1"/>
  <c r="S34" i="17"/>
  <c r="S29" i="17"/>
  <c r="Q29" i="17" s="1"/>
  <c r="T29" i="17" s="1"/>
  <c r="U29" i="17" s="1"/>
  <c r="V29" i="17" s="1"/>
  <c r="S28" i="17"/>
  <c r="Q28" i="17" s="1"/>
  <c r="T28" i="17" s="1"/>
  <c r="U28" i="17" s="1"/>
  <c r="V28" i="17" s="1"/>
  <c r="S24" i="17"/>
  <c r="S16" i="17"/>
  <c r="Q16" i="17" s="1"/>
  <c r="S15" i="17"/>
  <c r="S12" i="17"/>
  <c r="S18" i="22"/>
  <c r="S17" i="22"/>
  <c r="Q17" i="22" s="1"/>
  <c r="T17" i="22" s="1"/>
  <c r="U17" i="22" s="1"/>
  <c r="V17" i="22" s="1"/>
  <c r="S15" i="22"/>
  <c r="S14" i="22"/>
  <c r="Q14" i="22" s="1"/>
  <c r="T14" i="22" s="1"/>
  <c r="U14" i="22" s="1"/>
  <c r="V14" i="22" s="1"/>
  <c r="W14" i="22" s="1"/>
  <c r="S11" i="22"/>
  <c r="Q11" i="22" s="1"/>
  <c r="T11" i="22" s="1"/>
  <c r="U11" i="22" s="1"/>
  <c r="V11" i="22" s="1"/>
  <c r="S7" i="22"/>
  <c r="Q7" i="22" s="1"/>
  <c r="T7" i="22" s="1"/>
  <c r="U7" i="22" s="1"/>
  <c r="V7" i="22" s="1"/>
  <c r="M26" i="21"/>
  <c r="S28" i="20"/>
  <c r="Q28" i="20" s="1"/>
  <c r="S27" i="20"/>
  <c r="Q27" i="20" s="1"/>
  <c r="T27" i="20" s="1"/>
  <c r="U27" i="20" s="1"/>
  <c r="V27" i="20" s="1"/>
  <c r="S26" i="20"/>
  <c r="S25" i="20"/>
  <c r="Q25" i="20" s="1"/>
  <c r="T25" i="20" s="1"/>
  <c r="U25" i="20" s="1"/>
  <c r="V25" i="20" s="1"/>
  <c r="S24" i="20"/>
  <c r="Q24" i="20" s="1"/>
  <c r="T24" i="20" s="1"/>
  <c r="U24" i="20" s="1"/>
  <c r="V24" i="20" s="1"/>
  <c r="S22" i="20"/>
  <c r="Q22" i="20" s="1"/>
  <c r="T22" i="20" s="1"/>
  <c r="U22" i="20" s="1"/>
  <c r="V22" i="20" s="1"/>
  <c r="W22" i="20" s="1"/>
  <c r="S13" i="20"/>
  <c r="Q13" i="20" s="1"/>
  <c r="T13" i="20" s="1"/>
  <c r="U13" i="20" s="1"/>
  <c r="V13" i="20" s="1"/>
  <c r="S12" i="20"/>
  <c r="Q12" i="20" s="1"/>
  <c r="T12" i="20" s="1"/>
  <c r="U12" i="20" s="1"/>
  <c r="V12" i="20" s="1"/>
  <c r="S10" i="20"/>
  <c r="S8" i="20"/>
  <c r="Q8" i="20" s="1"/>
  <c r="T8" i="20" s="1"/>
  <c r="U8" i="20" s="1"/>
  <c r="V8" i="20" s="1"/>
  <c r="S7" i="20"/>
  <c r="Q7" i="20" s="1"/>
  <c r="T7" i="20" s="1"/>
  <c r="S57" i="19"/>
  <c r="S55" i="19"/>
  <c r="S46" i="19"/>
  <c r="S45" i="19"/>
  <c r="S41" i="19"/>
  <c r="Q44" i="17"/>
  <c r="T44" i="17" s="1"/>
  <c r="U44" i="17" s="1"/>
  <c r="V44" i="17" s="1"/>
  <c r="W44" i="17" s="1"/>
  <c r="Q39" i="17"/>
  <c r="T39" i="17" s="1"/>
  <c r="U39" i="17" s="1"/>
  <c r="Q34" i="17"/>
  <c r="Q24" i="17"/>
  <c r="T24" i="17" s="1"/>
  <c r="U24" i="17" s="1"/>
  <c r="V24" i="17" s="1"/>
  <c r="W24" i="17" s="1"/>
  <c r="Q15" i="17"/>
  <c r="T15" i="17" s="1"/>
  <c r="U15" i="17" s="1"/>
  <c r="V15" i="17" s="1"/>
  <c r="R10" i="15"/>
  <c r="Q10" i="15" s="1"/>
  <c r="S10" i="15" s="1"/>
  <c r="R12" i="15"/>
  <c r="Q12" i="15" s="1"/>
  <c r="S12" i="15" s="1"/>
  <c r="R16" i="15"/>
  <c r="Q16" i="15" s="1"/>
  <c r="S16" i="15" s="1"/>
  <c r="R20" i="15"/>
  <c r="Q20" i="15" s="1"/>
  <c r="S20" i="15" s="1"/>
  <c r="R21" i="15"/>
  <c r="Q21" i="15" s="1"/>
  <c r="S21" i="15" s="1"/>
  <c r="R22" i="15"/>
  <c r="R26" i="15"/>
  <c r="Q26" i="15" s="1"/>
  <c r="S26" i="15" s="1"/>
  <c r="R30" i="15"/>
  <c r="Q30" i="15" s="1"/>
  <c r="S30" i="15" s="1"/>
  <c r="R31" i="15"/>
  <c r="Q31" i="15" s="1"/>
  <c r="R32" i="15"/>
  <c r="Q32" i="15" s="1"/>
  <c r="Q50" i="16"/>
  <c r="R50" i="16" s="1"/>
  <c r="S50" i="16" s="1"/>
  <c r="Q49" i="16"/>
  <c r="Q39" i="16"/>
  <c r="R39" i="16" s="1"/>
  <c r="S39" i="16" s="1"/>
  <c r="Q38" i="16"/>
  <c r="R38" i="16" s="1"/>
  <c r="Q32" i="16"/>
  <c r="Q33" i="16"/>
  <c r="Q30" i="16"/>
  <c r="R30" i="16" s="1"/>
  <c r="Q25" i="16"/>
  <c r="R25" i="16" s="1"/>
  <c r="S25" i="16" s="1"/>
  <c r="Q16" i="16"/>
  <c r="R16" i="16" s="1"/>
  <c r="S16" i="16" s="1"/>
  <c r="Q13" i="16"/>
  <c r="Q9" i="16"/>
  <c r="F321" i="1" l="1"/>
  <c r="M21" i="18"/>
  <c r="K37" i="18"/>
  <c r="G29" i="20"/>
  <c r="W31" i="18"/>
  <c r="X24" i="17"/>
  <c r="I24" i="17" s="1"/>
  <c r="X22" i="20"/>
  <c r="X45" i="17"/>
  <c r="X44" i="17"/>
  <c r="W8" i="16"/>
  <c r="X14" i="22"/>
  <c r="W12" i="20"/>
  <c r="W13" i="20"/>
  <c r="W24" i="20"/>
  <c r="W25" i="20"/>
  <c r="Q10" i="20"/>
  <c r="U10" i="20"/>
  <c r="V10" i="20" s="1"/>
  <c r="W8" i="20"/>
  <c r="W27" i="20"/>
  <c r="V49" i="16"/>
  <c r="V14" i="16"/>
  <c r="V36" i="16"/>
  <c r="W15" i="17"/>
  <c r="W29" i="17"/>
  <c r="W38" i="17"/>
  <c r="W43" i="17"/>
  <c r="W28" i="17"/>
  <c r="V19" i="18"/>
  <c r="V22" i="18"/>
  <c r="V21" i="18"/>
  <c r="W11" i="22"/>
  <c r="W7" i="22"/>
  <c r="W17" i="22"/>
  <c r="W41" i="19"/>
  <c r="T39" i="16"/>
  <c r="T50" i="16"/>
  <c r="U50" i="16" s="1"/>
  <c r="T16" i="16"/>
  <c r="U16" i="16" s="1"/>
  <c r="T25" i="16"/>
  <c r="U25" i="16" s="1"/>
  <c r="V25" i="16" s="1"/>
  <c r="T26" i="15"/>
  <c r="T12" i="15"/>
  <c r="U12" i="15" s="1"/>
  <c r="T10" i="15"/>
  <c r="U10" i="15" s="1"/>
  <c r="T30" i="15"/>
  <c r="T21" i="15"/>
  <c r="U21" i="15" s="1"/>
  <c r="T20" i="15"/>
  <c r="U20" i="15" s="1"/>
  <c r="T16" i="15"/>
  <c r="T26" i="20"/>
  <c r="U26" i="20" s="1"/>
  <c r="Q12" i="18"/>
  <c r="P12" i="18" s="1"/>
  <c r="S12" i="18" s="1"/>
  <c r="Q58" i="19"/>
  <c r="Q54" i="19"/>
  <c r="Q50" i="19"/>
  <c r="Q49" i="19"/>
  <c r="Q48" i="19"/>
  <c r="Q47" i="19"/>
  <c r="Q43" i="19"/>
  <c r="Q39" i="19"/>
  <c r="S38" i="19"/>
  <c r="Q37" i="19"/>
  <c r="Q34" i="19"/>
  <c r="Q33" i="19"/>
  <c r="Q30" i="19"/>
  <c r="Q29" i="19"/>
  <c r="Q8" i="19"/>
  <c r="M24" i="17" l="1"/>
  <c r="M16" i="20"/>
  <c r="M22" i="20"/>
  <c r="W21" i="18"/>
  <c r="W19" i="18"/>
  <c r="W22" i="18"/>
  <c r="V21" i="15"/>
  <c r="W21" i="15" s="1"/>
  <c r="K29" i="20"/>
  <c r="K19" i="22"/>
  <c r="X43" i="17"/>
  <c r="I43" i="17" s="1"/>
  <c r="M43" i="17" s="1"/>
  <c r="X29" i="17"/>
  <c r="I29" i="17" s="1"/>
  <c r="M29" i="17" s="1"/>
  <c r="X15" i="17"/>
  <c r="X28" i="17"/>
  <c r="X38" i="17"/>
  <c r="I38" i="17" s="1"/>
  <c r="M38" i="17" s="1"/>
  <c r="X41" i="19"/>
  <c r="X8" i="20"/>
  <c r="X24" i="20"/>
  <c r="X27" i="20"/>
  <c r="X13" i="20"/>
  <c r="X12" i="20"/>
  <c r="W14" i="16"/>
  <c r="X25" i="20"/>
  <c r="W49" i="16"/>
  <c r="W36" i="16"/>
  <c r="W25" i="16"/>
  <c r="X17" i="22"/>
  <c r="X7" i="22"/>
  <c r="I7" i="22" s="1"/>
  <c r="M7" i="22" s="1"/>
  <c r="X11" i="22"/>
  <c r="W10" i="20"/>
  <c r="V50" i="16"/>
  <c r="V20" i="15"/>
  <c r="W20" i="15" s="1"/>
  <c r="V10" i="15"/>
  <c r="W10" i="15" s="1"/>
  <c r="V12" i="15"/>
  <c r="W12" i="15" s="1"/>
  <c r="N12" i="15" s="1"/>
  <c r="S30" i="19"/>
  <c r="T30" i="19"/>
  <c r="U30" i="19" s="1"/>
  <c r="V30" i="19" s="1"/>
  <c r="W30" i="19" s="1"/>
  <c r="S34" i="19"/>
  <c r="T34" i="19"/>
  <c r="U34" i="19" s="1"/>
  <c r="V34" i="19" s="1"/>
  <c r="S39" i="19"/>
  <c r="T39" i="19"/>
  <c r="U39" i="19" s="1"/>
  <c r="V39" i="19" s="1"/>
  <c r="S43" i="19"/>
  <c r="T43" i="19"/>
  <c r="U43" i="19" s="1"/>
  <c r="V43" i="19" s="1"/>
  <c r="S49" i="19"/>
  <c r="T49" i="19"/>
  <c r="U49" i="19" s="1"/>
  <c r="V49" i="19" s="1"/>
  <c r="W49" i="19" s="1"/>
  <c r="S58" i="19"/>
  <c r="T58" i="19"/>
  <c r="U58" i="19" s="1"/>
  <c r="V58" i="19" s="1"/>
  <c r="W58" i="19" s="1"/>
  <c r="S8" i="19"/>
  <c r="T8" i="19"/>
  <c r="U8" i="19" s="1"/>
  <c r="V8" i="19" s="1"/>
  <c r="S29" i="19"/>
  <c r="T29" i="19"/>
  <c r="U29" i="19" s="1"/>
  <c r="V29" i="19" s="1"/>
  <c r="S33" i="19"/>
  <c r="T33" i="19"/>
  <c r="U33" i="19" s="1"/>
  <c r="V33" i="19" s="1"/>
  <c r="S37" i="19"/>
  <c r="T37" i="19"/>
  <c r="U37" i="19" s="1"/>
  <c r="V37" i="19" s="1"/>
  <c r="S47" i="19"/>
  <c r="T47" i="19"/>
  <c r="U47" i="19" s="1"/>
  <c r="V47" i="19" s="1"/>
  <c r="S48" i="19"/>
  <c r="T48" i="19"/>
  <c r="U48" i="19" s="1"/>
  <c r="V48" i="19" s="1"/>
  <c r="W48" i="19" s="1"/>
  <c r="S50" i="19"/>
  <c r="T50" i="19"/>
  <c r="U50" i="19" s="1"/>
  <c r="V50" i="19" s="1"/>
  <c r="S54" i="19"/>
  <c r="T54" i="19"/>
  <c r="U54" i="19" s="1"/>
  <c r="V54" i="19" s="1"/>
  <c r="S56" i="19"/>
  <c r="E117" i="1"/>
  <c r="F117" i="1" l="1"/>
  <c r="M39" i="29"/>
  <c r="I39" i="29"/>
  <c r="N10" i="15"/>
  <c r="N34" i="15" s="1"/>
  <c r="J34" i="15"/>
  <c r="M46" i="17"/>
  <c r="I37" i="18"/>
  <c r="M19" i="18"/>
  <c r="M37" i="18" s="1"/>
  <c r="I46" i="17"/>
  <c r="M51" i="16"/>
  <c r="M25" i="20"/>
  <c r="I12" i="20"/>
  <c r="M12" i="20" s="1"/>
  <c r="I14" i="20"/>
  <c r="M14" i="20" s="1"/>
  <c r="M13" i="20"/>
  <c r="I51" i="16"/>
  <c r="X48" i="19"/>
  <c r="X49" i="19"/>
  <c r="X30" i="19"/>
  <c r="X10" i="20"/>
  <c r="X58" i="19"/>
  <c r="W50" i="16"/>
  <c r="V37" i="18"/>
  <c r="V51" i="16"/>
  <c r="W50" i="19"/>
  <c r="W33" i="19"/>
  <c r="W8" i="19"/>
  <c r="W43" i="19"/>
  <c r="W39" i="19"/>
  <c r="W34" i="19"/>
  <c r="W54" i="19"/>
  <c r="W47" i="19"/>
  <c r="W37" i="19"/>
  <c r="W29" i="19"/>
  <c r="M29" i="20" l="1"/>
  <c r="I29" i="20"/>
  <c r="X8" i="19"/>
  <c r="X29" i="19"/>
  <c r="M14" i="19" s="1"/>
  <c r="X54" i="19"/>
  <c r="X34" i="19"/>
  <c r="X39" i="19"/>
  <c r="I23" i="19" s="1"/>
  <c r="M23" i="19" s="1"/>
  <c r="X43" i="19"/>
  <c r="X50" i="19"/>
  <c r="X47" i="19"/>
  <c r="X33" i="19"/>
  <c r="X37" i="19"/>
  <c r="M37" i="19" s="1"/>
  <c r="I19" i="22" l="1"/>
  <c r="M39" i="19"/>
  <c r="M34" i="19"/>
  <c r="M46" i="19"/>
  <c r="M19" i="22"/>
  <c r="I17" i="19"/>
  <c r="M17" i="19" s="1"/>
  <c r="M58" i="19"/>
  <c r="I59" i="19" l="1"/>
  <c r="M59" i="19"/>
  <c r="I19" i="23" l="1"/>
  <c r="H19" i="23"/>
  <c r="G19" i="23"/>
  <c r="F19" i="23"/>
  <c r="E19" i="23"/>
  <c r="D19" i="23"/>
  <c r="C19" i="23"/>
  <c r="B19" i="23"/>
  <c r="I15" i="23"/>
  <c r="H15" i="23"/>
  <c r="G15" i="23"/>
  <c r="F15" i="23"/>
  <c r="E15" i="23"/>
  <c r="D15" i="23"/>
  <c r="C15" i="23"/>
  <c r="B15" i="23"/>
  <c r="O377" i="1"/>
  <c r="H21" i="23"/>
  <c r="G21" i="23"/>
  <c r="F21" i="23"/>
  <c r="E21" i="23"/>
  <c r="D21" i="23"/>
  <c r="C21" i="23"/>
  <c r="B21" i="23"/>
  <c r="H20" i="23"/>
  <c r="G20" i="23"/>
  <c r="F20" i="23"/>
  <c r="E20" i="23"/>
  <c r="D20" i="23"/>
  <c r="C20" i="23"/>
  <c r="B20" i="23"/>
  <c r="H18" i="23"/>
  <c r="G18" i="23"/>
  <c r="F18" i="23"/>
  <c r="E18" i="23"/>
  <c r="D18" i="23"/>
  <c r="I18" i="23"/>
  <c r="B18" i="23"/>
  <c r="H17" i="23"/>
  <c r="G17" i="23"/>
  <c r="F17" i="23"/>
  <c r="E17" i="23"/>
  <c r="D17" i="23"/>
  <c r="C17" i="23"/>
  <c r="B17" i="23"/>
  <c r="H16" i="23"/>
  <c r="G16" i="23"/>
  <c r="F16" i="23"/>
  <c r="E16" i="23"/>
  <c r="D16" i="23"/>
  <c r="C16" i="23"/>
  <c r="B16" i="23"/>
  <c r="H14" i="23"/>
  <c r="H22" i="23" s="1"/>
  <c r="G14" i="23"/>
  <c r="G22" i="23" s="1"/>
  <c r="O388" i="1"/>
  <c r="E14" i="23"/>
  <c r="E22" i="23" s="1"/>
  <c r="C14" i="23"/>
  <c r="C22" i="23" s="1"/>
  <c r="I14" i="23"/>
  <c r="I22" i="23" s="1"/>
  <c r="G7" i="23"/>
  <c r="D7" i="23"/>
  <c r="E37" i="1"/>
  <c r="F37" i="1" l="1"/>
  <c r="I21" i="23"/>
  <c r="I20" i="23"/>
  <c r="C18" i="23"/>
  <c r="I17" i="23"/>
  <c r="I16" i="23"/>
  <c r="D14" i="23"/>
  <c r="F14" i="23"/>
  <c r="F22" i="23" s="1"/>
  <c r="E330" i="1"/>
  <c r="E100" i="1"/>
  <c r="F330" i="1" l="1"/>
  <c r="D22" i="23"/>
  <c r="D24" i="23" s="1"/>
  <c r="D28" i="23" s="1"/>
  <c r="K56" i="26"/>
</calcChain>
</file>

<file path=xl/comments1.xml><?xml version="1.0" encoding="utf-8"?>
<comments xmlns="http://schemas.openxmlformats.org/spreadsheetml/2006/main">
  <authors>
    <author>User</author>
  </authors>
  <commentList>
    <comment ref="B2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<sst xmlns="http://schemas.openxmlformats.org/spreadsheetml/2006/main" count="4405" uniqueCount="1877">
  <si>
    <t>NEW CITY KNIGHTS LENDING, INC</t>
  </si>
  <si>
    <t>National Highway, Bayawan City</t>
  </si>
  <si>
    <t>NAME</t>
  </si>
  <si>
    <t>ADDRESS</t>
  </si>
  <si>
    <t>RELEASED DATE</t>
  </si>
  <si>
    <t>DUE DATE</t>
  </si>
  <si>
    <t>PRINCIPAL</t>
  </si>
  <si>
    <t>BALANCE</t>
  </si>
  <si>
    <t>CARANOCHE</t>
  </si>
  <si>
    <t>TINAGO</t>
  </si>
  <si>
    <t>NAPIT-AN</t>
  </si>
  <si>
    <t>AMPARO'S VILLAGE</t>
  </si>
  <si>
    <t>BANGA</t>
  </si>
  <si>
    <t>VILLAREAL</t>
  </si>
  <si>
    <t>KALUMBOYAN</t>
  </si>
  <si>
    <t>UBOS</t>
  </si>
  <si>
    <t>PAGATBAN</t>
  </si>
  <si>
    <t>POBLACION</t>
  </si>
  <si>
    <t>MALABUGAS</t>
  </si>
  <si>
    <t>INTEREST</t>
  </si>
  <si>
    <t>POB, STA</t>
  </si>
  <si>
    <t>LOPEZVILLE</t>
  </si>
  <si>
    <t>BASAY</t>
  </si>
  <si>
    <t>BACANG, EDITHA</t>
  </si>
  <si>
    <t>OMOD</t>
  </si>
  <si>
    <t>CAWITAN</t>
  </si>
  <si>
    <t>DUMAT-OL, MARIBETH</t>
  </si>
  <si>
    <t>BOYCO</t>
  </si>
  <si>
    <t>NANGKA</t>
  </si>
  <si>
    <t>MANINIHON</t>
  </si>
  <si>
    <t>DANAG, DAVID</t>
  </si>
  <si>
    <t>GUBA, STA</t>
  </si>
  <si>
    <t>SUBA</t>
  </si>
  <si>
    <t>NAGBAGANG</t>
  </si>
  <si>
    <t>LAMIS, ROMULO</t>
  </si>
  <si>
    <t>NUIQUE, JUVY</t>
  </si>
  <si>
    <t>OIRA, EDELISA</t>
  </si>
  <si>
    <t>C/ O CENTRUM</t>
  </si>
  <si>
    <t>TAB-ANG</t>
  </si>
  <si>
    <t>PASCOBELLO, BRENDA</t>
  </si>
  <si>
    <t>SAN ROQUE</t>
  </si>
  <si>
    <t>SELORIO, BENITA</t>
  </si>
  <si>
    <t>ALANGILAN</t>
  </si>
  <si>
    <t>TAYAWAN</t>
  </si>
  <si>
    <t>TEJE, ROGER</t>
  </si>
  <si>
    <t>VILLANUEVA, VIOLETA</t>
  </si>
  <si>
    <t>VILLANUEVA, ANGELICA</t>
  </si>
  <si>
    <t>TABUAN</t>
  </si>
  <si>
    <t>DGTE CITY</t>
  </si>
  <si>
    <t>BARRERA, CLEMENTE</t>
  </si>
  <si>
    <t>DAY, JOSE</t>
  </si>
  <si>
    <t>BANQUERIGO, BOBET</t>
  </si>
  <si>
    <t>LARENIO, DAHLIA</t>
  </si>
  <si>
    <t>DIMASUHID, CHRISTOPHER</t>
  </si>
  <si>
    <t>G.K. VILLAGE</t>
  </si>
  <si>
    <t>TAPDASAN, NORMA</t>
  </si>
  <si>
    <t>ESTRELLA, WILFREDO</t>
  </si>
  <si>
    <t>DEQUIÑON, MARIETTA</t>
  </si>
  <si>
    <t>ALQUIZA, GRACE</t>
  </si>
  <si>
    <t>TRIBO, ABONIS</t>
  </si>
  <si>
    <t>ESTRADA, AMPARO</t>
  </si>
  <si>
    <t>TATOY, EDITH</t>
  </si>
  <si>
    <t>MONDIA, MARIBETH</t>
  </si>
  <si>
    <t>JUNSAY, SUSAN</t>
  </si>
  <si>
    <t>MAMON, SONIA</t>
  </si>
  <si>
    <t>ACIBRON, ALMALYN</t>
  </si>
  <si>
    <t>NARIO, MARIBEL</t>
  </si>
  <si>
    <t>ORQUE, MERLYN</t>
  </si>
  <si>
    <t>ALIPA, MARIANO</t>
  </si>
  <si>
    <t>SAJULLA, FENELA</t>
  </si>
  <si>
    <t>TENENCIA, RESURRECION</t>
  </si>
  <si>
    <t>PACULARES, DOROTEA</t>
  </si>
  <si>
    <t>MIRASOL, RAMIE</t>
  </si>
  <si>
    <t>LAMPAGO, IMELDA</t>
  </si>
  <si>
    <t>GELERA, GERRY</t>
  </si>
  <si>
    <t>MINABA</t>
  </si>
  <si>
    <t>NO PAYMENT</t>
  </si>
  <si>
    <t>NEW</t>
  </si>
  <si>
    <t>VILLAMIL, KENT</t>
  </si>
  <si>
    <t>LAST PAYMENT</t>
  </si>
  <si>
    <t>PENALTY</t>
  </si>
  <si>
    <t>AGUATIS, ADONIS</t>
  </si>
  <si>
    <t>ABUZO, JAMES</t>
  </si>
  <si>
    <t>ESPAÑOLA, ANTONIO</t>
  </si>
  <si>
    <t>BANAY2x</t>
  </si>
  <si>
    <t>PROS, DENNIS</t>
  </si>
  <si>
    <t>BANOGON, ROLANDO</t>
  </si>
  <si>
    <t>NEW CITY KNIGHTS LENDING, INC.</t>
  </si>
  <si>
    <t>ACCOUNTS RELEASED FROM JANUARY TO DECEMBER 2008</t>
  </si>
  <si>
    <t xml:space="preserve"> </t>
  </si>
  <si>
    <t>RELEASED</t>
  </si>
  <si>
    <t>DATE</t>
  </si>
  <si>
    <t>DUE</t>
  </si>
  <si>
    <t xml:space="preserve"> DATE</t>
  </si>
  <si>
    <t>CABASAG, MANERSON</t>
  </si>
  <si>
    <t>TERM</t>
  </si>
  <si>
    <t>DAYS</t>
  </si>
  <si>
    <t>(MOS)</t>
  </si>
  <si>
    <t>ORIGINAL</t>
  </si>
  <si>
    <t>INTEREST BALANCES</t>
  </si>
  <si>
    <t>TERMS</t>
  </si>
  <si>
    <t>GALLANO,PATRI JOY S.</t>
  </si>
  <si>
    <t>POB. BASAY</t>
  </si>
  <si>
    <t>PIOQUINTO,ARTURO</t>
  </si>
  <si>
    <t>AMPAROS</t>
  </si>
  <si>
    <t>ATAY,FELIX</t>
  </si>
  <si>
    <t>GAMO, PACITA</t>
  </si>
  <si>
    <t>AMPAROS V.</t>
  </si>
  <si>
    <t>CARRASCOSO, CHARNIE</t>
  </si>
  <si>
    <t>CELES, MARIVIC</t>
  </si>
  <si>
    <t>A.VILLAGE</t>
  </si>
  <si>
    <t>LATAGAN, NILO</t>
  </si>
  <si>
    <t>TOTAL PRICIPAL</t>
  </si>
  <si>
    <t>ORIG.</t>
  </si>
  <si>
    <t>PAYMENT THIS</t>
  </si>
  <si>
    <t>BALANCE AS OF</t>
  </si>
  <si>
    <t>ORIG</t>
  </si>
  <si>
    <t>PLUS INTEREST</t>
  </si>
  <si>
    <t>MONTH</t>
  </si>
  <si>
    <t>PAYMENT</t>
  </si>
  <si>
    <t>ANIÑON,EDITH</t>
  </si>
  <si>
    <t>RAMOS MONTE DE,ROSA</t>
  </si>
  <si>
    <t>ZAMORA,WILLDENN</t>
  </si>
  <si>
    <t xml:space="preserve">                       PRINCIPAL BALANCES</t>
  </si>
  <si>
    <t xml:space="preserve">     &amp; PENALTY</t>
  </si>
  <si>
    <t>CABARLES,ROLANDO</t>
  </si>
  <si>
    <t>CABEL,VIOLETA</t>
  </si>
  <si>
    <t>TINAGO,B.C.</t>
  </si>
  <si>
    <t>G.K,VILLAGE,B.V.</t>
  </si>
  <si>
    <t>STA. CATA</t>
  </si>
  <si>
    <t>EMBALSADO,MARY DRIN</t>
  </si>
  <si>
    <t>LASTIMOSO,REJIE</t>
  </si>
  <si>
    <t>BOYCO ,B.C.</t>
  </si>
  <si>
    <t>POB.STA.CATALINA</t>
  </si>
  <si>
    <t>SUBA,B.C.</t>
  </si>
  <si>
    <t>SOLDEVILLA, SHEILA JEAN</t>
  </si>
  <si>
    <t>VILLAGONZALO,SALVADOR</t>
  </si>
  <si>
    <t>UBOS.B.C</t>
  </si>
  <si>
    <t>VILLAVER, MA.Concepcion</t>
  </si>
  <si>
    <t xml:space="preserve">DATE </t>
  </si>
  <si>
    <t>ALTERADO,ROMULO A.</t>
  </si>
  <si>
    <t>BAUTISTA, WILMA</t>
  </si>
  <si>
    <t>BAYAWAN-BANGA</t>
  </si>
  <si>
    <t>BORRES, SAMUEL</t>
  </si>
  <si>
    <t>CABALLERO, IRENE</t>
  </si>
  <si>
    <t>CALAMBA, LORINA</t>
  </si>
  <si>
    <t>CALIBO, ROBERTO</t>
  </si>
  <si>
    <t>CAÑEDO, MERLINA</t>
  </si>
  <si>
    <t>DIOCARES, REMY</t>
  </si>
  <si>
    <t>EGANG, JAMES</t>
  </si>
  <si>
    <t>HOBRO, REBECCA</t>
  </si>
  <si>
    <t>JARDINIANO, JOSE VINCENT</t>
  </si>
  <si>
    <t>STA. CAT-BLISS</t>
  </si>
  <si>
    <t>LEGASPI, JECEL</t>
  </si>
  <si>
    <t>BAYAWAN-POBLACION</t>
  </si>
  <si>
    <t>PABILANDO, GENEVIVE</t>
  </si>
  <si>
    <t>RUFA, MELFA</t>
  </si>
  <si>
    <t>SABDANI, MARLON ELOISA</t>
  </si>
  <si>
    <t>STA. CAT.-POBLACION</t>
  </si>
  <si>
    <t>SOLAMILLO, RANILLO</t>
  </si>
  <si>
    <t>SUETA, ARSENIO</t>
  </si>
  <si>
    <t>TAMALA, STANLY</t>
  </si>
  <si>
    <t>TUPAN, LUZ</t>
  </si>
  <si>
    <t>VERGARA, ADRIAN</t>
  </si>
  <si>
    <t>VERGARA, JOSE</t>
  </si>
  <si>
    <t>VILLALUZ, WENCHITA</t>
  </si>
  <si>
    <t xml:space="preserve">PAST DUE - 2007 RELEASES </t>
  </si>
  <si>
    <t>ARCON, ROMEO</t>
  </si>
  <si>
    <t>CARLON,LUZVISMINDA</t>
  </si>
  <si>
    <t>CATACUTAN, REYNARD</t>
  </si>
  <si>
    <t>CAWIT, LEOPOLDO</t>
  </si>
  <si>
    <t>COLINA, RAMIRO</t>
  </si>
  <si>
    <t>ENCARNACION, ROGELIO</t>
  </si>
  <si>
    <t>FRANCUNAS, MELCHOR</t>
  </si>
  <si>
    <t>BAYAWAN-UBOS</t>
  </si>
  <si>
    <t>GARNICA, NICOLAS</t>
  </si>
  <si>
    <t>GARRUCHO, PASCUALITO</t>
  </si>
  <si>
    <t>GAYO, DIOGENES</t>
  </si>
  <si>
    <t>GUTANG, DELIA</t>
  </si>
  <si>
    <t>STA. CAT-CAWITAN</t>
  </si>
  <si>
    <t>HERMOSA, ANTHONY</t>
  </si>
  <si>
    <t>HISONA, REYNALDO</t>
  </si>
  <si>
    <t>LAGOS, CELSO</t>
  </si>
  <si>
    <t>LUMAYA, BETTY</t>
  </si>
  <si>
    <t>STA. CAT-CARANOCHE</t>
  </si>
  <si>
    <t>MISSION, ABNER</t>
  </si>
  <si>
    <t>MOLEÑO, MARIE JOY</t>
  </si>
  <si>
    <t>MUYCO, MA. LUISA</t>
  </si>
  <si>
    <t>OMONDANG, GEMMA</t>
  </si>
  <si>
    <t>PADILLA, ROCKCHIE</t>
  </si>
  <si>
    <t>PASCULADO, MYRNA</t>
  </si>
  <si>
    <t>PEÑA DELA, PAULO</t>
  </si>
  <si>
    <t>PINILI, LUIS</t>
  </si>
  <si>
    <t>RIVERA, EVELYN</t>
  </si>
  <si>
    <t>ROCERO, SALVACION</t>
  </si>
  <si>
    <t>RODRIGUEZ, MA. CRISTINA</t>
  </si>
  <si>
    <t>ROMERO, ROSALINA</t>
  </si>
  <si>
    <t>SABILAGA, ALLAN</t>
  </si>
  <si>
    <t>SABIO, GELA</t>
  </si>
  <si>
    <t>SALA, IAN BUTCH</t>
  </si>
  <si>
    <t>SIABOC, FRANCISCO</t>
  </si>
  <si>
    <t>SOLAMILLO, ARTEMIO</t>
  </si>
  <si>
    <t>TABEROS, MARILITO</t>
  </si>
  <si>
    <t>TEVES, LYRA</t>
  </si>
  <si>
    <t>TOLELES, JIMUEL</t>
  </si>
  <si>
    <t>TRAGICO, BEATRIZ</t>
  </si>
  <si>
    <t>TRAYVILLA, MELBA</t>
  </si>
  <si>
    <t>TUMIMBANG, RODRIGO</t>
  </si>
  <si>
    <t>VELASCO, MARSHAL</t>
  </si>
  <si>
    <t>VELASCO, MICHAEL</t>
  </si>
  <si>
    <t>VILLEZA, BETHEL LYNN</t>
  </si>
  <si>
    <t>YSOLA, OLIVER</t>
  </si>
  <si>
    <t>PAST DUE - 2006 RELEASES</t>
  </si>
  <si>
    <t>ABEJERO, TITA</t>
  </si>
  <si>
    <t>SIATON-POBLACION</t>
  </si>
  <si>
    <t>ALVAREZ, SHALONE</t>
  </si>
  <si>
    <t>GUIHULNGAN</t>
  </si>
  <si>
    <t>ASPERA, ROMEL</t>
  </si>
  <si>
    <t>AZORES, MARYLOU</t>
  </si>
  <si>
    <t>BALINIA, PATRICK</t>
  </si>
  <si>
    <t>BANDIOLA, VICTORIA</t>
  </si>
  <si>
    <t>BELISTA, EDUARDO</t>
  </si>
  <si>
    <t>BENDIJO, EDISON</t>
  </si>
  <si>
    <t>BERANDINO, ARMANDO</t>
  </si>
  <si>
    <t>BITO-ON, KAREN SALUD</t>
  </si>
  <si>
    <t>BOLLOS, ASUNCION</t>
  </si>
  <si>
    <t>BUENA, NOCHE</t>
  </si>
  <si>
    <t>CALAMBA, HEIDE</t>
  </si>
  <si>
    <t>CALIAO, JURANDIE</t>
  </si>
  <si>
    <t>CALUMPANG, ANDREW</t>
  </si>
  <si>
    <t>CAMPOS, LUZMINDA</t>
  </si>
  <si>
    <t>CREDO, VICTORIA</t>
  </si>
  <si>
    <t>DALES, ODETTE</t>
  </si>
  <si>
    <t>DEREQUITO, JOSEPHINE</t>
  </si>
  <si>
    <t>DIAO, AARON</t>
  </si>
  <si>
    <t>DIAZ, LUCIA</t>
  </si>
  <si>
    <t>ESCALA, MARLYN</t>
  </si>
  <si>
    <t>ESMAEL, ANTONIO</t>
  </si>
  <si>
    <t>ESTOCONING, FRANKLYN</t>
  </si>
  <si>
    <t>EWAYAN, SARAH</t>
  </si>
  <si>
    <t>GAMUTAN, SEVERA</t>
  </si>
  <si>
    <t>GANAGANAG, PACITA</t>
  </si>
  <si>
    <t>JALANDONI, JOCELYN</t>
  </si>
  <si>
    <t>JULKIPLI, JUDY</t>
  </si>
  <si>
    <t>LA-AG, EDWIN</t>
  </si>
  <si>
    <t>LASTIMOSO, MICHAEL</t>
  </si>
  <si>
    <t>LEGAJE, AMELITA</t>
  </si>
  <si>
    <t>LUMADA, LEONARDO</t>
  </si>
  <si>
    <t>MAHINAY, HENRY SR.</t>
  </si>
  <si>
    <t>MARTINEZ, ROSELYN</t>
  </si>
  <si>
    <t>MEDALLA, MICHAEL</t>
  </si>
  <si>
    <t>MENDOZA, MARIO</t>
  </si>
  <si>
    <t>MONTERO, MERLOU</t>
  </si>
  <si>
    <t>NUIQUE, TERESITA</t>
  </si>
  <si>
    <t>PALMAGIL, JEREMIAH</t>
  </si>
  <si>
    <t>PASAGDAY, RONALD</t>
  </si>
  <si>
    <t>PASINABO, WENEFREDA</t>
  </si>
  <si>
    <t>PEREZ, ROLANDO</t>
  </si>
  <si>
    <t>C/O BAYAWAN-PNB</t>
  </si>
  <si>
    <t>RECLA, JIMMY</t>
  </si>
  <si>
    <t>STA, CAT-NAGBAGANG</t>
  </si>
  <si>
    <t>REQUINA, CELSO</t>
  </si>
  <si>
    <t>RODA, GERARDO</t>
  </si>
  <si>
    <t>SEDILLO, ALBERTO</t>
  </si>
  <si>
    <t>SOBREVIÑAS, YVONNE</t>
  </si>
  <si>
    <t>TABORADA, ELENA</t>
  </si>
  <si>
    <t>TACANG, ROLANDO</t>
  </si>
  <si>
    <t>TIJING, BRYAN PAUL</t>
  </si>
  <si>
    <t>TIMBANGAN, ALEJANDRO</t>
  </si>
  <si>
    <t>TIMOSA, FELIX</t>
  </si>
  <si>
    <t>TORRE DELA, RODRIGO</t>
  </si>
  <si>
    <t>TRAVIÑA, LOLITA</t>
  </si>
  <si>
    <t>TRAYVILLA, WILLIAM</t>
  </si>
  <si>
    <t>TUAZON, TERESITA</t>
  </si>
  <si>
    <t>DGTE CITY-ALDEA</t>
  </si>
  <si>
    <t>TUMLAD, WILFREDO</t>
  </si>
  <si>
    <t>VALOR, WILMA</t>
  </si>
  <si>
    <t>VERGARA, ELENA</t>
  </si>
  <si>
    <t>VIOLA, VICENTE</t>
  </si>
  <si>
    <t>PAST DUE - 2005 RELEASES</t>
  </si>
  <si>
    <t>ACIBO,NORMA</t>
  </si>
  <si>
    <t>AMORGIENTE, LETECIA</t>
  </si>
  <si>
    <t>ANIÑON, ARNOLD</t>
  </si>
  <si>
    <t>ARNEGA, SHERBET</t>
  </si>
  <si>
    <t>AVERY, CHERRY ANN</t>
  </si>
  <si>
    <t>AVERY, TEOFILA</t>
  </si>
  <si>
    <t>BRILLANTES, MERLITA</t>
  </si>
  <si>
    <t>BURLAOS, FE</t>
  </si>
  <si>
    <t>CANDILADA, LUCILLE</t>
  </si>
  <si>
    <t>CASELA, ARMIN</t>
  </si>
  <si>
    <t>CELEZ, FLORDEVILLA</t>
  </si>
  <si>
    <t>CONTEMPLACION, RONITA</t>
  </si>
  <si>
    <t>CRUZ DELA, LELIBETH</t>
  </si>
  <si>
    <t>DAGOHOY, MA. ANITA</t>
  </si>
  <si>
    <t>DANDAN, BIENVENNIDA</t>
  </si>
  <si>
    <t>DIAMANTE, LUZ</t>
  </si>
  <si>
    <t>DIANGCO, FELICITAS</t>
  </si>
  <si>
    <t>ELECTONA, TYRONE</t>
  </si>
  <si>
    <t>GALVE, JOSEPHINE</t>
  </si>
  <si>
    <t>GOTLADERA, GREMMAR</t>
  </si>
  <si>
    <t>GUSTILLO, FRANCISCO</t>
  </si>
  <si>
    <t>JUMADLA, ANTONIO</t>
  </si>
  <si>
    <t>LAJATO, THELMA</t>
  </si>
  <si>
    <t>MAGDALAN, MARYJANE</t>
  </si>
  <si>
    <t>MIJIO, ROBERT</t>
  </si>
  <si>
    <t>OCAÑA, ANTONIO</t>
  </si>
  <si>
    <t>PABALATE, ROSEBELLA</t>
  </si>
  <si>
    <t>PADILLA, LOLITA</t>
  </si>
  <si>
    <t>PASIGUE, MA. CLEOFE</t>
  </si>
  <si>
    <t>QUILAT, ANTONIO</t>
  </si>
  <si>
    <t>RAPESORA, RAMIL</t>
  </si>
  <si>
    <t>ROMERO, CATALINA</t>
  </si>
  <si>
    <t>SOLAMILLO, NOVA</t>
  </si>
  <si>
    <t>SORRONDA, MA. VICTORIA</t>
  </si>
  <si>
    <t>TOLEDO, REESA MAY</t>
  </si>
  <si>
    <t>TOMONG, ROGELIO</t>
  </si>
  <si>
    <t>TORIBIO, VENANCIO</t>
  </si>
  <si>
    <t>TORRE DELA, JANMOR</t>
  </si>
  <si>
    <t>TORREQUEMADA, WILMA</t>
  </si>
  <si>
    <t>TOTING, MARIO</t>
  </si>
  <si>
    <t>TRAYVILLA, MELVIN</t>
  </si>
  <si>
    <t>TUBAN, NOREEN</t>
  </si>
  <si>
    <t>VILLANUEVA, JESSIE</t>
  </si>
  <si>
    <t>ZUNIEGA, REMO</t>
  </si>
  <si>
    <t>PAST DUE - 2004 RELEASES</t>
  </si>
  <si>
    <t>AC-AC, RAMIL</t>
  </si>
  <si>
    <t>BALINAS, JOEL</t>
  </si>
  <si>
    <t>CAPUNO, LEODEGARIO</t>
  </si>
  <si>
    <t>ELECTONA, RAYMUNDO</t>
  </si>
  <si>
    <t>ENSONG, REY EDUARD</t>
  </si>
  <si>
    <t>FERNANDEZ, MANUELITO</t>
  </si>
  <si>
    <t>NALAM, ANICITO</t>
  </si>
  <si>
    <t>NAPIGKIT, MARYTHEL</t>
  </si>
  <si>
    <t>PATRIMONIO, JOSEPHINE</t>
  </si>
  <si>
    <t>QUIBAL, AMOR DIVINO</t>
  </si>
  <si>
    <t>SALAW, TEDDY</t>
  </si>
  <si>
    <t>SARNO, EVANGELYN</t>
  </si>
  <si>
    <t>TAGACAY, MARICEL</t>
  </si>
  <si>
    <t>TONQUIN, FLORA MAY</t>
  </si>
  <si>
    <t>TORRED, ALEX PATERNO</t>
  </si>
  <si>
    <t>PAST DUE - 2003 RELEASES</t>
  </si>
  <si>
    <t>ABADIANO, ROBERTO</t>
  </si>
  <si>
    <t>ASUNCION, PERLA</t>
  </si>
  <si>
    <t>AUNGON, RUBEN</t>
  </si>
  <si>
    <t>BAJAS, MANUELITO</t>
  </si>
  <si>
    <t>BARDEÑAS, EMILY</t>
  </si>
  <si>
    <t>BARRIENTOS, CHARLIE KEN</t>
  </si>
  <si>
    <t>BERNABE, JAIME</t>
  </si>
  <si>
    <t>BISABIS, JUAN</t>
  </si>
  <si>
    <t>BOLLOS, NILDA</t>
  </si>
  <si>
    <t>BULAHAN, DROSELIN</t>
  </si>
  <si>
    <t>CATID, FE</t>
  </si>
  <si>
    <t>CRUZ DELA, CONCEPCION</t>
  </si>
  <si>
    <t>ELUM, CATALINO</t>
  </si>
  <si>
    <t>FIGURA, JUNRY</t>
  </si>
  <si>
    <t>GOTLADERA, PEREGRINA</t>
  </si>
  <si>
    <t>LOMOLJO, ERROL</t>
  </si>
  <si>
    <t>MAASIN, LOLITA</t>
  </si>
  <si>
    <t>MEDINA, JOSE AMORES</t>
  </si>
  <si>
    <t>MELENDRES, ARIEL</t>
  </si>
  <si>
    <t>MELENDRES, EDWIN</t>
  </si>
  <si>
    <t>MIRANDA,CONCHITA</t>
  </si>
  <si>
    <t>MONTAÑO, LORENA</t>
  </si>
  <si>
    <t>MUÑEZ, LOLITA</t>
  </si>
  <si>
    <t>NODADO, ISABEL</t>
  </si>
  <si>
    <t>DUMAGUETE-C/O BYWN CITY JAIL</t>
  </si>
  <si>
    <t>OLAM, ANNIE</t>
  </si>
  <si>
    <t>ORCALES, JORGE</t>
  </si>
  <si>
    <t>ORITO, WILSON</t>
  </si>
  <si>
    <t>QUIROS, OSCAR</t>
  </si>
  <si>
    <t>RODRIGUEZ, MILAGROS</t>
  </si>
  <si>
    <t>SIMILLANO, TESSIE</t>
  </si>
  <si>
    <t>SORIA, LUZBELLA</t>
  </si>
  <si>
    <t>TIZON, DAMASO</t>
  </si>
  <si>
    <t>TOMONG, JOE ANN</t>
  </si>
  <si>
    <t>TOMONG, NICANOR</t>
  </si>
  <si>
    <t>TOMONG, RAMONA</t>
  </si>
  <si>
    <t>TORRE DELA, EVELYN</t>
  </si>
  <si>
    <t>TULAYBA, DANILO</t>
  </si>
  <si>
    <t>YANGCO, AURELIA</t>
  </si>
  <si>
    <t>PAST DUE - 2002 RELEASES</t>
  </si>
  <si>
    <t>RECAP:</t>
  </si>
  <si>
    <t>CURRENT</t>
  </si>
  <si>
    <t>PAST DUE</t>
  </si>
  <si>
    <t>TOTAL P.D.</t>
  </si>
  <si>
    <t>GRAND TOTAL</t>
  </si>
  <si>
    <t>PER SL</t>
  </si>
  <si>
    <t>DISCREPANCY</t>
  </si>
  <si>
    <t>DO NOT TOUCH ANYTHING PLEASE !!!!</t>
  </si>
  <si>
    <t>ENTRIES ON THE FOLLOWING SHEETS MUST BE UPDATED</t>
  </si>
  <si>
    <t>AGUILAR,PABLITA</t>
  </si>
  <si>
    <t>C/O MOTOPOSH</t>
  </si>
  <si>
    <t>POB. STA. CAT</t>
  </si>
  <si>
    <t>ILALIM,JUNEVEL</t>
  </si>
  <si>
    <t>CANSIG-ID,BANGA</t>
  </si>
  <si>
    <t>OBAÑANA,DAVID E.</t>
  </si>
  <si>
    <t>PATRIMONIO,KEN G.</t>
  </si>
  <si>
    <t>PEPING GAMO TINAGO</t>
  </si>
  <si>
    <t>LOPEZVILLE BANGA</t>
  </si>
  <si>
    <t>2009 PAST DUE ACCOUNTS</t>
  </si>
  <si>
    <t>TOTAL</t>
  </si>
  <si>
    <t>AGUILAR, JOVENAL</t>
  </si>
  <si>
    <t>AMADO,LEDILO A.</t>
  </si>
  <si>
    <t>BATUIGAS,RELYN</t>
  </si>
  <si>
    <t>CASTRO,JASMERITA</t>
  </si>
  <si>
    <t>PAALAM,ESTERLITA A.</t>
  </si>
  <si>
    <t>PRICIPAL</t>
  </si>
  <si>
    <t>G.V. SUBD,B.C</t>
  </si>
  <si>
    <t>PACAN,JOSE JR</t>
  </si>
  <si>
    <t>MANALONGON</t>
  </si>
  <si>
    <t>ROMBINES, JOEL</t>
  </si>
  <si>
    <t>AMBOYON, TERESITA</t>
  </si>
  <si>
    <t>DAEL,EDWIN</t>
  </si>
  <si>
    <t>TAWI-TAWI,VILLAREAL</t>
  </si>
  <si>
    <t>BANUA,GLORIA D.</t>
  </si>
  <si>
    <t>TAGACAY, MARISSA</t>
  </si>
  <si>
    <t>SAN RAMON</t>
  </si>
  <si>
    <t>DOLATRE,JOYCE</t>
  </si>
  <si>
    <t>REMARKS</t>
  </si>
  <si>
    <t>REMAKS</t>
  </si>
  <si>
    <t>PAST DUE 2008</t>
  </si>
  <si>
    <t>CAMBULO,BANGA</t>
  </si>
  <si>
    <t>BUCAD,JEAN</t>
  </si>
  <si>
    <t>TALEON,JOCELYN</t>
  </si>
  <si>
    <t>CARLOTO,JOCELYN JINKY</t>
  </si>
  <si>
    <t>RIZAL ST.,TINAGO</t>
  </si>
  <si>
    <t>CROSSING SAN RAMON</t>
  </si>
  <si>
    <t>CLARO M. RECTO,BOYCO</t>
  </si>
  <si>
    <t>BULI-BULI,BANGA</t>
  </si>
  <si>
    <t>CADUNGOG,CHARLYN</t>
  </si>
  <si>
    <t>PAONER,ERLINDA</t>
  </si>
  <si>
    <t>BIGAY,EDMAR</t>
  </si>
  <si>
    <t>DUHAYLUNGSOD,RAFAEL</t>
  </si>
  <si>
    <t>VIESCA,ROSEDELVILLA</t>
  </si>
  <si>
    <t>EDRIAL,MARILOU</t>
  </si>
  <si>
    <t>SINCO,ELSIE</t>
  </si>
  <si>
    <t>CARANOCHE-STA.</t>
  </si>
  <si>
    <t>ALCOVER,BENJAMIN</t>
  </si>
  <si>
    <t>this month</t>
  </si>
  <si>
    <t>Int. Payment</t>
  </si>
  <si>
    <t>Penal.Payment</t>
  </si>
  <si>
    <t xml:space="preserve">Prin.PAYMENT </t>
  </si>
  <si>
    <t>GEPANAGA,REBECCA</t>
  </si>
  <si>
    <t>PLYWOOD</t>
  </si>
  <si>
    <t>BELLOSO SUBD.</t>
  </si>
  <si>
    <t>TOSETA,CRISILDA</t>
  </si>
  <si>
    <t>VALDE,MELCHOR</t>
  </si>
  <si>
    <t>Prin-payment</t>
  </si>
  <si>
    <t>Int.-payment</t>
  </si>
  <si>
    <t>Pen-payment</t>
  </si>
  <si>
    <t>BANTUG,RENATO</t>
  </si>
  <si>
    <t>UPPER MANINIHON</t>
  </si>
  <si>
    <t>Pen.Payments</t>
  </si>
  <si>
    <t>Total Prin+Int.</t>
  </si>
  <si>
    <t>Prin-Payments</t>
  </si>
  <si>
    <t>Int.-Payment</t>
  </si>
  <si>
    <t>Pen Payment</t>
  </si>
  <si>
    <t>Total Prin+Int+</t>
  </si>
  <si>
    <t>G. K. VILLAGE</t>
  </si>
  <si>
    <t>CANDALAGA</t>
  </si>
  <si>
    <t>KALAMTUKAN</t>
  </si>
  <si>
    <t>AMPAROS VILLAGE</t>
  </si>
  <si>
    <t>Missing Clients</t>
  </si>
  <si>
    <t xml:space="preserve">LAST </t>
  </si>
  <si>
    <t>BAL.</t>
  </si>
  <si>
    <t>48 CLIENTS</t>
  </si>
  <si>
    <t>POB.STA.CAT.</t>
  </si>
  <si>
    <t>NUIQUE,REMBERT</t>
  </si>
  <si>
    <t>KABULAKAN</t>
  </si>
  <si>
    <t>TOLEDO,MEMIA</t>
  </si>
  <si>
    <t>MUNEZ,ESTRELLA</t>
  </si>
  <si>
    <t>P.VILLANUEVA,POB STA.</t>
  </si>
  <si>
    <t>GK Village</t>
  </si>
  <si>
    <t>LEGASPI,FELICITAS</t>
  </si>
  <si>
    <t xml:space="preserve">                                                                                                                            NEW CITY KNIGHTS LENDING, INC.</t>
  </si>
  <si>
    <t xml:space="preserve">                                                                                                    ACCOUNTS RELEASED FROM JANUARY TO DECEMBER 2009</t>
  </si>
  <si>
    <t xml:space="preserve">          DATE</t>
  </si>
  <si>
    <t>ESCOBAR,BALTAZAR</t>
  </si>
  <si>
    <t>HTCI COMPOUND</t>
  </si>
  <si>
    <t>RELOAN</t>
  </si>
  <si>
    <t>POBLACION STA</t>
  </si>
  <si>
    <t>DORADO, YOLANDA</t>
  </si>
  <si>
    <t>ENARDICIDO, VERNA</t>
  </si>
  <si>
    <t>FERIL, RITA</t>
  </si>
  <si>
    <t>JORDAN, JUDE</t>
  </si>
  <si>
    <t>SIBULAN</t>
  </si>
  <si>
    <t>MAGLANGIT, NELSON</t>
  </si>
  <si>
    <t>GK VILLAGE</t>
  </si>
  <si>
    <t>REAL, FREDERICK</t>
  </si>
  <si>
    <t>LAPAY DAWIS</t>
  </si>
  <si>
    <t>YUNTING, ROGER</t>
  </si>
  <si>
    <t>CRUZ DELA, LIZA LORENA</t>
  </si>
  <si>
    <t>BINOCOT STA</t>
  </si>
  <si>
    <t>GEALON, NATIVIDAD</t>
  </si>
  <si>
    <t>SAGON, JONALYN</t>
  </si>
  <si>
    <t>POBLACION STA.</t>
  </si>
  <si>
    <t>GAMARCHA, RAUL</t>
  </si>
  <si>
    <t>OMOD MANINIHON</t>
  </si>
  <si>
    <t>GUMALO, FE</t>
  </si>
  <si>
    <t>ELECTONA ST. STA</t>
  </si>
  <si>
    <t>HTCI STA</t>
  </si>
  <si>
    <t>QUINDO, VILMA</t>
  </si>
  <si>
    <t>BURGOS ST.</t>
  </si>
  <si>
    <t>JARDINIANO,TITO B.</t>
  </si>
  <si>
    <t>BLESS STA CATALINA</t>
  </si>
  <si>
    <t>ENOJO, NEMIA</t>
  </si>
  <si>
    <t>PANGHUBASAN, ELDIE</t>
  </si>
  <si>
    <t>PADILLA, JENERISA</t>
  </si>
  <si>
    <t>RUBENECIA, JUN ANTHONY</t>
  </si>
  <si>
    <t xml:space="preserve">MALABUGAS </t>
  </si>
  <si>
    <t>TRONCO, CYRUS, VINCENT</t>
  </si>
  <si>
    <t>POBLACION B.C.</t>
  </si>
  <si>
    <t>CAWITAN, STA</t>
  </si>
  <si>
    <t>CAMPLONA, NINFA</t>
  </si>
  <si>
    <t>BOLLOS ST. BOYCO</t>
  </si>
  <si>
    <t>DUMAT-OL, HAZEL</t>
  </si>
  <si>
    <t>GARSULA, ARNOLD</t>
  </si>
  <si>
    <t>POB STA</t>
  </si>
  <si>
    <t>JARNAIZ, FLORA MAE</t>
  </si>
  <si>
    <t>MARQUIÑO, LEONILA</t>
  </si>
  <si>
    <t>OLAC, JULIETA</t>
  </si>
  <si>
    <t>POB. STA</t>
  </si>
  <si>
    <t>POSPOS, NOELA</t>
  </si>
  <si>
    <t>RABINA, EMMA</t>
  </si>
  <si>
    <t>COLATOG STA.</t>
  </si>
  <si>
    <t>TOLEDO, ARIEL</t>
  </si>
  <si>
    <t>BLISS STA</t>
  </si>
  <si>
    <t>BALDOMAR, ROSALINA</t>
  </si>
  <si>
    <t>PACULANANG, DIONESIO</t>
  </si>
  <si>
    <t>TRAGICO, LITO LINDO</t>
  </si>
  <si>
    <t>TEA, APRONIANO</t>
  </si>
  <si>
    <t>TUPINO, JOEL</t>
  </si>
  <si>
    <t>GMELINA,VILLAREAL</t>
  </si>
  <si>
    <t>UBOS,BAYAWAN CITY</t>
  </si>
  <si>
    <t>BANTUG,FELIPE JR</t>
  </si>
  <si>
    <t>NAPIT-AN,MANINIHON</t>
  </si>
  <si>
    <t>BUCAD,ELVIRA</t>
  </si>
  <si>
    <t>BAGO,JOSEFA</t>
  </si>
  <si>
    <t>ZAMORA ST.,UBOS</t>
  </si>
  <si>
    <t>CALIJAN,ERROL P.</t>
  </si>
  <si>
    <t>GV SUBD.VILLAREAL</t>
  </si>
  <si>
    <t>CALIJAN,EEROL P.</t>
  </si>
  <si>
    <t>BANABA,KALUMBOYAN</t>
  </si>
  <si>
    <t>COBANGBANG,BERNADETTE</t>
  </si>
  <si>
    <t>SUBA,BAYAWAN CITY</t>
  </si>
  <si>
    <t>DAWIS,BAYAWAN</t>
  </si>
  <si>
    <t>MINABA,BAYAWAN</t>
  </si>
  <si>
    <t>ECHAVEZ,FELISA</t>
  </si>
  <si>
    <t>PASIL,MALABUGAS</t>
  </si>
  <si>
    <t>LOPEZVILLE,BANGA</t>
  </si>
  <si>
    <t>UPPER MALABUGAS</t>
  </si>
  <si>
    <t>RECONSTRUCT</t>
  </si>
  <si>
    <t xml:space="preserve">BANGA,BAYAWAN </t>
  </si>
  <si>
    <t>LIMA,VERONA</t>
  </si>
  <si>
    <t>LIZADA,DIOSCORO</t>
  </si>
  <si>
    <t>TUBOD,TABUAN</t>
  </si>
  <si>
    <t>MARTERIZ ST.,POB.</t>
  </si>
  <si>
    <t>TINAGO,B.C</t>
  </si>
  <si>
    <t>MABINI,CRISOFEL</t>
  </si>
  <si>
    <t>PORTUGALEZA,NATALIA</t>
  </si>
  <si>
    <t>BINOCOT,STA.</t>
  </si>
  <si>
    <t>CANDALAGA,NANGKA</t>
  </si>
  <si>
    <t>PERAL,ROMMEL</t>
  </si>
  <si>
    <t>292 LA INDEPENDENCIA</t>
  </si>
  <si>
    <t>YARDAHAN,BASAY</t>
  </si>
  <si>
    <t>SAAVEDRA,ELISA</t>
  </si>
  <si>
    <t>CANSIG-IG,BANGA</t>
  </si>
  <si>
    <t>TOLEDANO,ROGELIO</t>
  </si>
  <si>
    <t>SAN JOSE ST.,COGON</t>
  </si>
  <si>
    <t>CM RECTO ST.,B.C</t>
  </si>
  <si>
    <t>GOTLADERA,LUCILA</t>
  </si>
  <si>
    <t>KABULAKAN,STA</t>
  </si>
  <si>
    <t>LAMAT,REMEDIOS</t>
  </si>
  <si>
    <t>RT DIAO,SUBA</t>
  </si>
  <si>
    <t>LOAN</t>
  </si>
  <si>
    <t>GRANTED</t>
  </si>
  <si>
    <t>ABRASALDO,DEXTER</t>
  </si>
  <si>
    <t>BAYATON,RESTITUTO</t>
  </si>
  <si>
    <t>SUBA,B.C</t>
  </si>
  <si>
    <t>BONGHAY,MEDELYN</t>
  </si>
  <si>
    <t>COLINA,RICHARD</t>
  </si>
  <si>
    <t>DE JESUS,JOJI</t>
  </si>
  <si>
    <t>DELEGARIO,HERMAN</t>
  </si>
  <si>
    <t>DETUELO,WILSON</t>
  </si>
  <si>
    <t>FERNANDEZ,MA. KRISTINA</t>
  </si>
  <si>
    <t>SITIO CANSIG-ID</t>
  </si>
  <si>
    <t>NALAM,PETER</t>
  </si>
  <si>
    <t>PASINABO,HELEN</t>
  </si>
  <si>
    <t>BANGA,BAYAWAN</t>
  </si>
  <si>
    <t>QUARTERO,LINDA</t>
  </si>
  <si>
    <t>GV SUBD,VILLAREA</t>
  </si>
  <si>
    <t>ROSADO,VICTORIA</t>
  </si>
  <si>
    <t>SANTOS,DELOS GEMMA</t>
  </si>
  <si>
    <t>SALCEDO,NILO</t>
  </si>
  <si>
    <t>C/O S&amp;S MOTORCYCLE</t>
  </si>
  <si>
    <t>BLK21LOT17 PHASE</t>
  </si>
  <si>
    <t>TRAYVILLA,LETECIA</t>
  </si>
  <si>
    <t>P-MASAGANA,VILLAREAL</t>
  </si>
  <si>
    <t>VALOR,CESAR</t>
  </si>
  <si>
    <t>UBOS,B.C</t>
  </si>
  <si>
    <t>ENARIO,ALMA</t>
  </si>
  <si>
    <t xml:space="preserve">GUBA,STA. </t>
  </si>
  <si>
    <t>TAYCO,EVANGELINE</t>
  </si>
  <si>
    <t>CATACUTAN,ROSEMARIE</t>
  </si>
  <si>
    <t>VILLA,FLORENDA</t>
  </si>
  <si>
    <t>TRONCO,RAMON B.</t>
  </si>
  <si>
    <t>ADANZA,ESTERIO</t>
  </si>
  <si>
    <t>PAGTIGAON.CARANOCHE</t>
  </si>
  <si>
    <t>DIAMANTE,ROLLY</t>
  </si>
  <si>
    <t>DIOCARES,MONICA</t>
  </si>
  <si>
    <t>DA-ANG,LUNGSOD</t>
  </si>
  <si>
    <t>TAIB,ALICIA</t>
  </si>
  <si>
    <t>TOYOGAN,ROSEMARIE</t>
  </si>
  <si>
    <t>SAN MIGUEL</t>
  </si>
  <si>
    <t>TUMALE,EDWIN</t>
  </si>
  <si>
    <t>MALABUGAS,B.C</t>
  </si>
  <si>
    <t>HOYOHOY,LORNA</t>
  </si>
  <si>
    <t>CARANOCHE,STA</t>
  </si>
  <si>
    <t>CAÑETE,LUZVIMINDA</t>
  </si>
  <si>
    <t>CUEVAS,ANGELITA</t>
  </si>
  <si>
    <t>DAEL,ROSITA</t>
  </si>
  <si>
    <t xml:space="preserve">TINAGO,BAYAWAN </t>
  </si>
  <si>
    <t>WILSON,EDEN A.</t>
  </si>
  <si>
    <t>LADIS RES.ORCHIDS DARO,DGTE</t>
  </si>
  <si>
    <t>AUTENTICO,MARLON</t>
  </si>
  <si>
    <t>COTIMAR,ROBERTA</t>
  </si>
  <si>
    <t>NORSU COMPOUND</t>
  </si>
  <si>
    <t>CALLOJELLAS,CORAZON</t>
  </si>
  <si>
    <t>MARTIREZ,STA. CATALINA</t>
  </si>
  <si>
    <t>CORTES,ROMELITA</t>
  </si>
  <si>
    <t>ADELA,ELDIVINO</t>
  </si>
  <si>
    <t>MAMIGO,LORELOR</t>
  </si>
  <si>
    <t>APURA,RAYDWLIE</t>
  </si>
  <si>
    <t>ARROGANTE,RICKY</t>
  </si>
  <si>
    <t>GAMAO,NARRA</t>
  </si>
  <si>
    <t>ARDIAS,JOCELYN</t>
  </si>
  <si>
    <t>NARRA,BAYAWAN</t>
  </si>
  <si>
    <t>RAMIREZ, CESAR JR</t>
  </si>
  <si>
    <t>ARGUILITA,VICENTE</t>
  </si>
  <si>
    <t>ORACION,SHEILA D.</t>
  </si>
  <si>
    <t>LAGANHON,VITALIANA</t>
  </si>
  <si>
    <t>BOYCO,BAYAWAN</t>
  </si>
  <si>
    <t>BACARISAS,FLOR</t>
  </si>
  <si>
    <t>FRANCISCO,RENANTE</t>
  </si>
  <si>
    <t>BAISAN,B.C</t>
  </si>
  <si>
    <t>BRAZA,WELGIE</t>
  </si>
  <si>
    <t>CADUNGOG,CHARITY</t>
  </si>
  <si>
    <t>DELICANA,URCESIANO</t>
  </si>
  <si>
    <t>ESPANTE,NESTOR</t>
  </si>
  <si>
    <t>ILAGAN,ELVIRA A.</t>
  </si>
  <si>
    <t>LIVESTRE,LIWES JR</t>
  </si>
  <si>
    <t>SILVA,ELECITA O.</t>
  </si>
  <si>
    <t>TAÑEDO,LANILYN</t>
  </si>
  <si>
    <t>SABIDONG,KAREL</t>
  </si>
  <si>
    <t>LARAWAN,SEBASTIAN</t>
  </si>
  <si>
    <t>NAT'LHIGHWAY VILLAREA</t>
  </si>
  <si>
    <t>JARNAIZ,THELMA</t>
  </si>
  <si>
    <t>Nat'l  HIGHWAY,VILLAREAL</t>
  </si>
  <si>
    <t>NUIQUE,GLENDA</t>
  </si>
  <si>
    <t>MARTIREZ ST.POB.STA</t>
  </si>
  <si>
    <t>TORRES,JOSEPH</t>
  </si>
  <si>
    <t>ACABAL,JANICE</t>
  </si>
  <si>
    <t>LAMPAGO,RUEL</t>
  </si>
  <si>
    <t>FLORES,LILIA</t>
  </si>
  <si>
    <t>BENOCOT,STA.</t>
  </si>
  <si>
    <t>PALMA,GINA</t>
  </si>
  <si>
    <t>*</t>
  </si>
  <si>
    <t>DUHAYLUNGSOD, VIC</t>
  </si>
  <si>
    <t>NAPIT-AN MANINIHON</t>
  </si>
  <si>
    <t>VILLAREAL B.C.</t>
  </si>
  <si>
    <t>MUÑOZ, LILIAN</t>
  </si>
  <si>
    <t>MELODIA, DEBORAH</t>
  </si>
  <si>
    <t>POBLACION STA. CAT</t>
  </si>
  <si>
    <t>MAGALSO, LIZA</t>
  </si>
  <si>
    <t>NARIO, RICARDO</t>
  </si>
  <si>
    <t>NANGKA BAYAWAN</t>
  </si>
  <si>
    <t>NICOLAS, AMBROSIO</t>
  </si>
  <si>
    <t>TAYAWAN BAYAWAN</t>
  </si>
  <si>
    <t>TAB-ANG,PAGATBAN</t>
  </si>
  <si>
    <t>VERGARA,BELTRAN</t>
  </si>
  <si>
    <t>GK VILLAGE,VILLAREAL</t>
  </si>
  <si>
    <t>CHIEFE,MAURA</t>
  </si>
  <si>
    <t>OGARIO NELSON</t>
  </si>
  <si>
    <t>MABINI ST.,SUBA</t>
  </si>
  <si>
    <t xml:space="preserve">                                                                                                                                    AS OF NOVEMBER 30,2011</t>
  </si>
  <si>
    <t>DUHAYLUNGSOD, RAMONITO</t>
  </si>
  <si>
    <t>TANASAN, NORMA</t>
  </si>
  <si>
    <t>AMOROSO,LOLENA T.</t>
  </si>
  <si>
    <t>RT DIAO POBLSCION</t>
  </si>
  <si>
    <t>ABORDO,EDWINA</t>
  </si>
  <si>
    <t>OGARIO,DANILO</t>
  </si>
  <si>
    <t>TAMBAKAN,STA. CAT</t>
  </si>
  <si>
    <t>CM RECTO ST., TINAGOB.C</t>
  </si>
  <si>
    <t>ZAMORA,LYLAH CLAIRE</t>
  </si>
  <si>
    <t>MAGSAYSAY ST.,B.BC</t>
  </si>
  <si>
    <t>LAGARDE,ROMEO E.</t>
  </si>
  <si>
    <t>DAWIS,BAYAWAN CITY</t>
  </si>
  <si>
    <t>ORAÑO,TERESITA</t>
  </si>
  <si>
    <t>TABAÑAG,RUDELYN G.</t>
  </si>
  <si>
    <t>HAD.SAN RAMON</t>
  </si>
  <si>
    <t>AGUILAR, JEJIE</t>
  </si>
  <si>
    <t>BOLLOS ST. POBLACION</t>
  </si>
  <si>
    <t>SAN RAMON POB</t>
  </si>
  <si>
    <t>GEPANAGA, REYMAL</t>
  </si>
  <si>
    <t>NOCETE,MILA</t>
  </si>
  <si>
    <t>SAN RAMON,POBLACION</t>
  </si>
  <si>
    <t>SUMUGAT,MARICAR</t>
  </si>
  <si>
    <t>EDRIAL,MARISSA</t>
  </si>
  <si>
    <t>ENDINO,LEONARDO</t>
  </si>
  <si>
    <t xml:space="preserve">PASCUA,MARY GRACE S. </t>
  </si>
  <si>
    <t>TUPAS ST.,HINOBAAN</t>
  </si>
  <si>
    <t>TAYUPON,LORNA</t>
  </si>
  <si>
    <t>VILLALUNA,MARILOU</t>
  </si>
  <si>
    <t>YANGSON,ANNIVIE</t>
  </si>
  <si>
    <t>YGONIA,JAMES</t>
  </si>
  <si>
    <t>CARANOCHE,STA.</t>
  </si>
  <si>
    <t>BALUCOS, ARMELY MARIE</t>
  </si>
  <si>
    <t>FONTILLAS, GODY</t>
  </si>
  <si>
    <t>G.V. SUBD. VILLAREAL</t>
  </si>
  <si>
    <t>BANGA BAYAWAN</t>
  </si>
  <si>
    <t>CANSIG-ID BANGA</t>
  </si>
  <si>
    <t>UBOS BAYAWAN</t>
  </si>
  <si>
    <t>RT DIAO ST TINAGO</t>
  </si>
  <si>
    <t>ATAY, SUSAN</t>
  </si>
  <si>
    <t>SICOPONG STA.</t>
  </si>
  <si>
    <t>ESPARTERO, JULIUS</t>
  </si>
  <si>
    <t>ENERLAN, LAMBERTO</t>
  </si>
  <si>
    <t>FLORES, MARICHU</t>
  </si>
  <si>
    <t>DAANLUNGSOD</t>
  </si>
  <si>
    <t>PERROCHO, JENNIFER</t>
  </si>
  <si>
    <t>TIJING, CHARINA</t>
  </si>
  <si>
    <t>HACIENDA SAN RAMON</t>
  </si>
  <si>
    <t>VELASCO, BERNADETTE</t>
  </si>
  <si>
    <t>VELASCO, DIONE</t>
  </si>
  <si>
    <t>VELASCO, PRESCILLA</t>
  </si>
  <si>
    <t>AMPARADO, JESUS</t>
  </si>
  <si>
    <t>MARCELO H. DEL PILAR</t>
  </si>
  <si>
    <t>BELZA, MARISSA</t>
  </si>
  <si>
    <t>PALALON, VIOLA</t>
  </si>
  <si>
    <t>VIOLA, GINACOR</t>
  </si>
  <si>
    <t>AGUILAR, DEOGENES</t>
  </si>
  <si>
    <t>GONZALES, NAOMI</t>
  </si>
  <si>
    <t>BATOSIN, HELEN</t>
  </si>
  <si>
    <t>UY, LEONARDO</t>
  </si>
  <si>
    <t>TANGYAN, ARLYN</t>
  </si>
  <si>
    <t>ADALIA, MARIO</t>
  </si>
  <si>
    <t>BRAZILINO, EVELYN</t>
  </si>
  <si>
    <t>CORTEZ, CECIL</t>
  </si>
  <si>
    <t>RIZAL ST. TINAGO</t>
  </si>
  <si>
    <t>LOBATON, MILROSE</t>
  </si>
  <si>
    <t>POBLACION BASAY</t>
  </si>
  <si>
    <t>PINK HOUSE SUBA</t>
  </si>
  <si>
    <t>PIALAGO, PAUL</t>
  </si>
  <si>
    <t>POBLACION SIATON</t>
  </si>
  <si>
    <t>CADIENTE, NESTOR</t>
  </si>
  <si>
    <t>DAWIS BAYAWAN</t>
  </si>
  <si>
    <t>BRGY. VILLAREAL B.C.</t>
  </si>
  <si>
    <t>CABABAT, CORAZON</t>
  </si>
  <si>
    <t>ESPARTERO, JERMELYN</t>
  </si>
  <si>
    <t>GAMBOA ST. TINAGO</t>
  </si>
  <si>
    <t>TRAGICO, MARITTES</t>
  </si>
  <si>
    <t>BARRON, LORNA</t>
  </si>
  <si>
    <t>PAST DUE  2011  RELEASES</t>
  </si>
  <si>
    <t xml:space="preserve">                                                                                                                           ACCOUNTS RELEASED FROM JANUARY TO DECEMBER - 2011</t>
  </si>
  <si>
    <t>ACCOUNTS RELEASED FROM JANUARY TO DECEMBER - 2010</t>
  </si>
  <si>
    <t xml:space="preserve">                                        NEW CITY KNIGHTS LENDING, INC.</t>
  </si>
  <si>
    <t>PASTDUE RELEASED - 2010</t>
  </si>
  <si>
    <t>PASTDUE ACCOUNT - 2007</t>
  </si>
  <si>
    <t>ABORDO, MERLYN</t>
  </si>
  <si>
    <t>BULANDA, EDWIN</t>
  </si>
  <si>
    <t>NAGBAGANG STA. CAT</t>
  </si>
  <si>
    <t>SUBA B. C.</t>
  </si>
  <si>
    <t>TRAYVILLA, EDWIN</t>
  </si>
  <si>
    <t>RIVERA, EMELITO</t>
  </si>
  <si>
    <t>NAT'L HIGHWAY VILLAREAL</t>
  </si>
  <si>
    <t>FLOREN, DAISY</t>
  </si>
  <si>
    <t>JARNAIZ, BENEDICTO</t>
  </si>
  <si>
    <t>LIVESTRE, LIWES</t>
  </si>
  <si>
    <t>OGARIO, MARIA</t>
  </si>
  <si>
    <t>JUAN LUNA ST. POB</t>
  </si>
  <si>
    <t>ROMBINES, LUCY</t>
  </si>
  <si>
    <t>TUBONGBANUA,EVELYN</t>
  </si>
  <si>
    <t>CALAMBA, ERLINDA</t>
  </si>
  <si>
    <t>AMANTE, REFINITO</t>
  </si>
  <si>
    <t>BANAYBANAY</t>
  </si>
  <si>
    <t>ADV INT 5MOS</t>
  </si>
  <si>
    <t>BOHOL, EMMALINE</t>
  </si>
  <si>
    <t>CADUNGOG, MAYBEL</t>
  </si>
  <si>
    <t>MARTIREZ ST. BC</t>
  </si>
  <si>
    <t>CHAVEZ, ELY</t>
  </si>
  <si>
    <t>CABRERA, RACHEL</t>
  </si>
  <si>
    <t>DEJILLA, LILYBETH</t>
  </si>
  <si>
    <t>CAMBONGAO POB. STA.</t>
  </si>
  <si>
    <t>GALSIM, NILO</t>
  </si>
  <si>
    <t>GARGAR, RONIELO</t>
  </si>
  <si>
    <t>LAGRIMAS, MARJORIE</t>
  </si>
  <si>
    <t>MALABUGAS B.C.</t>
  </si>
  <si>
    <t>P-GEMILINA VILLAREAL</t>
  </si>
  <si>
    <t>LEE, MARILYN</t>
  </si>
  <si>
    <t>MARAVILLAS, DARLENE</t>
  </si>
  <si>
    <t>MAGLE, MILA AURORA</t>
  </si>
  <si>
    <t>PANALIGAN, MARLON</t>
  </si>
  <si>
    <t>RUELO, LEILANI</t>
  </si>
  <si>
    <t>P-GEMELINA VILLAREAL</t>
  </si>
  <si>
    <t>SUMADIA, HERMA</t>
  </si>
  <si>
    <t>TIMTIM, ZONIA</t>
  </si>
  <si>
    <t>TEJEROS, JOSEPH</t>
  </si>
  <si>
    <t>BREAKWATER STA.</t>
  </si>
  <si>
    <t>VILLEGAS, DENNIS</t>
  </si>
  <si>
    <t>BRIONES, PEDRO</t>
  </si>
  <si>
    <t>PUNONG VILLAREAL</t>
  </si>
  <si>
    <t>ILALIM, EDGAR</t>
  </si>
  <si>
    <t>TEOLOGIO ST. SUBA</t>
  </si>
  <si>
    <t>VILLANUEVA ST. STA</t>
  </si>
  <si>
    <t>GENOBATIN, ROGELIO</t>
  </si>
  <si>
    <t>GIDAYA, MARISSA</t>
  </si>
  <si>
    <t>DESPOJO, IAN ANTHONY</t>
  </si>
  <si>
    <t>DIAO, MANUEL</t>
  </si>
  <si>
    <t xml:space="preserve">MINABA </t>
  </si>
  <si>
    <t>PANOT, MARIVIC</t>
  </si>
  <si>
    <t>RADOC, LAARNI</t>
  </si>
  <si>
    <t>SALAMORIN, ROWENA</t>
  </si>
  <si>
    <t>URBANO, ELSIE</t>
  </si>
  <si>
    <t>UMBAC, ANICETO</t>
  </si>
  <si>
    <t>NANGKA B.C.</t>
  </si>
  <si>
    <t>MARMETO, FELY</t>
  </si>
  <si>
    <t xml:space="preserve">CAMBULO </t>
  </si>
  <si>
    <t>ALVARAN, VAN</t>
  </si>
  <si>
    <t>BALBON, ALMA</t>
  </si>
  <si>
    <t>FLORES, MATIAO</t>
  </si>
  <si>
    <t>PRK GEMELINA</t>
  </si>
  <si>
    <t>MALABO, JOON</t>
  </si>
  <si>
    <t>SARAÑA, HERMELIE</t>
  </si>
  <si>
    <t>SUMANOY, MONALIZA</t>
  </si>
  <si>
    <t>SARAÑA, KARL</t>
  </si>
  <si>
    <t xml:space="preserve">PRK 4 VILLAREAL </t>
  </si>
  <si>
    <t>ZAMORA ST. SUBA</t>
  </si>
  <si>
    <t>SEGAYO, CERALYN</t>
  </si>
  <si>
    <t>ADANZA, JUNRY</t>
  </si>
  <si>
    <t>QUINDO ST. SUBA</t>
  </si>
  <si>
    <t>ARNAIZ, SATURNINO</t>
  </si>
  <si>
    <t>BOYCO B.C.</t>
  </si>
  <si>
    <t>BALDEVARONA, MARIECEL</t>
  </si>
  <si>
    <t>KULATOG POB STA. CAT</t>
  </si>
  <si>
    <t>BISABIS, MARILYN</t>
  </si>
  <si>
    <t>PRK 9 TINAGO</t>
  </si>
  <si>
    <t>CARAIG, LAIRIONLOU</t>
  </si>
  <si>
    <t>DUMALAG, MARIA VILLA</t>
  </si>
  <si>
    <t>BLISS POBLACION</t>
  </si>
  <si>
    <t>MAGHARI, ROMEO</t>
  </si>
  <si>
    <t>ROJAS, MARIO</t>
  </si>
  <si>
    <t>OGARIO, ROCHELIETA</t>
  </si>
  <si>
    <t>TESIPAO, YOLANDA</t>
  </si>
  <si>
    <t>ARTAJO, JOSE</t>
  </si>
  <si>
    <t>ADV INT 2MOS</t>
  </si>
  <si>
    <t>TABUAN BAYAWAN</t>
  </si>
  <si>
    <t>EDRIAL, GEORGIE ROSE</t>
  </si>
  <si>
    <t>GUMAHAD, AMY</t>
  </si>
  <si>
    <t>BOYCO BAYAWAN</t>
  </si>
  <si>
    <t>ADV INT 3MOS</t>
  </si>
  <si>
    <t>MARTIREZ EXT POB STA</t>
  </si>
  <si>
    <t>CAMBULO, BANGA</t>
  </si>
  <si>
    <t>ADV INT 4MOS</t>
  </si>
  <si>
    <t>MAMIGO, FRITZIE</t>
  </si>
  <si>
    <t>CAMBULO BRGY. BANGA</t>
  </si>
  <si>
    <t>CARANOCHE STA. CAT</t>
  </si>
  <si>
    <t>SAYON, LEONARDO</t>
  </si>
  <si>
    <t>CANALUM, NANGKA</t>
  </si>
  <si>
    <t>BRILLANTES, LYDIA</t>
  </si>
  <si>
    <t>SY, SUNNY</t>
  </si>
  <si>
    <t>TINAGO B.C.</t>
  </si>
  <si>
    <t>SIABOC, JULIE ANN</t>
  </si>
  <si>
    <t>POBLACION BC</t>
  </si>
  <si>
    <t xml:space="preserve">HTCI COMPOUND </t>
  </si>
  <si>
    <t>PACULANANG, JAY</t>
  </si>
  <si>
    <t>TASA, ANNALIE</t>
  </si>
  <si>
    <t>POB BAYAWAN</t>
  </si>
  <si>
    <t>BANGA B.C.</t>
  </si>
  <si>
    <t>MARTINEZ, BENJAMIN</t>
  </si>
  <si>
    <t>BRGY. VILLAREAL</t>
  </si>
  <si>
    <t>OBLINO, AGNES</t>
  </si>
  <si>
    <t>PASINABO, ELLA MARIE</t>
  </si>
  <si>
    <t>CAMBULO BANGA</t>
  </si>
  <si>
    <t>BOTONES,MONALESA</t>
  </si>
  <si>
    <t>COLL-DEP</t>
  </si>
  <si>
    <t>MISSING</t>
  </si>
  <si>
    <t>DEP-JEWELRY</t>
  </si>
  <si>
    <t>MANILA</t>
  </si>
  <si>
    <t>NO EXACT INCOME</t>
  </si>
  <si>
    <t>UNLOCATED</t>
  </si>
  <si>
    <t>SPECIAL ACCOUNT  RELEASES</t>
  </si>
  <si>
    <t>ARROYO, MARY ANN</t>
  </si>
  <si>
    <t>BRGY. SUBA</t>
  </si>
  <si>
    <t>BARRON, ERWIN</t>
  </si>
  <si>
    <t>C/O RCBC</t>
  </si>
  <si>
    <t>ROMBINES, CHARLITO</t>
  </si>
  <si>
    <t>BRGY. NANGKA</t>
  </si>
  <si>
    <t>LEDESMA, NAPOLEON</t>
  </si>
  <si>
    <t>BAYOT, JONABETH</t>
  </si>
  <si>
    <t>CATACUTAN, MERY JEAN</t>
  </si>
  <si>
    <t>CONCEPCION, JOEBERT</t>
  </si>
  <si>
    <t>BATASAN HILLS Q.C.</t>
  </si>
  <si>
    <t>IGNACIO, ROLDAN</t>
  </si>
  <si>
    <t>GV SUBD B.C</t>
  </si>
  <si>
    <t>GALVEZ, ALMIRA</t>
  </si>
  <si>
    <t>LOPING, DIONESIO</t>
  </si>
  <si>
    <t>MAGBANUA, EMMYLOU</t>
  </si>
  <si>
    <t>PEPING GAMO ST.</t>
  </si>
  <si>
    <t>PASCO, VIVIAN</t>
  </si>
  <si>
    <t>ROSARIO DIAO ST.</t>
  </si>
  <si>
    <t>PAHULAYAN, ANABELLE</t>
  </si>
  <si>
    <t>TRAYVILLA, LETECIA</t>
  </si>
  <si>
    <t>TRONCO, FE</t>
  </si>
  <si>
    <t>VILLANUEVA STA.</t>
  </si>
  <si>
    <t>ZERNA, SUSAN</t>
  </si>
  <si>
    <t>COURT DECI</t>
  </si>
  <si>
    <t>LAURENTE, RUEL</t>
  </si>
  <si>
    <t>CAMBOLO, BANGA</t>
  </si>
  <si>
    <t>DUMAGUETE &amp; FOR COURT ACCOUNT</t>
  </si>
  <si>
    <t>DGTE C/O DCCCO</t>
  </si>
  <si>
    <t>ARI, RODOLFO</t>
  </si>
  <si>
    <t>AMOROSO, TERESITA JOY</t>
  </si>
  <si>
    <t>CARLOS GAMBOA ST.</t>
  </si>
  <si>
    <t>ANASARIO, HELEN GRACE</t>
  </si>
  <si>
    <t>ARCON, FRANCISCO</t>
  </si>
  <si>
    <t>NAGBALAYE STA. CAT</t>
  </si>
  <si>
    <t>ALABASTRO, VICTORIANO</t>
  </si>
  <si>
    <t>NAGBALAYE, STA. CAT</t>
  </si>
  <si>
    <t>BABOR, KRISTINE</t>
  </si>
  <si>
    <t>AW-A STA. CATALINA</t>
  </si>
  <si>
    <t>BALDE, MIA NESSA</t>
  </si>
  <si>
    <t>C. GAMBOA ST.  SUBA</t>
  </si>
  <si>
    <t>BERMEJO, CHARITY</t>
  </si>
  <si>
    <t>P1 AMPAROS VILLAGE</t>
  </si>
  <si>
    <t>CANTO, LUBEN</t>
  </si>
  <si>
    <t>FLORDELIZ, RIA FLOR</t>
  </si>
  <si>
    <t>GUILLEN, AVA MARIE</t>
  </si>
  <si>
    <t xml:space="preserve">GV SUBD VILLAREAL </t>
  </si>
  <si>
    <t>HAMSIRANI, KRISTINA</t>
  </si>
  <si>
    <t>JORDAN, EDUARDO</t>
  </si>
  <si>
    <t>LAMIS, ANALIE</t>
  </si>
  <si>
    <t>MARTIREZ ST. POB STA</t>
  </si>
  <si>
    <t>CABCABON BANGA</t>
  </si>
  <si>
    <t>NUICO, BARNEY</t>
  </si>
  <si>
    <t>NUIQUE, JEFFREY</t>
  </si>
  <si>
    <t>GK VILLAGE VILLAREAL</t>
  </si>
  <si>
    <t>PAMILAGA, JEE</t>
  </si>
  <si>
    <t>NUMBER</t>
  </si>
  <si>
    <t xml:space="preserve">CONTACT </t>
  </si>
  <si>
    <t>ARDINA, JANICE MAY</t>
  </si>
  <si>
    <t>BELNAS, ARIEL</t>
  </si>
  <si>
    <t>CABASAG, DIONETA</t>
  </si>
  <si>
    <t>ELECTONA, BALDWIN</t>
  </si>
  <si>
    <t>GANAGANAG, NEMESIA</t>
  </si>
  <si>
    <t>ABERIA, AMMYLOU</t>
  </si>
  <si>
    <t>SAN RAMON POB B.C.</t>
  </si>
  <si>
    <t xml:space="preserve">HTCI SICOPONG </t>
  </si>
  <si>
    <t>PEPING GAMO ST. TINAGO</t>
  </si>
  <si>
    <t>CONTEMPLACION, MILA</t>
  </si>
  <si>
    <t>CADELIÑA, MERCY</t>
  </si>
  <si>
    <t>CRISOSTOMO, REYNALDO</t>
  </si>
  <si>
    <t>CAYO, DOMESCINO</t>
  </si>
  <si>
    <t>DAIRO, JOSELITO</t>
  </si>
  <si>
    <t>GELERA, JAIME</t>
  </si>
  <si>
    <t>PLYWOOD B.C.</t>
  </si>
  <si>
    <t>HERRERO, ERIC</t>
  </si>
  <si>
    <t>HERRERO, NOVELITO</t>
  </si>
  <si>
    <t>HTCI STA. CAT</t>
  </si>
  <si>
    <t>JAMIN, DONALD</t>
  </si>
  <si>
    <t>JUANON, MELINDA</t>
  </si>
  <si>
    <t>MAGBANUA, MARJORIE</t>
  </si>
  <si>
    <t>MACAHILOS, DARNA</t>
  </si>
  <si>
    <t>ERAN, RUBELYN</t>
  </si>
  <si>
    <t>JAGONIPA ALANGILAN</t>
  </si>
  <si>
    <t>MAHINAY, JOSE</t>
  </si>
  <si>
    <t>MUÑEZ, ARIES</t>
  </si>
  <si>
    <t>NICOLAS, JOSE</t>
  </si>
  <si>
    <t>NAMOL, GLENN</t>
  </si>
  <si>
    <t>TAYAWAN B.C.</t>
  </si>
  <si>
    <t>ORCULLO, MERVIN</t>
  </si>
  <si>
    <t>OBAÑANA, LILIAN</t>
  </si>
  <si>
    <t>ALANGILAN STA. CAT</t>
  </si>
  <si>
    <t>LAPAY DAWIS B.C.</t>
  </si>
  <si>
    <t>RIVAS, ANTONIO</t>
  </si>
  <si>
    <t>DIAO ST. TINAGO</t>
  </si>
  <si>
    <t>AMAPROS VILLAGE</t>
  </si>
  <si>
    <t>SOLAMILLO, REYNALDO</t>
  </si>
  <si>
    <t>TAWI-TAWI VILLAREAL</t>
  </si>
  <si>
    <t>TEVES, JOVITO</t>
  </si>
  <si>
    <t>TOLEDO, EVA</t>
  </si>
  <si>
    <t>TORRE DELA , JULIETA</t>
  </si>
  <si>
    <t>GUBA STA. CATALINA</t>
  </si>
  <si>
    <t>MINABA B.C.</t>
  </si>
  <si>
    <t>ABRASALDO, MERCY</t>
  </si>
  <si>
    <t>ALCANO, VIRGINIA</t>
  </si>
  <si>
    <t>BENDIJO, ALONA</t>
  </si>
  <si>
    <t>YARDAHAN BASAY</t>
  </si>
  <si>
    <t>CABANTUGAN, ROSEMARIE</t>
  </si>
  <si>
    <t>ALANGILAN STA. CAT.</t>
  </si>
  <si>
    <t>GECONCILLO, LETICIA</t>
  </si>
  <si>
    <t>SAN JOSE EXT DGT</t>
  </si>
  <si>
    <t>430-0182</t>
  </si>
  <si>
    <t>ILAGAN, GERARDO</t>
  </si>
  <si>
    <t>MALABUGAS, B.C.</t>
  </si>
  <si>
    <t>531-0071</t>
  </si>
  <si>
    <t>NALAM, JENNIFER</t>
  </si>
  <si>
    <t>529 HIGHWAY POB STA</t>
  </si>
  <si>
    <t>OCCEÑA, MARY JOY</t>
  </si>
  <si>
    <t>BURGOS ST. POB STA.</t>
  </si>
  <si>
    <t>RAMOS, ERIK PETER</t>
  </si>
  <si>
    <t>SICOPONG STA. CAT.</t>
  </si>
  <si>
    <t>RAGANDAC, MARISTEL</t>
  </si>
  <si>
    <t>CAMAYAAN MALABUGAS</t>
  </si>
  <si>
    <t>SOSMEÑA, LOLITA</t>
  </si>
  <si>
    <t>12/04//13</t>
  </si>
  <si>
    <t>SINCO, LONAMAY</t>
  </si>
  <si>
    <t>SORNILLO, RENIE</t>
  </si>
  <si>
    <t>BRGY. BANGA B.C.</t>
  </si>
  <si>
    <t>TORRE DELA, GLORIA</t>
  </si>
  <si>
    <t>TITO, CRISBAL</t>
  </si>
  <si>
    <t>TANGON, FE IVY</t>
  </si>
  <si>
    <t>09/31/13</t>
  </si>
  <si>
    <t>TOMONG, ERLINDA</t>
  </si>
  <si>
    <t>TORREDA, AGUSTINA</t>
  </si>
  <si>
    <t>TANGENTE, LEA</t>
  </si>
  <si>
    <t>VIERNES, RACHEL</t>
  </si>
  <si>
    <t>GUBA PASIL STA.</t>
  </si>
  <si>
    <t>CANSILONG MALABUGAS</t>
  </si>
  <si>
    <t>YLEAÑA, LUDIVER</t>
  </si>
  <si>
    <t>PRK 1 ALANGILAN STA.</t>
  </si>
  <si>
    <t>ATIENZA, LUISA</t>
  </si>
  <si>
    <t>CORDERO, JOSIE</t>
  </si>
  <si>
    <t>CAPUYAN, ELIEZER</t>
  </si>
  <si>
    <t xml:space="preserve">GUBA STA. CAT </t>
  </si>
  <si>
    <t>CORTEZA, HICEL</t>
  </si>
  <si>
    <t>ESTOLONIO, ROMEL</t>
  </si>
  <si>
    <t>ESTEVES, RENIE</t>
  </si>
  <si>
    <t>ENTINZA, LEODEGARIO</t>
  </si>
  <si>
    <t>PACULANANG, JACINTA</t>
  </si>
  <si>
    <t>SANTOS DELOS, TEODORO</t>
  </si>
  <si>
    <t>CUBA, RACHEL JANE</t>
  </si>
  <si>
    <t>MARTINEZ ST. POB STA.</t>
  </si>
  <si>
    <t>TOLENTIN, DEMOCRITO</t>
  </si>
  <si>
    <t>BRGY. UBOS B.C.</t>
  </si>
  <si>
    <t>NAT'L H-WAY BANGA</t>
  </si>
  <si>
    <t>CAMPOS, DONNA</t>
  </si>
  <si>
    <t>CLARITO, FELECIANO</t>
  </si>
  <si>
    <t>GOMEZ ST. UBOS B.C.</t>
  </si>
  <si>
    <t>JIMENEZ, JULIANA</t>
  </si>
  <si>
    <t>MANOSOR, MADI</t>
  </si>
  <si>
    <t>MILANO, JANILITO</t>
  </si>
  <si>
    <t>MARCELO H.DEL PILAR</t>
  </si>
  <si>
    <t>QUINICOT, ELIZABETH</t>
  </si>
  <si>
    <t>ROCILLO, RONNIE</t>
  </si>
  <si>
    <t>GOMEZ ST.,UBOS B.C.</t>
  </si>
  <si>
    <t>SALIGAN, BERNARD</t>
  </si>
  <si>
    <t>ZUÑIEGA, ROSEVILLA</t>
  </si>
  <si>
    <t>ZUÑIEGA, CEPRINA</t>
  </si>
  <si>
    <t>TENEFRANCIA, LESLIE ANN</t>
  </si>
  <si>
    <t>ISRAEL, KATHRYNN ANN</t>
  </si>
  <si>
    <t>TOTAL- 28 ACCOUNTS</t>
  </si>
  <si>
    <t>TOTAL-36  ACCOUNTS</t>
  </si>
  <si>
    <t>CORCIEGA, MA. NIMFA</t>
  </si>
  <si>
    <t>DEMETILLO, SONIA</t>
  </si>
  <si>
    <t>ALCAZAR, EVE MARIE</t>
  </si>
  <si>
    <t>AMANTILLO, SARDI</t>
  </si>
  <si>
    <t>ABRASALDO, ROSENDA</t>
  </si>
  <si>
    <t>BISABIS, PAUL</t>
  </si>
  <si>
    <t>CABAÑOG, THELMA</t>
  </si>
  <si>
    <t>EPAL, EDWIN</t>
  </si>
  <si>
    <t>GAGA-A, JEAN ANNA</t>
  </si>
  <si>
    <t>MOISES, JANETTE</t>
  </si>
  <si>
    <t>MENDOZA, CATALINA</t>
  </si>
  <si>
    <t>NUÑEZ, NELSON</t>
  </si>
  <si>
    <t>NICOLAS, TEODURO</t>
  </si>
  <si>
    <t>MANINIHON B.C.</t>
  </si>
  <si>
    <t>PASIL MALABUGAS</t>
  </si>
  <si>
    <t>VILLANUEVA, ELMIRA</t>
  </si>
  <si>
    <t>GALLEGOS, GRACE</t>
  </si>
  <si>
    <t>MORALES, MARCELINA</t>
  </si>
  <si>
    <t>SOBREBIGA, MARIO</t>
  </si>
  <si>
    <t>SAMIANO, ANGELITA</t>
  </si>
  <si>
    <t>TORRES, ANALEE</t>
  </si>
  <si>
    <t>ALAPAN, MARCIANA</t>
  </si>
  <si>
    <t>UBOS B.C.</t>
  </si>
  <si>
    <t>TOMIMBANG, ELMER</t>
  </si>
  <si>
    <t>ADALIA, PABLO</t>
  </si>
  <si>
    <t>SAN RAMON B.C.</t>
  </si>
  <si>
    <t>BONGANCISO, JULIA</t>
  </si>
  <si>
    <t>DUPA, AMBROCIA</t>
  </si>
  <si>
    <t>STA. CATALINA</t>
  </si>
  <si>
    <t>DIVINAGRACIA, ANGELISA</t>
  </si>
  <si>
    <t>C/O BAWAD</t>
  </si>
  <si>
    <t>GELVORIA, MARIO</t>
  </si>
  <si>
    <t>DUMAT-OL, ROSA</t>
  </si>
  <si>
    <t>BANGLOS, MERCY</t>
  </si>
  <si>
    <t>NAT'L HIGHWAY B.C.</t>
  </si>
  <si>
    <t>FLOREN, ELESTERIO</t>
  </si>
  <si>
    <t>GERSAN, RAMONITO</t>
  </si>
  <si>
    <t>MATA, MARGIE</t>
  </si>
  <si>
    <t>PATRIMONIO, ESTRELLA</t>
  </si>
  <si>
    <t>PASIGUE, ROLANDO</t>
  </si>
  <si>
    <t>ROCILLO, ROBY</t>
  </si>
  <si>
    <t>RIZALDO, VICTORIO</t>
  </si>
  <si>
    <t>RADONES, TERESITA</t>
  </si>
  <si>
    <t>SAJULLA, HERNANITA</t>
  </si>
  <si>
    <t>BDH B.C.</t>
  </si>
  <si>
    <t>SUPITA, ROLANDO</t>
  </si>
  <si>
    <t>TUBONGBANUA, GERARDO</t>
  </si>
  <si>
    <t>VERGARA, EDWIN</t>
  </si>
  <si>
    <t>VILLACAMPA, REGINO</t>
  </si>
  <si>
    <t>POB, STA. CATALINA</t>
  </si>
  <si>
    <t>YBAÑEZ, EDUARDO</t>
  </si>
  <si>
    <t>PRK 7 TINAGO B.C.</t>
  </si>
  <si>
    <t>TERRENAL, BEVERLY</t>
  </si>
  <si>
    <t>SUBA B.C.</t>
  </si>
  <si>
    <t>COLL DEP</t>
  </si>
  <si>
    <t>AJOC, MARY GRACE</t>
  </si>
  <si>
    <t>FABILA, JEROME</t>
  </si>
  <si>
    <t>ZAMORA ST</t>
  </si>
  <si>
    <t>ALMERO, FEBELINE</t>
  </si>
  <si>
    <t>POB STA. CATALINA</t>
  </si>
  <si>
    <t>BATUIGAS, RELYN</t>
  </si>
  <si>
    <t>ESTRIBA, ANNABELLE</t>
  </si>
  <si>
    <t>TELESFORO ST.TINAGO</t>
  </si>
  <si>
    <t>LUYAS, DANILO</t>
  </si>
  <si>
    <t>MAPUTI, ROGELIO</t>
  </si>
  <si>
    <t>VILLEGAS, JOSEPH</t>
  </si>
  <si>
    <t>CRUZ, LOLITA V</t>
  </si>
  <si>
    <t>SITIO OMOD</t>
  </si>
  <si>
    <t>CORTEZ, MARGARITA</t>
  </si>
  <si>
    <t>TOTAL- 32 ACCOUNTS</t>
  </si>
  <si>
    <t>TOTAL = 25 ACCOUNTS</t>
  </si>
  <si>
    <t>TOTAL= 42 ACCOUNTS</t>
  </si>
  <si>
    <t>TOTAL- 31 ACCOUNTS</t>
  </si>
  <si>
    <t>INCAPACITY TO PAY</t>
  </si>
  <si>
    <t>TOTAL -30 ACCOUNTS</t>
  </si>
  <si>
    <t>BAGUIO, MERLINDA</t>
  </si>
  <si>
    <t>GUBA POB. STA.</t>
  </si>
  <si>
    <t>BLISS STA. CAT</t>
  </si>
  <si>
    <t>ALANGILAN, STA.</t>
  </si>
  <si>
    <t>TASA, JOSE MARIE</t>
  </si>
  <si>
    <t>FERRAREN, LYDIA</t>
  </si>
  <si>
    <t>GINO, RAMIL</t>
  </si>
  <si>
    <t>TINAGO BAYAWAN</t>
  </si>
  <si>
    <t>PRK. 9 TINAGO B.C.</t>
  </si>
  <si>
    <t>CLARO M. RECTO TINAGO</t>
  </si>
  <si>
    <t>DURAN, MA. TERESITA</t>
  </si>
  <si>
    <t xml:space="preserve">CAMBULO BANGA </t>
  </si>
  <si>
    <t>MONTENEGRO, ARLY JAY</t>
  </si>
  <si>
    <t>CANSIG-ID, BANGA B.C.</t>
  </si>
  <si>
    <t>CLARO M.RECTO ST. POB</t>
  </si>
  <si>
    <t>GK VILLAREAL</t>
  </si>
  <si>
    <t>MANALONGON STA. CAT</t>
  </si>
  <si>
    <t>BAUTISTA, LEONORA</t>
  </si>
  <si>
    <t>CERCULADO, EDGARDO</t>
  </si>
  <si>
    <t>PAGATBAN, BASAY</t>
  </si>
  <si>
    <t>DY, MELANIE</t>
  </si>
  <si>
    <t>VILLAREAL STA. CAT.</t>
  </si>
  <si>
    <t>EDRIAL, JEFFREY JESUS</t>
  </si>
  <si>
    <t>ALVAREZ, DANELIN</t>
  </si>
  <si>
    <t>NOGRA, SUSAN</t>
  </si>
  <si>
    <t>GRAGASIN, CASILDA</t>
  </si>
  <si>
    <t>PRK 2 TINAGO CARANOCHE</t>
  </si>
  <si>
    <t>URC COMPOUND</t>
  </si>
  <si>
    <t>MAQUILAN, MARLY</t>
  </si>
  <si>
    <t>SAN JOSE STA. CAT</t>
  </si>
  <si>
    <t>BINOCOT STA. CAT</t>
  </si>
  <si>
    <t>SARINO, REA</t>
  </si>
  <si>
    <t>VICENTE, GILBERT</t>
  </si>
  <si>
    <t>PROPER BANAY2</t>
  </si>
  <si>
    <t>LOPEZ, ALEXANDER</t>
  </si>
  <si>
    <t xml:space="preserve">348 MABINI ST. BOYCO </t>
  </si>
  <si>
    <t>LANORIAS, MELLY</t>
  </si>
  <si>
    <t>PAALISBO, VIRGELIO</t>
  </si>
  <si>
    <t>SILVA, MARICRIS</t>
  </si>
  <si>
    <t>AGA-AB, SALMERO</t>
  </si>
  <si>
    <t>CROSSING PACIFICA</t>
  </si>
  <si>
    <t>CAÑETE, JAYNE</t>
  </si>
  <si>
    <t>MAGLACION, MARY ANN</t>
  </si>
  <si>
    <t>TAPDASAN, MARIBEL</t>
  </si>
  <si>
    <t>TEMBREVILLA, MA. RECHEL</t>
  </si>
  <si>
    <t>ELECTONA, MELCHOR</t>
  </si>
  <si>
    <t>PORTUGALEZA, CHONA</t>
  </si>
  <si>
    <t>BELANDO, FLORDELYN</t>
  </si>
  <si>
    <t>GAMAO, NARRA B.C.</t>
  </si>
  <si>
    <t>CATALAN, JEROLD</t>
  </si>
  <si>
    <t>DIAO, LUCILLE</t>
  </si>
  <si>
    <t>ESTOCONING, EMER</t>
  </si>
  <si>
    <t>JORDAN, SOL MARIE</t>
  </si>
  <si>
    <t>PAGATBAN ACTIN BASAY</t>
  </si>
  <si>
    <t>MACION, VICTORIA</t>
  </si>
  <si>
    <t>MARTINEZ EXT. STA.</t>
  </si>
  <si>
    <t>OLORES, LEONARDO</t>
  </si>
  <si>
    <t>SAN ROQUE B.C.</t>
  </si>
  <si>
    <t>RIVERA, WELNA</t>
  </si>
  <si>
    <t>REQUIÑA, JOSEPHUS</t>
  </si>
  <si>
    <t>RODA, ALEX</t>
  </si>
  <si>
    <t>CATMON MANINIHON</t>
  </si>
  <si>
    <t>TEVES, ENRIQUITO</t>
  </si>
  <si>
    <t>TRUMATA, ALBERTO</t>
  </si>
  <si>
    <t>LITID MANALONGON</t>
  </si>
  <si>
    <t>ESTORCO, KRISTIN</t>
  </si>
  <si>
    <t>SITOY, MYRNA</t>
  </si>
  <si>
    <t>VALOR, ROGELIO</t>
  </si>
  <si>
    <t>ESPARES, ROSENDO</t>
  </si>
  <si>
    <t>ELECTONA, RENESITA</t>
  </si>
  <si>
    <t>MAGBANUA, GERRY</t>
  </si>
  <si>
    <t>BARTE, ANALYN</t>
  </si>
  <si>
    <t>MARTINEZ EXT. UBOS</t>
  </si>
  <si>
    <t>DUMAT-OL, STEPHANIE</t>
  </si>
  <si>
    <t>MAGSAYSAY ST. BOYCO</t>
  </si>
  <si>
    <t>ESTANIL, GENOVIVA</t>
  </si>
  <si>
    <t>NAT'L HIGWAY VILLAREAL</t>
  </si>
  <si>
    <t>FERRATER, ROEL</t>
  </si>
  <si>
    <t>JACOBA, BERNABE</t>
  </si>
  <si>
    <t>NAGBAGANG POB STA.</t>
  </si>
  <si>
    <t>MARO, RAMON</t>
  </si>
  <si>
    <t>OMAGAD, MYRNA</t>
  </si>
  <si>
    <t>TOBLE, CARLO</t>
  </si>
  <si>
    <t>PASTDUE 2013</t>
  </si>
  <si>
    <t>ACCOUNTS RELEASED FROM JANUARY - DECEMBER 2012</t>
  </si>
  <si>
    <t>PASTDUE 2012</t>
  </si>
  <si>
    <t>GARABATO, EDSELBERT</t>
  </si>
  <si>
    <t>GUMALO, CLINTON</t>
  </si>
  <si>
    <t>BANABA KALUMBOYAN</t>
  </si>
  <si>
    <t>LAMIS, DANILO</t>
  </si>
  <si>
    <t>COURT</t>
  </si>
  <si>
    <t xml:space="preserve">COURT </t>
  </si>
  <si>
    <t>TOTAL- 29 ACCOUNTS</t>
  </si>
  <si>
    <t>TOTAL- 52 ACCOUNTS</t>
  </si>
  <si>
    <t>TOTAL- 23 ACCOUNTS</t>
  </si>
  <si>
    <t>TOTAL- 18 ACCOUNTS</t>
  </si>
  <si>
    <t>TOTAL- 11 ACCOUNTS</t>
  </si>
  <si>
    <t>AGBON, FLORENCIO JR</t>
  </si>
  <si>
    <t>ARAGON, RUTH</t>
  </si>
  <si>
    <t>BELORIO, ROSALINDA</t>
  </si>
  <si>
    <t>TAN-AYAN NANGKA B.C.</t>
  </si>
  <si>
    <t>CADELIÑA, RANULFO</t>
  </si>
  <si>
    <t>POB. STA. CATALINA</t>
  </si>
  <si>
    <t>FRANCISCO, GRACE</t>
  </si>
  <si>
    <t>LUNDAY, NANNET</t>
  </si>
  <si>
    <t>MORADOS, ELENA</t>
  </si>
  <si>
    <t>SERENCIO, MARIA</t>
  </si>
  <si>
    <t>VENTERO, ANALIE</t>
  </si>
  <si>
    <t>PRK G-MELINA VILLAREAL</t>
  </si>
  <si>
    <t>CARRASCOSO, LEALIZ</t>
  </si>
  <si>
    <t>FERNANDEZ, LOLITA</t>
  </si>
  <si>
    <t>TANGENTE, LOURDES</t>
  </si>
  <si>
    <t>YANAG, JUVANY</t>
  </si>
  <si>
    <t>YBALES, ARLENE</t>
  </si>
  <si>
    <t>VIAJE, MA. JENNIFER</t>
  </si>
  <si>
    <t>SILAYAN, VANESSA</t>
  </si>
  <si>
    <t>ABARQUEZ, ERLINDA</t>
  </si>
  <si>
    <t>ARCENAL, VILROSE</t>
  </si>
  <si>
    <t>ABRIL, RUDY</t>
  </si>
  <si>
    <t>ANIÑON, LEONARDO</t>
  </si>
  <si>
    <t>GONZAGA, MEJARITO</t>
  </si>
  <si>
    <t>GARABATO, FRANCIS LLOYD</t>
  </si>
  <si>
    <t>LOPEZVILLA BANGA</t>
  </si>
  <si>
    <t>MH DEL PILAR POB</t>
  </si>
  <si>
    <t>NAT'L HIGHWAY POB STA.</t>
  </si>
  <si>
    <t>MENDEZ, PABLITA</t>
  </si>
  <si>
    <t>UPPER CAMBULO BANGA</t>
  </si>
  <si>
    <t>TAVERA NANGKA</t>
  </si>
  <si>
    <t>PAMILAGA, RICARDO</t>
  </si>
  <si>
    <t>BANAYBANAY B.C.</t>
  </si>
  <si>
    <t>RECLA, GLENDA</t>
  </si>
  <si>
    <t>TABOQUILDE, ANDIE</t>
  </si>
  <si>
    <t>KALAMUNGAY OMOD</t>
  </si>
  <si>
    <t>CLAVERIA, EFREN</t>
  </si>
  <si>
    <t>PAGTIGAON CARANOCHE</t>
  </si>
  <si>
    <t>CADALSO, MA. IVY</t>
  </si>
  <si>
    <t>GEMINA, RICKY</t>
  </si>
  <si>
    <t>BARON, ARTEMIO</t>
  </si>
  <si>
    <t>SUBA, BAYAWAN</t>
  </si>
  <si>
    <t>ACTIN BASAY</t>
  </si>
  <si>
    <t>DORADO, GEORGIE</t>
  </si>
  <si>
    <t>ELECTONA, RYAN</t>
  </si>
  <si>
    <t>FERIL, PACITA</t>
  </si>
  <si>
    <t xml:space="preserve">PRK PAGKAKAISA </t>
  </si>
  <si>
    <t>JAURIGUE, CHRISTOPHER</t>
  </si>
  <si>
    <t>LABORTE, FELIX</t>
  </si>
  <si>
    <t>LUGATIMAN, ELMER</t>
  </si>
  <si>
    <t>MERCADO, NOEL</t>
  </si>
  <si>
    <t>ADV INT 1MOS</t>
  </si>
  <si>
    <t>MANLUCOT, BRUNIE</t>
  </si>
  <si>
    <t>P. SAN VICENTE VILLAREAL</t>
  </si>
  <si>
    <t>MACASULOT, RAMONA</t>
  </si>
  <si>
    <t>MAGLANGIT, RONALD</t>
  </si>
  <si>
    <t>1175 PEPEING GAMO ST.</t>
  </si>
  <si>
    <t>OBANIANA, FELIX</t>
  </si>
  <si>
    <t>SAN FRANCISCO</t>
  </si>
  <si>
    <t>OCTAVIANO, ROSELYN</t>
  </si>
  <si>
    <t>M.H. DEL PILAR ST.</t>
  </si>
  <si>
    <t>OBANG, VICTORIO</t>
  </si>
  <si>
    <t>ARCON, FLORANTE</t>
  </si>
  <si>
    <t>AMBO, CHONA</t>
  </si>
  <si>
    <t>ONDOL, NANGKA B.C.</t>
  </si>
  <si>
    <t>ARTAJO, JAZZIDE LEE</t>
  </si>
  <si>
    <t>CADELLERO, LOIDA</t>
  </si>
  <si>
    <t>CATENZA, RANDY</t>
  </si>
  <si>
    <t>URC TOLONG COMPOUND</t>
  </si>
  <si>
    <t>DELGADO, LEONILA</t>
  </si>
  <si>
    <t>GOMEZ, ELENOR</t>
  </si>
  <si>
    <t>CAMBONGGAO, STA.</t>
  </si>
  <si>
    <t>MAGLANGIT, MA. JACKIE</t>
  </si>
  <si>
    <t xml:space="preserve">TELESFORO DIAO ST. </t>
  </si>
  <si>
    <t>PATAC, LILY</t>
  </si>
  <si>
    <t>PAPASIN, ROMNICK</t>
  </si>
  <si>
    <t>CANSILONG, MALABUGAS</t>
  </si>
  <si>
    <t>PAMPILO, ROSALINDA</t>
  </si>
  <si>
    <t>PACAÑA, GAUDENCIO</t>
  </si>
  <si>
    <t>RIVERA, EDITHA</t>
  </si>
  <si>
    <t>REYES DELOS, DOMINADOR</t>
  </si>
  <si>
    <t>SARINO, EMMA</t>
  </si>
  <si>
    <t>SUMELI, ANAJIE</t>
  </si>
  <si>
    <t>LITID, NAGBALAYE</t>
  </si>
  <si>
    <t>TONOGBANUA, JOSILLE</t>
  </si>
  <si>
    <t>TOMONG, MARIO RAMIL</t>
  </si>
  <si>
    <t>TRAVIÑA, JINKY</t>
  </si>
  <si>
    <t>TUVALLES, DANILO</t>
  </si>
  <si>
    <t>TUBONGBANUA, ROGELIO</t>
  </si>
  <si>
    <t>TUANTE, JOEY</t>
  </si>
  <si>
    <t>YUNTING, MA. ROSE</t>
  </si>
  <si>
    <t>LAYAN, JERRY</t>
  </si>
  <si>
    <t>OBLIGAR, RODOLFO</t>
  </si>
  <si>
    <t>TOGONON, RENIE ANN</t>
  </si>
  <si>
    <t>VELORIA, ALLAN</t>
  </si>
  <si>
    <t>BLAS, REBECCA</t>
  </si>
  <si>
    <t>ILIGAN, HELDRITZ</t>
  </si>
  <si>
    <t>MARTIREZ ST. STA</t>
  </si>
  <si>
    <t>RENDOQUE, LILIA</t>
  </si>
  <si>
    <t>LOAN GRANTED</t>
  </si>
  <si>
    <t>PASTDUE</t>
  </si>
  <si>
    <t>TOTAL PAYMENT</t>
  </si>
  <si>
    <t>RECIEVABLE AMOUNT</t>
  </si>
  <si>
    <t>ALL ACCOUNTS CURRENT (2012-2013 OUTSTANDING ACCOUNTS)</t>
  </si>
  <si>
    <t>PITOGO, MA. JEAN</t>
  </si>
  <si>
    <t>NUICO ST. STA. CAT</t>
  </si>
  <si>
    <t>CERBAS, SUSANA</t>
  </si>
  <si>
    <t>BANABA BAYAWAN</t>
  </si>
  <si>
    <t>CAWITAN STA. CATALINA</t>
  </si>
  <si>
    <t>CLAVEL, EPHRALYN</t>
  </si>
  <si>
    <t>GALARPE, ERMINDA</t>
  </si>
  <si>
    <t>LEYTE, LUCILA</t>
  </si>
  <si>
    <t>LUYAS, JOSE RANDY</t>
  </si>
  <si>
    <t>MIRAMON, MARILOU</t>
  </si>
  <si>
    <t>MANGUILIMOTAN, ERLUVIMORE</t>
  </si>
  <si>
    <t>KALUMBOYAN B.C.</t>
  </si>
  <si>
    <t>MABATID, VICTORIANO</t>
  </si>
  <si>
    <t>NUIQUE, JIORE FE</t>
  </si>
  <si>
    <t>OBANIANA, LYRA RUTH</t>
  </si>
  <si>
    <t>SAN FRANCISCO STA.</t>
  </si>
  <si>
    <t>ONG, WINEFREDO</t>
  </si>
  <si>
    <t>QUINDO, CRESENCIANO</t>
  </si>
  <si>
    <t>ANTIQUE, JOSEPH</t>
  </si>
  <si>
    <t>CABALAYONGAN BASAY</t>
  </si>
  <si>
    <t>ARCON, NECITAS</t>
  </si>
  <si>
    <t>HUGNO, NANGKA B.C.</t>
  </si>
  <si>
    <t>COBANGBANG, BERNADETTE</t>
  </si>
  <si>
    <t>21 BOLLOS ST. BOYCO</t>
  </si>
  <si>
    <t>ESCONDE, RODOLFO</t>
  </si>
  <si>
    <t>BONIFACIO ST., POB</t>
  </si>
  <si>
    <t>GONZAGA, REYNALDO</t>
  </si>
  <si>
    <t>MEÑOZA, ROEL</t>
  </si>
  <si>
    <t>PARCON, GERMAN</t>
  </si>
  <si>
    <t>PRK TALAO NARRA</t>
  </si>
  <si>
    <t>SUAN, VIOLETA</t>
  </si>
  <si>
    <t>SAN MIGUEL, ARTEMIO</t>
  </si>
  <si>
    <t>TORREDA, ALEX</t>
  </si>
  <si>
    <t>2380 BANGA B.C.</t>
  </si>
  <si>
    <t>VALENCIA, ELMO</t>
  </si>
  <si>
    <t>BULAHAN, FELIMON</t>
  </si>
  <si>
    <t>ACCOUNTS RELEASED FROM JANUARY - DECEMBER 2013</t>
  </si>
  <si>
    <t>GERIAN, ABRAHAM</t>
  </si>
  <si>
    <t>ARNONOBAL, FORTUNATO</t>
  </si>
  <si>
    <t>HCD SAN RAMON POB</t>
  </si>
  <si>
    <t>BAJE, ANGELO</t>
  </si>
  <si>
    <t>MARTINEZ ST., TINAGO</t>
  </si>
  <si>
    <t>SPECIAL ACCOUNT</t>
  </si>
  <si>
    <t>RIP</t>
  </si>
  <si>
    <t>COURT EXECUTION</t>
  </si>
  <si>
    <t xml:space="preserve">         </t>
  </si>
  <si>
    <t>GMELINA VILLAREAL B.C.</t>
  </si>
  <si>
    <t>DAWIS BAYAWAN CITY</t>
  </si>
  <si>
    <t>SALDUA, RENATO</t>
  </si>
  <si>
    <t>MALABUGAS BAYAWAN</t>
  </si>
  <si>
    <t>ELESTERIA, JERRY</t>
  </si>
  <si>
    <t>PASIL MALABUGAS B.C.</t>
  </si>
  <si>
    <t>PASTDUE 2014</t>
  </si>
  <si>
    <t>SALVADOR, ANALEZA</t>
  </si>
  <si>
    <t>ADARNA, MARIFI</t>
  </si>
  <si>
    <t>GARING, MANALONGON</t>
  </si>
  <si>
    <t>ALOJADO, AILENE</t>
  </si>
  <si>
    <t>BITO-ON, AGRIPINO</t>
  </si>
  <si>
    <t>UPPER NAPIT-AN</t>
  </si>
  <si>
    <t>BABOR, MARIVIC</t>
  </si>
  <si>
    <t>BLISS POB STA.</t>
  </si>
  <si>
    <t>CORPUS, RODOLFO</t>
  </si>
  <si>
    <t>ENDINO, ARLENE</t>
  </si>
  <si>
    <t>FERNANDEZ, ARNOL</t>
  </si>
  <si>
    <t>JACOME, CHARLITO</t>
  </si>
  <si>
    <t>MESAHON, ROXANNE</t>
  </si>
  <si>
    <t>P4 POBLACION BASAY</t>
  </si>
  <si>
    <t>MARO, ERMA</t>
  </si>
  <si>
    <t>CAMBONGAO STA. CAT</t>
  </si>
  <si>
    <t>NUICO, ARLENE</t>
  </si>
  <si>
    <t>NUICO AVE POB STA</t>
  </si>
  <si>
    <t>RICOMONO, GILDA</t>
  </si>
  <si>
    <t>P. MASAGANA VILLAREAL</t>
  </si>
  <si>
    <t>RAGADA, LENNY</t>
  </si>
  <si>
    <t>BELLOSO SUBD. STA. CAT</t>
  </si>
  <si>
    <t>SALVALLON, JOEL</t>
  </si>
  <si>
    <t>SIBUCO, EDNA</t>
  </si>
  <si>
    <t>SICO, MARK ADONIS</t>
  </si>
  <si>
    <t>P1 CAWITAN STA. CAT</t>
  </si>
  <si>
    <t>TORRES, JOCELYN</t>
  </si>
  <si>
    <t>TORALDE SUBD VILLAREAL</t>
  </si>
  <si>
    <t>TORREDA, ESTRELLA</t>
  </si>
  <si>
    <t>NATL HIGHWAY MALABUGAS</t>
  </si>
  <si>
    <t>TORREDA, ALLAN</t>
  </si>
  <si>
    <t>YBAÑEZ, TITA</t>
  </si>
  <si>
    <t>AGIR, JOSELITO</t>
  </si>
  <si>
    <t>MIRO, JEILANIE</t>
  </si>
  <si>
    <t>BELLOSO SUBD POB STA</t>
  </si>
  <si>
    <t>KUNG, ROBINSON</t>
  </si>
  <si>
    <t>BOLLOS ST BOYCO</t>
  </si>
  <si>
    <t>RENDOQUE, RICKY</t>
  </si>
  <si>
    <t>TOQUERO, AXEL</t>
  </si>
  <si>
    <t>CANALUM NANGKA</t>
  </si>
  <si>
    <t>TONOGBANUA,  BEJAYA</t>
  </si>
  <si>
    <t xml:space="preserve">RIZAL ST  TINAGO </t>
  </si>
  <si>
    <t>TANASAN, DAISY MAE</t>
  </si>
  <si>
    <t>FOR COURT</t>
  </si>
  <si>
    <t>AS OF FEBRUARY 28, 2014</t>
  </si>
  <si>
    <t>BALANCE AS OF FEBRUARY 28, 2014</t>
  </si>
  <si>
    <t xml:space="preserve">                             AS OF FEBRUARY 28, 2014</t>
  </si>
  <si>
    <t>BALANCE AS OF FEBRUARY 28 2014</t>
  </si>
  <si>
    <t xml:space="preserve">                                      AS OF FEBRUARY 28, 2014</t>
  </si>
  <si>
    <t>TOTAL BALANCE AS OF FEBRUARY 28, 2014</t>
  </si>
  <si>
    <t>AS OF  FEBRUARY  28, 2014</t>
  </si>
  <si>
    <t>TOTAL BALANCE AS OF FEBRUARY  28, 2014</t>
  </si>
  <si>
    <t>AS OF FEBRUARY  28, 2014</t>
  </si>
  <si>
    <t>BALANCE AS OF FEBRUARY  28, 2014</t>
  </si>
  <si>
    <t>TOTAL- 119 ACCOUNTS</t>
  </si>
  <si>
    <t>***</t>
  </si>
  <si>
    <t>****</t>
  </si>
  <si>
    <t>JUAN LUNA ST. POB STA.</t>
  </si>
  <si>
    <t>TOTAL- 77 ACCOUNTS</t>
  </si>
  <si>
    <t>RENDON, ERNESTO</t>
  </si>
  <si>
    <t>CANSIG-ID, BANGA BC</t>
  </si>
  <si>
    <t>TOTAL= 46 CLIENTS</t>
  </si>
  <si>
    <t>ABRIGOSO, ALFIE</t>
  </si>
  <si>
    <t>POBLACION BAYAWAN</t>
  </si>
  <si>
    <t>BELANDO, RONNIE</t>
  </si>
  <si>
    <t>BARTE, IVER</t>
  </si>
  <si>
    <t>COR ZAMORA ST., UBOS</t>
  </si>
  <si>
    <t>BERLAN, SUSAN</t>
  </si>
  <si>
    <t>PAMONACAN, MANALONGON</t>
  </si>
  <si>
    <t>BANDOJO, GERLYN</t>
  </si>
  <si>
    <t>BUENAVISTA, JOEL</t>
  </si>
  <si>
    <t>CADUNGOG, NOEL</t>
  </si>
  <si>
    <t>CUESTA, LOURDES</t>
  </si>
  <si>
    <t>DOLALAS, PAMELA</t>
  </si>
  <si>
    <t>ENDINO, JAYNE</t>
  </si>
  <si>
    <t>FERRERA, VIRGINIA</t>
  </si>
  <si>
    <t>JORDAN, WEINA ICESEN</t>
  </si>
  <si>
    <t>TAB-ANG, PAGATBAN</t>
  </si>
  <si>
    <t>MARTINEZ, ADELAIDA</t>
  </si>
  <si>
    <t xml:space="preserve">BAGACAY DUMAGUETE </t>
  </si>
  <si>
    <t>REPOSO, REDAN</t>
  </si>
  <si>
    <t>RIVERA, ANTHONY NOEL</t>
  </si>
  <si>
    <t>SICOPONG POB. STA. CAT</t>
  </si>
  <si>
    <t>SENO, DOREEN</t>
  </si>
  <si>
    <t>VALOR, MAMERTO</t>
  </si>
  <si>
    <t>ACIBES, HERMALYN</t>
  </si>
  <si>
    <t>BILLONES, INOCENCIO</t>
  </si>
  <si>
    <t>VILLAREAL BAYAWAN</t>
  </si>
  <si>
    <t>GAMAO, NARRA</t>
  </si>
  <si>
    <t>CANTO, EMILON</t>
  </si>
  <si>
    <t>DAGODOG, IVY</t>
  </si>
  <si>
    <t xml:space="preserve">TABUAN, BAYAWAN </t>
  </si>
  <si>
    <t>ESPANTE, NESTOR</t>
  </si>
  <si>
    <t>FERRAREN, SHIELA</t>
  </si>
  <si>
    <t xml:space="preserve">ACTIN, BASAY </t>
  </si>
  <si>
    <t>BALANCE AS OF MAY 31, 2014</t>
  </si>
  <si>
    <t xml:space="preserve">                                                                                   AS OF MAY 31, 2014</t>
  </si>
  <si>
    <t xml:space="preserve">                                       AS OF MAY 31, 2014</t>
  </si>
  <si>
    <t>BALANCE AS  MAY 31, 2014</t>
  </si>
  <si>
    <t>ANTIQUE, ROSEBELLA</t>
  </si>
  <si>
    <t>BITO-ON, IAN</t>
  </si>
  <si>
    <t>ADAY, FLORENCIO JR.</t>
  </si>
  <si>
    <t>P. VILLANUEVA STA. CAT.</t>
  </si>
  <si>
    <t>BRILLANTES, NORMAN</t>
  </si>
  <si>
    <t>CM RECTO ST., B.C.</t>
  </si>
  <si>
    <t>BERNUS, ALMARIE</t>
  </si>
  <si>
    <t>1715 GV SUBD B.C.</t>
  </si>
  <si>
    <t>DEMAVIVAS, BERNABET</t>
  </si>
  <si>
    <t>ANDALAHAO, JUDITH</t>
  </si>
  <si>
    <t>ADDITIONAL</t>
  </si>
  <si>
    <t>AMOROSO, LOLENA</t>
  </si>
  <si>
    <t>ALABADO, LORETA</t>
  </si>
  <si>
    <t>BOLLOS, FELISA</t>
  </si>
  <si>
    <t>BANTUG, VICTORIANO</t>
  </si>
  <si>
    <t>BARRON, JOEY</t>
  </si>
  <si>
    <t>BELLERA, ARNULFO</t>
  </si>
  <si>
    <t>PALUNGPONG NARRA</t>
  </si>
  <si>
    <t>BERNUS, GERARDO</t>
  </si>
  <si>
    <t>BALBUENA, RENE</t>
  </si>
  <si>
    <t>BUENAVISTA, JANET</t>
  </si>
  <si>
    <t>BASCAR, ANAVIC</t>
  </si>
  <si>
    <t>CABALAYUNGAN, BASAY</t>
  </si>
  <si>
    <t>ADV INT 3 MOS</t>
  </si>
  <si>
    <t>COMBITE, GLORIA</t>
  </si>
  <si>
    <t>0916/14</t>
  </si>
  <si>
    <t>CRUZ DELA, ARMANDO</t>
  </si>
  <si>
    <t>CADEMAS, MA. LINDA</t>
  </si>
  <si>
    <t>DUMALAG, KARL VIC</t>
  </si>
  <si>
    <t>DELGADO, MARLON</t>
  </si>
  <si>
    <t>LOWER NAPIT-AN</t>
  </si>
  <si>
    <t xml:space="preserve">DILAG, JOSEPH </t>
  </si>
  <si>
    <t>DAMONDAMON, ARLENE</t>
  </si>
  <si>
    <t>GUISOCON NANGKA</t>
  </si>
  <si>
    <t>DOLATRE, MARILOU</t>
  </si>
  <si>
    <t>ESPARTERO, JULIETA</t>
  </si>
  <si>
    <t>FERIL, GERARD</t>
  </si>
  <si>
    <t>GEALON, GLEN</t>
  </si>
  <si>
    <t>GARCES, DENA</t>
  </si>
  <si>
    <t>GALVEZ, EMMA</t>
  </si>
  <si>
    <t>PLYWOOD BAYAWAN</t>
  </si>
  <si>
    <t>HERMITA, CHERILYN</t>
  </si>
  <si>
    <t>02/30/15</t>
  </si>
  <si>
    <t>JACOME, SUSANO</t>
  </si>
  <si>
    <t>JAMANDRON, JENNIFER</t>
  </si>
  <si>
    <t>JALANDONI, NEDEL</t>
  </si>
  <si>
    <t>LIZADA, FELEZARDO</t>
  </si>
  <si>
    <t>MACAPOBRE, CHERYL</t>
  </si>
  <si>
    <t>MAGBANUA, MINERVA</t>
  </si>
  <si>
    <t>MELENDRES, BEVERLY</t>
  </si>
  <si>
    <t>MANAGAYTAY, IAN</t>
  </si>
  <si>
    <t>SUBA YARDAHAN</t>
  </si>
  <si>
    <t>MARTINEZ ST STA</t>
  </si>
  <si>
    <t>NUIQUE, REY</t>
  </si>
  <si>
    <t>GUBA POBLACION</t>
  </si>
  <si>
    <t>OROY, GRACE</t>
  </si>
  <si>
    <t>OBANG, VICTORIO JR</t>
  </si>
  <si>
    <t>PANALIGAN, JENNILYN</t>
  </si>
  <si>
    <t>PABORES, MAICAH</t>
  </si>
  <si>
    <t>PALOMAR, RETCHO</t>
  </si>
  <si>
    <t>PASCO, FE</t>
  </si>
  <si>
    <t>NATIONAL HIGHWAY</t>
  </si>
  <si>
    <t>PAGHARION, LAARNI</t>
  </si>
  <si>
    <t>QUESTAS, JONECIL</t>
  </si>
  <si>
    <t>P SAN VICENTE VILLAREAL</t>
  </si>
  <si>
    <t>QUITOS, MARIE KRIS</t>
  </si>
  <si>
    <t>GMELINA VILLAREAL</t>
  </si>
  <si>
    <t>RIVERA, ADONIS</t>
  </si>
  <si>
    <t>SALIGAN, VICTOR</t>
  </si>
  <si>
    <t>SAPUNGAN, NELSON</t>
  </si>
  <si>
    <t>SALIMBAGAT, CINDY</t>
  </si>
  <si>
    <t>SOTTO, JULIANA</t>
  </si>
  <si>
    <t>SARINO, MARICAR</t>
  </si>
  <si>
    <t>SOBREBIGA, BABITO</t>
  </si>
  <si>
    <t>AW-A POBLACION STA.</t>
  </si>
  <si>
    <t>SAGON, EDNA</t>
  </si>
  <si>
    <t>TAPANGAN, ROEL</t>
  </si>
  <si>
    <t>TALDE, KAREN</t>
  </si>
  <si>
    <t>TAPANGAN, ROGELIO</t>
  </si>
  <si>
    <t>CM RECTO ST POB</t>
  </si>
  <si>
    <t>TORRES, NIDA</t>
  </si>
  <si>
    <t>BURGOS EXT POB STA.</t>
  </si>
  <si>
    <t>TABOQUILDE, ALEXANDER</t>
  </si>
  <si>
    <t>P CALAMUNGAY MANINIHON</t>
  </si>
  <si>
    <t>VISTA, MARIO VAL</t>
  </si>
  <si>
    <t>LANDTITLE</t>
  </si>
  <si>
    <t>YUNTING, WILMA</t>
  </si>
  <si>
    <t>YU, STEPHEN</t>
  </si>
  <si>
    <t>ZAMORA, TERESITA</t>
  </si>
  <si>
    <t>ANTIPALA, ROLANDO</t>
  </si>
  <si>
    <t>ARIOLA, FORTUNATA</t>
  </si>
  <si>
    <t>BALANCE AS OF SEPTEMBER 31, 2014</t>
  </si>
  <si>
    <t>BISON, JULIAN</t>
  </si>
  <si>
    <t>MALAPAGYAO STA. CAT</t>
  </si>
  <si>
    <t>BERNUS, LIZA</t>
  </si>
  <si>
    <t>DAILIG, DOMINADOR</t>
  </si>
  <si>
    <t>ECHAVEZ, ESTER</t>
  </si>
  <si>
    <t>GALANZA, FRANCIS JOY</t>
  </si>
  <si>
    <t>BURGOS ST. UBOS</t>
  </si>
  <si>
    <t>OLAC, ALEXANDER</t>
  </si>
  <si>
    <t>SALINAS, ANGELA</t>
  </si>
  <si>
    <t>TAPALES, MAY</t>
  </si>
  <si>
    <t>ULLEGUE, MARIO</t>
  </si>
  <si>
    <t>MOYAO BANGA B.C.</t>
  </si>
  <si>
    <t>YONGQUE, JOVITO</t>
  </si>
  <si>
    <t>P-MASAGANA VILLAREAL</t>
  </si>
  <si>
    <t>ABUGAN, JOYFE</t>
  </si>
  <si>
    <t>BATOTO, LEONARDA</t>
  </si>
  <si>
    <t>SICOPONG STA. CATALINA</t>
  </si>
  <si>
    <t>ESTANIL, MERALUNA</t>
  </si>
  <si>
    <t>GOTOR, IAN</t>
  </si>
  <si>
    <t>RIZAL ST. TINAGO B.C.</t>
  </si>
  <si>
    <t>ILIGAN, ALVIN</t>
  </si>
  <si>
    <t>ROLDAN, ANA MARIE</t>
  </si>
  <si>
    <t>TAN, MARK LESTER</t>
  </si>
  <si>
    <t xml:space="preserve">HABE, MANINIHON </t>
  </si>
  <si>
    <t>ADAO, JASON</t>
  </si>
  <si>
    <t xml:space="preserve">GEMELINA VILLAREAL </t>
  </si>
  <si>
    <t>ARIOLA, JOSEPHINE</t>
  </si>
  <si>
    <t>COLLATERAL</t>
  </si>
  <si>
    <t>ANITO, KISMET BRENTESSA</t>
  </si>
  <si>
    <t>TV, REF</t>
  </si>
  <si>
    <t>TV, REF, WASHING</t>
  </si>
  <si>
    <t>NO-COLLATERAL</t>
  </si>
  <si>
    <t>AMODIA, LUCIA</t>
  </si>
  <si>
    <t>OMOD, MANINIHON</t>
  </si>
  <si>
    <t>LAPTOP</t>
  </si>
  <si>
    <t>ABENTAJADO, LILIA</t>
  </si>
  <si>
    <t>MOTORCYCLE</t>
  </si>
  <si>
    <t>REF</t>
  </si>
  <si>
    <t>APE, JULIO</t>
  </si>
  <si>
    <t>MILAGROSA NANGKA</t>
  </si>
  <si>
    <t>ABRASALDO, FRANCISCO</t>
  </si>
  <si>
    <t>APPLIANCES</t>
  </si>
  <si>
    <t>TV, REF, DVD PLAYER</t>
  </si>
  <si>
    <t>ADELA, NELLY</t>
  </si>
  <si>
    <t>TRICYCLE</t>
  </si>
  <si>
    <t>REF, TV</t>
  </si>
  <si>
    <t>BENDIJO, JOSE RONNEL</t>
  </si>
  <si>
    <t>WELDING, MC</t>
  </si>
  <si>
    <t>AIRCON, MC</t>
  </si>
  <si>
    <t>DESKTOP COMP</t>
  </si>
  <si>
    <t>BUSAYONG, ROSENIE</t>
  </si>
  <si>
    <t>PDC</t>
  </si>
  <si>
    <t>BALDOMAR, VICENTE</t>
  </si>
  <si>
    <t>TV</t>
  </si>
  <si>
    <t>TAX DECLARATION</t>
  </si>
  <si>
    <t>CABUGNASON, JERUM</t>
  </si>
  <si>
    <t>DUMP TRUCK</t>
  </si>
  <si>
    <t>CAMPOS, AMY</t>
  </si>
  <si>
    <t>TV,REF, DVD</t>
  </si>
  <si>
    <t>CERDANIA, REYNALDO</t>
  </si>
  <si>
    <t>DIVINAGRACIA, MARIO</t>
  </si>
  <si>
    <t>DOCTO, AMY</t>
  </si>
  <si>
    <t>CROSSING MALABUGAS</t>
  </si>
  <si>
    <t>DUMAT-OL, KARL VINCENT</t>
  </si>
  <si>
    <t>TV, DVD PLAYER</t>
  </si>
  <si>
    <t>TV,REF, MC</t>
  </si>
  <si>
    <t>ESCORA, LEA</t>
  </si>
  <si>
    <t>2 UNIT TV</t>
  </si>
  <si>
    <t>MULTICAB</t>
  </si>
  <si>
    <t>MC</t>
  </si>
  <si>
    <t>3 UNIT FREEZER</t>
  </si>
  <si>
    <t>GANTALAO, JESEIL</t>
  </si>
  <si>
    <t>AIRCON, TV, REF</t>
  </si>
  <si>
    <t>LAMPSUM</t>
  </si>
  <si>
    <t>XRM MOTORCYC</t>
  </si>
  <si>
    <t>LUBRICO, ALFREIN</t>
  </si>
  <si>
    <t>SAMPAGUITA VILLAREAL</t>
  </si>
  <si>
    <t>SAN VICENTE VILLAREAL</t>
  </si>
  <si>
    <t>REF,TV,HOME THEATER</t>
  </si>
  <si>
    <t>MIRA, SHERYN MAE</t>
  </si>
  <si>
    <t>MASAYON, VERNA</t>
  </si>
  <si>
    <t>2 UNIT TV,REF</t>
  </si>
  <si>
    <t>MANALO-AN, HYACINTH</t>
  </si>
  <si>
    <t>MALBOG, GODOFREDO</t>
  </si>
  <si>
    <t>MARTINEZ, ERNESTO</t>
  </si>
  <si>
    <t>ROTOR</t>
  </si>
  <si>
    <t>NUIQUE, JEFREY</t>
  </si>
  <si>
    <t>SALARY LOAN</t>
  </si>
  <si>
    <t>OLORES, BRYAN</t>
  </si>
  <si>
    <t>OBANG, SOZIMO</t>
  </si>
  <si>
    <t>ORTALIZ, RUTCHIE LYN</t>
  </si>
  <si>
    <t>TV, VCD COMPONENT</t>
  </si>
  <si>
    <t>OBANG, MARY GRACE</t>
  </si>
  <si>
    <t>PATRIMONIO, DOLORES</t>
  </si>
  <si>
    <t>OMOD, BAYAWAN</t>
  </si>
  <si>
    <t>PEBIDA, RENIE</t>
  </si>
  <si>
    <t>REF, WASHING</t>
  </si>
  <si>
    <t>TV,REF</t>
  </si>
  <si>
    <t>PEREZ, CECILLE</t>
  </si>
  <si>
    <t>PEBIDA, LORENA</t>
  </si>
  <si>
    <t>TV, GAS RANGE,MC</t>
  </si>
  <si>
    <t>RAMOS, GERALD</t>
  </si>
  <si>
    <t>REF,TV,PIANO</t>
  </si>
  <si>
    <t>RIDAD, EDGAR</t>
  </si>
  <si>
    <t>VEHICLE</t>
  </si>
  <si>
    <t>SALVA, MARLYN</t>
  </si>
  <si>
    <t>TUALE, MARCHITA</t>
  </si>
  <si>
    <t>1748 GV SUBD VILLAREAL</t>
  </si>
  <si>
    <t>TATON, GRACELYN</t>
  </si>
  <si>
    <t>TAYCO, JAY</t>
  </si>
  <si>
    <t>VILLAVERT, ROSARIO</t>
  </si>
  <si>
    <t>CHAVEZ, ENRIQUE</t>
  </si>
  <si>
    <t>CANDUMAING NANGKA</t>
  </si>
  <si>
    <t>ESTACION, ROSELYN</t>
  </si>
  <si>
    <t>MANOLONG, GERMAN</t>
  </si>
  <si>
    <t>MATURAN, RODOLFO</t>
  </si>
  <si>
    <t>TINASTASAN MALABUGAS</t>
  </si>
  <si>
    <t>LUBRICO, ROSANA</t>
  </si>
  <si>
    <t>NAVARRO, ORLANDO</t>
  </si>
  <si>
    <t>GEMILINA VILLAREAL</t>
  </si>
  <si>
    <t>RAPANA, DOMINADOR</t>
  </si>
  <si>
    <t>RAPANA, BEVERLY</t>
  </si>
  <si>
    <t>BELORIO, BERNABE</t>
  </si>
  <si>
    <t>ELECTONA ST STA.</t>
  </si>
  <si>
    <t>INSOY, ANN MIRALUNA</t>
  </si>
  <si>
    <t>MARTIREZ ST. STA.</t>
  </si>
  <si>
    <t>MEÑOSA, JOVANIE</t>
  </si>
  <si>
    <t>SICOPONG STA. CAT</t>
  </si>
  <si>
    <t>RAAGAS, LEO NOLI</t>
  </si>
  <si>
    <t>TRIO, JOSE</t>
  </si>
  <si>
    <t>TUGARO IGBOAN ILOILO</t>
  </si>
  <si>
    <t>GV SUBD VILLAREAL</t>
  </si>
  <si>
    <t>TABIANO, WILLIE</t>
  </si>
  <si>
    <t>GALLIENTES, CHRISTINE JOY</t>
  </si>
  <si>
    <t>MACAHILOS, MARIFE</t>
  </si>
  <si>
    <t>PABAYOS, BENJIE POLL</t>
  </si>
  <si>
    <t>AS OF AUGUST 31, 2015</t>
  </si>
  <si>
    <t>CM RECTO ST. BOYCO</t>
  </si>
  <si>
    <t>TOTAL BALANCE AS OF AUGUST 31, 2015</t>
  </si>
  <si>
    <t>ABRASALDO, RIL KIRBY</t>
  </si>
  <si>
    <t>AMISTOSO, JOSEPH RAMIL</t>
  </si>
  <si>
    <t>ANITO, MARIA TERESITA</t>
  </si>
  <si>
    <t>ASNE, ANNEFE</t>
  </si>
  <si>
    <t>ARGABIO, LORETO</t>
  </si>
  <si>
    <t>ARAGON, ELIAS</t>
  </si>
  <si>
    <t>1769 MARTINEZ ST. TINAGO</t>
  </si>
  <si>
    <t>ADV. INT 3MOS</t>
  </si>
  <si>
    <t>ANITO, ANGELINE</t>
  </si>
  <si>
    <t>AWIT, RONNIE</t>
  </si>
  <si>
    <t>ABRASALDO, JERRY</t>
  </si>
  <si>
    <t>ADARNA, REGLO VICENTE</t>
  </si>
  <si>
    <t>ABORIDO, CATHRINE</t>
  </si>
  <si>
    <t>WALKER, ELSA</t>
  </si>
  <si>
    <t>SICOPONG  STA. CAT</t>
  </si>
  <si>
    <t>BAYA, ALFREDO</t>
  </si>
  <si>
    <t>BON, SONNY</t>
  </si>
  <si>
    <t>BOHOL, ROUEMIE</t>
  </si>
  <si>
    <t>BALDERO, GARY</t>
  </si>
  <si>
    <t>08/60/15</t>
  </si>
  <si>
    <t>BAYLON, EDWIN</t>
  </si>
  <si>
    <t>CANDULION KALAMTUKAN</t>
  </si>
  <si>
    <t>BALDEVARONA, ALLAN</t>
  </si>
  <si>
    <t>BALDEVARONA, MARY ANN</t>
  </si>
  <si>
    <t>BAYOT, ROWIN</t>
  </si>
  <si>
    <t>P-1 BANGA BAYAWAN</t>
  </si>
  <si>
    <t>BITO-ON, HENRY</t>
  </si>
  <si>
    <t>BLANCO, NESTOR</t>
  </si>
  <si>
    <t>P-1 DAWIS BAYAWAN</t>
  </si>
  <si>
    <t>BASALAN, ERMAR</t>
  </si>
  <si>
    <t>CORDERO, LORETO</t>
  </si>
  <si>
    <t>URC SICOPONG</t>
  </si>
  <si>
    <t>CABUROG, RUSTICO</t>
  </si>
  <si>
    <t>ADV INT2MOS</t>
  </si>
  <si>
    <t>CASPE, ERLINDA</t>
  </si>
  <si>
    <t>P-GMELINA VILLAREAL</t>
  </si>
  <si>
    <t>CADORNA, LEONILO</t>
  </si>
  <si>
    <t>CATMON, MANINIHON</t>
  </si>
  <si>
    <t>CANOY, MARY ANN</t>
  </si>
  <si>
    <t>CRUZ DELA, JOSE</t>
  </si>
  <si>
    <t>DELGADO, CHONA</t>
  </si>
  <si>
    <t>DIEZ, VIOLETA</t>
  </si>
  <si>
    <t>DAEL, MAE</t>
  </si>
  <si>
    <t>ADV INT 1 MO.</t>
  </si>
  <si>
    <t>ESPAÑOLA, ALBERT</t>
  </si>
  <si>
    <t>SUBA BAYAWAN</t>
  </si>
  <si>
    <t>ESTIÑOSO, HAZEL</t>
  </si>
  <si>
    <t>ELLORICO, BEVERLY</t>
  </si>
  <si>
    <t>FABURADA, PASTORA</t>
  </si>
  <si>
    <t>LOWER MALABUGAS</t>
  </si>
  <si>
    <t>FERNANDEZ, ALLAN</t>
  </si>
  <si>
    <t>FERRAREN, LEE BRYAN</t>
  </si>
  <si>
    <t>FURIO, MARIA ESTELA</t>
  </si>
  <si>
    <t>BIGONG DAWIS</t>
  </si>
  <si>
    <t>GAMO, YURI</t>
  </si>
  <si>
    <t>P-DAWIS BAYAWAN</t>
  </si>
  <si>
    <t>IGNACIO, ALLY</t>
  </si>
  <si>
    <t>ADV INT3MOS</t>
  </si>
  <si>
    <t>INGAN, EDNA</t>
  </si>
  <si>
    <t>LOPEZ, GERLIE</t>
  </si>
  <si>
    <t>LEGAJE, JENEPHER</t>
  </si>
  <si>
    <t>LIZADA, DIOSCORO</t>
  </si>
  <si>
    <t>TUBOD TABUAN</t>
  </si>
  <si>
    <t>LAMPARERO, MA. CORONACION</t>
  </si>
  <si>
    <t>MARTIREZ POB STA</t>
  </si>
  <si>
    <t>LAMPAGO, ADELA</t>
  </si>
  <si>
    <t>DATUNG TABUAN</t>
  </si>
  <si>
    <t>MATIBAN, FIER</t>
  </si>
  <si>
    <t>DAAGLUNGSOD STA</t>
  </si>
  <si>
    <t>MOROTA, LORNA</t>
  </si>
  <si>
    <t>NARRA BAYAWAN</t>
  </si>
  <si>
    <t>MONTEALTO, EJAS</t>
  </si>
  <si>
    <t>MELODIA, MAGNOLIA</t>
  </si>
  <si>
    <t>MORENO, JOSE</t>
  </si>
  <si>
    <t>MANALO-AN, PILAR</t>
  </si>
  <si>
    <t>NOBERIANO, JANNEM</t>
  </si>
  <si>
    <t>BLISS STA. CATALINA</t>
  </si>
  <si>
    <t>LAPTOP-DEP</t>
  </si>
  <si>
    <t>NAMACPACAN, MIRABELLE</t>
  </si>
  <si>
    <t>P. VILLANUEVA POB</t>
  </si>
  <si>
    <t>OROT, BUENAVENTURA</t>
  </si>
  <si>
    <t>HINAKI NANGKA</t>
  </si>
  <si>
    <t>OBANIANA, BEVERLY</t>
  </si>
  <si>
    <t>PALO, CHEENLEE</t>
  </si>
  <si>
    <t>BINOCOT POB STA.</t>
  </si>
  <si>
    <t>PACUNLA, CHELLY</t>
  </si>
  <si>
    <t>PEÑAFLORIDA, MARIE FE</t>
  </si>
  <si>
    <t>PINEDA, INOCENCIO</t>
  </si>
  <si>
    <t>PIÑERO, RODERICK</t>
  </si>
  <si>
    <t>JP RIZAL TINAGO</t>
  </si>
  <si>
    <t>PEBIDA, EMILIO</t>
  </si>
  <si>
    <t>QUIMADA, CERELINA</t>
  </si>
  <si>
    <t>QUINIKITO, MARY ANN</t>
  </si>
  <si>
    <t>FATIMA STA. CATALINA</t>
  </si>
  <si>
    <t>RODRIGUEZ, CRESENCIANO</t>
  </si>
  <si>
    <t>RICAPLAZA, WENIE</t>
  </si>
  <si>
    <t>SOLAMILLO, ROMEO</t>
  </si>
  <si>
    <t>SINDIONG, DON ANGELO</t>
  </si>
  <si>
    <t>MC-DEP</t>
  </si>
  <si>
    <t>SALVADOR, FLORDELIZ</t>
  </si>
  <si>
    <t>SENO, REY</t>
  </si>
  <si>
    <t>TANO, ANTONIO</t>
  </si>
  <si>
    <t>02/30/16</t>
  </si>
  <si>
    <t>TITOY, NARCISO</t>
  </si>
  <si>
    <t>VERANO, JOEL</t>
  </si>
  <si>
    <t>CANSUMALIG BAYAWAN</t>
  </si>
  <si>
    <t>VENDIOLA, FLAVIANO</t>
  </si>
  <si>
    <t>VILLAN, LILIAN</t>
  </si>
  <si>
    <t>ZERNA, JASPER</t>
  </si>
  <si>
    <t xml:space="preserve">BURGOS ST </t>
  </si>
  <si>
    <t>ACEBEDA, MAE</t>
  </si>
  <si>
    <t>BACARAT, CLARA</t>
  </si>
  <si>
    <t>CAÑADA, TEODY</t>
  </si>
  <si>
    <t>FAUSTERILLA, KHARNA</t>
  </si>
  <si>
    <t>GERSAN, CLARENCE</t>
  </si>
  <si>
    <t>GARABATO, GERLIE</t>
  </si>
  <si>
    <t>BUENO, EMILY</t>
  </si>
  <si>
    <t>PAGACITA, WILMA</t>
  </si>
  <si>
    <t>RODRIGUEZ, WILSON</t>
  </si>
  <si>
    <t>ENTINZA, WENNIE</t>
  </si>
  <si>
    <t>FAUSTERILLA, RONALD</t>
  </si>
  <si>
    <t>MANTAPI, NANGKA</t>
  </si>
  <si>
    <t>P-3 DAWIS BAYAWAN</t>
  </si>
  <si>
    <t>TAYAB, RODRIGO</t>
  </si>
  <si>
    <t>TINAPAO, MARITES</t>
  </si>
  <si>
    <t>ESPAÑOLA, MILJAN</t>
  </si>
  <si>
    <t>OCAÑA, DENNIS</t>
  </si>
  <si>
    <t>CM RECTO ST. POB B.C</t>
  </si>
  <si>
    <t>NOTBOK-DEP</t>
  </si>
  <si>
    <t>ABORDO, JOSEPHINE</t>
  </si>
  <si>
    <t>EJAN, SHIELA</t>
  </si>
  <si>
    <t>E AND E CABLE</t>
  </si>
  <si>
    <t>ADV INT 1MO</t>
  </si>
  <si>
    <t>PAJARILLO, IAN KIRK</t>
  </si>
  <si>
    <t>SAN MIGUEL STA. CAT</t>
  </si>
  <si>
    <t>SUMADIA, ROBINSON</t>
  </si>
  <si>
    <t>TIAMPONG, JOSE ROSARIO</t>
  </si>
  <si>
    <t>TV-DEP</t>
  </si>
  <si>
    <t>TAPANGAN, NEROSE</t>
  </si>
  <si>
    <t>VASQUEZ, LILIA</t>
  </si>
  <si>
    <t>POBLACION HINOBA-AN</t>
  </si>
  <si>
    <t>PASTDUE 2015</t>
  </si>
  <si>
    <t>ACCOUNTS RELEASED FROM JANUARY - AUGUST 2015</t>
  </si>
  <si>
    <t>ACCOUNTS RELEASED FROM JANUARY - DECEMBER 2014</t>
  </si>
  <si>
    <t>BALANCE AS OF AUGUST 24, 2015</t>
  </si>
  <si>
    <t>DIAO, GUILLERMO</t>
  </si>
  <si>
    <t>DIONSON, REY</t>
  </si>
  <si>
    <t>VILLAREL BAYAWAN</t>
  </si>
  <si>
    <t>JORDAN, JODEL</t>
  </si>
  <si>
    <t>ORDOÑEZ, PRIME ROSE</t>
  </si>
  <si>
    <t>TOTAL- 128  ACCOUNTS</t>
  </si>
  <si>
    <t>TANASAN, DAISY</t>
  </si>
  <si>
    <t>ONDOL NANGKA</t>
  </si>
  <si>
    <t>TALEON, NESTOR</t>
  </si>
  <si>
    <t>TOTAL- 364 CLIENTS</t>
  </si>
  <si>
    <t>TOTAL- 113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</si>
</sst>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409]mmmm\ d\,\ yyyy;@"/>
    <numFmt numFmtId="165" formatCode="mm/dd/yy;@"/>
    <numFmt numFmtId="166" formatCode="0;[Red]0"/>
    <numFmt numFmtId="167" formatCode="#,##0.00;[Red]#,##0.00"/>
    <numFmt numFmtId="168" formatCode="0.00;[Red]0.00"/>
    <numFmt numFmtId="169" formatCode="m/d/yy"/>
    <numFmt numFmtId="170" formatCode="mm/dd/yy"/>
    <numFmt numFmtId="171" formatCode="m/d/yy;@"/>
    <numFmt numFmtId="172" formatCode="#,##0.0;[Red]#,##0.0"/>
    <numFmt numFmtId="173" formatCode="#,##0;[Red]#,##0"/>
    <numFmt numFmtId="174" formatCode="00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18"/>
      <name val="Calibri"/>
      <family val="2"/>
    </font>
    <font>
      <sz val="14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9"/>
      <name val="Calibri"/>
      <family val="2"/>
    </font>
    <font>
      <b/>
      <sz val="9"/>
      <color theme="6" tint="-0.499984740745262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9"/>
      <color theme="6" tint="-0.499984740745262"/>
      <name val="Calibri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theme="6" tint="-0.499984740745262"/>
      <name val="Calibri"/>
      <family val="2"/>
    </font>
    <font>
      <b/>
      <sz val="9"/>
      <color theme="1"/>
      <name val="Calibri"/>
      <family val="2"/>
      <scheme val="minor"/>
    </font>
    <font>
      <b/>
      <sz val="10"/>
      <name val="Copperplate Gothic Light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mbria"/>
      <family val="1"/>
      <scheme val="major"/>
    </font>
    <font>
      <b/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8"/>
      <color indexed="8"/>
      <name val="Calibri"/>
      <family val="2"/>
    </font>
    <font>
      <b/>
      <sz val="8"/>
      <color indexed="18"/>
      <name val="Calibri"/>
      <family val="2"/>
    </font>
    <font>
      <b/>
      <sz val="8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Calibri"/>
      <family val="2"/>
    </font>
    <font>
      <b/>
      <sz val="9"/>
      <color rgb="FFFF0000"/>
      <name val="Calibri"/>
      <family val="2"/>
    </font>
    <font>
      <b/>
      <sz val="9"/>
      <color rgb="FFFF0000"/>
      <name val="Calibri"/>
      <family val="2"/>
      <scheme val="minor"/>
    </font>
    <font>
      <b/>
      <sz val="9"/>
      <color theme="2" tint="-0.899990844447157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1384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2" fillId="0" borderId="0" xfId="0" applyFont="1"/>
    <xf numFmtId="0" fontId="0" fillId="0" borderId="8" xfId="0" applyBorder="1"/>
    <xf numFmtId="0" fontId="0" fillId="0" borderId="5" xfId="0" applyBorder="1"/>
    <xf numFmtId="0" fontId="0" fillId="0" borderId="6" xfId="0" applyBorder="1"/>
    <xf numFmtId="43" fontId="0" fillId="0" borderId="5" xfId="0" applyNumberFormat="1" applyBorder="1"/>
    <xf numFmtId="43" fontId="0" fillId="0" borderId="6" xfId="0" applyNumberFormat="1" applyBorder="1"/>
    <xf numFmtId="43" fontId="0" fillId="0" borderId="0" xfId="0" applyNumberFormat="1"/>
    <xf numFmtId="0" fontId="5" fillId="0" borderId="7" xfId="0" applyFont="1" applyBorder="1" applyAlignment="1">
      <alignment horizontal="center"/>
    </xf>
    <xf numFmtId="0" fontId="0" fillId="0" borderId="7" xfId="0" applyBorder="1"/>
    <xf numFmtId="43" fontId="0" fillId="0" borderId="0" xfId="1" applyFont="1"/>
    <xf numFmtId="0" fontId="0" fillId="0" borderId="8" xfId="0" applyBorder="1" applyAlignment="1">
      <alignment horizontal="center"/>
    </xf>
    <xf numFmtId="0" fontId="7" fillId="0" borderId="0" xfId="0" applyFont="1"/>
    <xf numFmtId="0" fontId="8" fillId="0" borderId="0" xfId="0" applyFont="1"/>
    <xf numFmtId="0" fontId="3" fillId="0" borderId="0" xfId="0" applyFont="1"/>
    <xf numFmtId="0" fontId="5" fillId="0" borderId="0" xfId="0" applyFont="1"/>
    <xf numFmtId="0" fontId="5" fillId="0" borderId="8" xfId="0" applyFont="1" applyBorder="1" applyAlignment="1">
      <alignment horizontal="center"/>
    </xf>
    <xf numFmtId="43" fontId="7" fillId="0" borderId="0" xfId="0" applyNumberFormat="1" applyFont="1"/>
    <xf numFmtId="10" fontId="7" fillId="0" borderId="0" xfId="0" applyNumberFormat="1" applyFont="1"/>
    <xf numFmtId="0" fontId="5" fillId="0" borderId="12" xfId="0" applyFont="1" applyBorder="1" applyAlignment="1">
      <alignment horizontal="center"/>
    </xf>
    <xf numFmtId="43" fontId="11" fillId="0" borderId="1" xfId="1" applyFont="1" applyFill="1" applyBorder="1"/>
    <xf numFmtId="43" fontId="11" fillId="0" borderId="6" xfId="1" applyFont="1" applyFill="1" applyBorder="1"/>
    <xf numFmtId="43" fontId="11" fillId="0" borderId="22" xfId="1" applyFont="1" applyFill="1" applyBorder="1"/>
    <xf numFmtId="43" fontId="11" fillId="0" borderId="1" xfId="0" applyNumberFormat="1" applyFont="1" applyFill="1" applyBorder="1"/>
    <xf numFmtId="169" fontId="11" fillId="0" borderId="19" xfId="0" applyNumberFormat="1" applyFont="1" applyFill="1" applyBorder="1"/>
    <xf numFmtId="43" fontId="10" fillId="0" borderId="22" xfId="0" applyNumberFormat="1" applyFont="1" applyFill="1" applyBorder="1"/>
    <xf numFmtId="0" fontId="10" fillId="0" borderId="18" xfId="0" applyFont="1" applyFill="1" applyBorder="1"/>
    <xf numFmtId="43" fontId="11" fillId="0" borderId="6" xfId="0" applyNumberFormat="1" applyFont="1" applyFill="1" applyBorder="1"/>
    <xf numFmtId="43" fontId="11" fillId="0" borderId="4" xfId="0" applyNumberFormat="1" applyFont="1" applyFill="1" applyBorder="1"/>
    <xf numFmtId="43" fontId="10" fillId="0" borderId="24" xfId="0" applyNumberFormat="1" applyFont="1" applyFill="1" applyBorder="1"/>
    <xf numFmtId="0" fontId="0" fillId="0" borderId="0" xfId="0" applyFill="1"/>
    <xf numFmtId="0" fontId="3" fillId="0" borderId="0" xfId="0" applyFont="1" applyFill="1"/>
    <xf numFmtId="0" fontId="4" fillId="0" borderId="0" xfId="0" applyFont="1" applyFill="1" applyBorder="1"/>
    <xf numFmtId="164" fontId="4" fillId="0" borderId="0" xfId="0" applyNumberFormat="1" applyFont="1" applyFill="1" applyBorder="1"/>
    <xf numFmtId="43" fontId="4" fillId="0" borderId="0" xfId="1" applyNumberFormat="1" applyFont="1" applyFill="1" applyBorder="1"/>
    <xf numFmtId="0" fontId="0" fillId="0" borderId="0" xfId="0" applyFill="1" applyAlignment="1">
      <alignment horizontal="left"/>
    </xf>
    <xf numFmtId="0" fontId="15" fillId="0" borderId="0" xfId="0" applyFont="1" applyFill="1" applyBorder="1"/>
    <xf numFmtId="43" fontId="0" fillId="0" borderId="0" xfId="0" applyNumberFormat="1" applyFill="1"/>
    <xf numFmtId="0" fontId="5" fillId="0" borderId="6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4" fontId="5" fillId="0" borderId="6" xfId="0" applyNumberFormat="1" applyFont="1" applyBorder="1"/>
    <xf numFmtId="0" fontId="5" fillId="0" borderId="2" xfId="0" applyFont="1" applyBorder="1" applyAlignment="1">
      <alignment horizontal="center"/>
    </xf>
    <xf numFmtId="14" fontId="5" fillId="0" borderId="17" xfId="0" applyNumberFormat="1" applyFont="1" applyBorder="1" applyAlignment="1">
      <alignment horizontal="center"/>
    </xf>
    <xf numFmtId="43" fontId="0" fillId="0" borderId="0" xfId="0" applyNumberFormat="1" applyFont="1"/>
    <xf numFmtId="43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41" xfId="0" applyNumberFormat="1" applyBorder="1"/>
    <xf numFmtId="0" fontId="0" fillId="0" borderId="42" xfId="0" applyBorder="1"/>
    <xf numFmtId="0" fontId="0" fillId="0" borderId="34" xfId="0" applyBorder="1"/>
    <xf numFmtId="43" fontId="0" fillId="0" borderId="42" xfId="0" applyNumberFormat="1" applyBorder="1"/>
    <xf numFmtId="43" fontId="0" fillId="2" borderId="42" xfId="0" applyNumberFormat="1" applyFill="1" applyBorder="1"/>
    <xf numFmtId="43" fontId="0" fillId="0" borderId="7" xfId="0" applyNumberFormat="1" applyFont="1" applyBorder="1" applyAlignment="1">
      <alignment horizontal="center"/>
    </xf>
    <xf numFmtId="43" fontId="0" fillId="0" borderId="8" xfId="0" applyNumberFormat="1" applyFont="1" applyBorder="1"/>
    <xf numFmtId="43" fontId="0" fillId="0" borderId="8" xfId="0" applyNumberFormat="1" applyBorder="1"/>
    <xf numFmtId="14" fontId="0" fillId="0" borderId="8" xfId="0" applyNumberFormat="1" applyFont="1" applyBorder="1" applyAlignment="1">
      <alignment horizontal="center"/>
    </xf>
    <xf numFmtId="14" fontId="0" fillId="0" borderId="8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43" fontId="0" fillId="0" borderId="3" xfId="0" applyNumberFormat="1" applyFont="1" applyBorder="1" applyAlignment="1">
      <alignment horizontal="center"/>
    </xf>
    <xf numFmtId="43" fontId="0" fillId="0" borderId="10" xfId="0" applyNumberFormat="1" applyFont="1" applyBorder="1" applyAlignment="1">
      <alignment horizontal="center"/>
    </xf>
    <xf numFmtId="43" fontId="0" fillId="0" borderId="10" xfId="0" applyNumberFormat="1" applyFont="1" applyBorder="1"/>
    <xf numFmtId="43" fontId="0" fillId="0" borderId="10" xfId="0" applyNumberFormat="1" applyBorder="1"/>
    <xf numFmtId="43" fontId="0" fillId="0" borderId="18" xfId="0" applyNumberFormat="1" applyBorder="1"/>
    <xf numFmtId="0" fontId="0" fillId="0" borderId="21" xfId="0" applyBorder="1"/>
    <xf numFmtId="0" fontId="2" fillId="0" borderId="42" xfId="0" applyFont="1" applyBorder="1"/>
    <xf numFmtId="0" fontId="16" fillId="0" borderId="0" xfId="0" applyFont="1"/>
    <xf numFmtId="0" fontId="17" fillId="0" borderId="0" xfId="0" applyFont="1"/>
    <xf numFmtId="0" fontId="7" fillId="0" borderId="0" xfId="0" applyFont="1"/>
    <xf numFmtId="43" fontId="7" fillId="0" borderId="6" xfId="1" applyFont="1" applyBorder="1"/>
    <xf numFmtId="43" fontId="7" fillId="0" borderId="1" xfId="1" applyFont="1" applyBorder="1"/>
    <xf numFmtId="43" fontId="11" fillId="0" borderId="6" xfId="2" applyFont="1" applyFill="1" applyBorder="1"/>
    <xf numFmtId="43" fontId="11" fillId="0" borderId="6" xfId="3" applyFont="1" applyFill="1" applyBorder="1"/>
    <xf numFmtId="43" fontId="11" fillId="0" borderId="1" xfId="3" applyFont="1" applyFill="1" applyBorder="1" applyAlignment="1">
      <alignment horizontal="center"/>
    </xf>
    <xf numFmtId="43" fontId="11" fillId="0" borderId="6" xfId="4" applyFont="1" applyFill="1" applyBorder="1"/>
    <xf numFmtId="43" fontId="11" fillId="0" borderId="18" xfId="4" applyFont="1" applyFill="1" applyBorder="1"/>
    <xf numFmtId="169" fontId="11" fillId="0" borderId="18" xfId="0" applyNumberFormat="1" applyFont="1" applyFill="1" applyBorder="1"/>
    <xf numFmtId="43" fontId="11" fillId="0" borderId="6" xfId="5" applyFont="1" applyFill="1" applyBorder="1"/>
    <xf numFmtId="43" fontId="11" fillId="0" borderId="18" xfId="5" applyFont="1" applyFill="1" applyBorder="1"/>
    <xf numFmtId="0" fontId="19" fillId="0" borderId="1" xfId="0" applyFont="1" applyBorder="1"/>
    <xf numFmtId="43" fontId="11" fillId="0" borderId="1" xfId="6" applyFont="1" applyFill="1" applyBorder="1"/>
    <xf numFmtId="43" fontId="11" fillId="0" borderId="6" xfId="6" applyFont="1" applyFill="1" applyBorder="1"/>
    <xf numFmtId="43" fontId="11" fillId="0" borderId="6" xfId="7" applyFont="1" applyFill="1" applyBorder="1"/>
    <xf numFmtId="43" fontId="10" fillId="0" borderId="17" xfId="0" applyNumberFormat="1" applyFont="1" applyFill="1" applyBorder="1"/>
    <xf numFmtId="0" fontId="9" fillId="0" borderId="0" xfId="0" applyFont="1" applyAlignment="1"/>
    <xf numFmtId="0" fontId="9" fillId="0" borderId="0" xfId="0" applyFont="1" applyBorder="1" applyAlignment="1"/>
    <xf numFmtId="43" fontId="11" fillId="0" borderId="6" xfId="3" applyFont="1" applyFill="1" applyBorder="1" applyAlignment="1">
      <alignment horizontal="center"/>
    </xf>
    <xf numFmtId="0" fontId="18" fillId="0" borderId="1" xfId="0" applyFont="1" applyBorder="1"/>
    <xf numFmtId="0" fontId="18" fillId="0" borderId="1" xfId="0" applyFont="1" applyFill="1" applyBorder="1"/>
    <xf numFmtId="43" fontId="11" fillId="0" borderId="18" xfId="1" applyFont="1" applyFill="1" applyBorder="1"/>
    <xf numFmtId="43" fontId="0" fillId="0" borderId="1" xfId="0" applyNumberFormat="1" applyBorder="1"/>
    <xf numFmtId="43" fontId="7" fillId="0" borderId="1" xfId="0" applyNumberFormat="1" applyFont="1" applyBorder="1"/>
    <xf numFmtId="43" fontId="7" fillId="0" borderId="6" xfId="0" applyNumberFormat="1" applyFont="1" applyBorder="1"/>
    <xf numFmtId="43" fontId="11" fillId="0" borderId="1" xfId="3" applyFont="1" applyFill="1" applyBorder="1"/>
    <xf numFmtId="43" fontId="11" fillId="0" borderId="1" xfId="4" applyFont="1" applyFill="1" applyBorder="1"/>
    <xf numFmtId="43" fontId="8" fillId="0" borderId="1" xfId="0" applyNumberFormat="1" applyFont="1" applyBorder="1"/>
    <xf numFmtId="0" fontId="7" fillId="0" borderId="0" xfId="0" applyFont="1" applyBorder="1"/>
    <xf numFmtId="43" fontId="11" fillId="0" borderId="1" xfId="5" applyFont="1" applyFill="1" applyBorder="1"/>
    <xf numFmtId="43" fontId="7" fillId="0" borderId="21" xfId="0" applyNumberFormat="1" applyFont="1" applyBorder="1"/>
    <xf numFmtId="43" fontId="3" fillId="0" borderId="0" xfId="0" applyNumberFormat="1" applyFont="1"/>
    <xf numFmtId="43" fontId="11" fillId="0" borderId="18" xfId="3" applyFont="1" applyFill="1" applyBorder="1"/>
    <xf numFmtId="43" fontId="11" fillId="0" borderId="19" xfId="3" applyFont="1" applyFill="1" applyBorder="1" applyAlignment="1">
      <alignment horizontal="center"/>
    </xf>
    <xf numFmtId="0" fontId="11" fillId="0" borderId="8" xfId="0" applyFont="1" applyFill="1" applyBorder="1"/>
    <xf numFmtId="43" fontId="10" fillId="0" borderId="6" xfId="1" applyFont="1" applyFill="1" applyBorder="1"/>
    <xf numFmtId="43" fontId="10" fillId="0" borderId="8" xfId="1" applyFont="1" applyFill="1" applyBorder="1"/>
    <xf numFmtId="172" fontId="4" fillId="0" borderId="0" xfId="1" applyNumberFormat="1" applyFont="1" applyFill="1" applyBorder="1"/>
    <xf numFmtId="0" fontId="21" fillId="0" borderId="19" xfId="0" applyFont="1" applyBorder="1" applyAlignment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0" fillId="0" borderId="0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14" fontId="21" fillId="0" borderId="19" xfId="0" applyNumberFormat="1" applyFont="1" applyBorder="1" applyAlignment="1">
      <alignment horizontal="center"/>
    </xf>
    <xf numFmtId="14" fontId="21" fillId="0" borderId="1" xfId="0" applyNumberFormat="1" applyFont="1" applyBorder="1" applyAlignment="1">
      <alignment horizontal="center"/>
    </xf>
    <xf numFmtId="14" fontId="21" fillId="0" borderId="1" xfId="0" applyNumberFormat="1" applyFont="1" applyBorder="1"/>
    <xf numFmtId="43" fontId="20" fillId="0" borderId="26" xfId="1" applyFont="1" applyBorder="1"/>
    <xf numFmtId="43" fontId="20" fillId="0" borderId="0" xfId="1" applyFont="1" applyBorder="1"/>
    <xf numFmtId="0" fontId="23" fillId="0" borderId="0" xfId="0" applyFont="1" applyBorder="1"/>
    <xf numFmtId="0" fontId="23" fillId="0" borderId="19" xfId="0" applyFont="1" applyBorder="1"/>
    <xf numFmtId="0" fontId="23" fillId="0" borderId="1" xfId="0" applyFont="1" applyBorder="1"/>
    <xf numFmtId="0" fontId="23" fillId="0" borderId="0" xfId="0" applyFont="1"/>
    <xf numFmtId="0" fontId="24" fillId="0" borderId="0" xfId="0" applyFont="1" applyBorder="1"/>
    <xf numFmtId="43" fontId="20" fillId="0" borderId="18" xfId="1" applyFont="1" applyBorder="1"/>
    <xf numFmtId="43" fontId="20" fillId="0" borderId="6" xfId="1" applyFont="1" applyBorder="1"/>
    <xf numFmtId="165" fontId="20" fillId="0" borderId="6" xfId="0" applyNumberFormat="1" applyFont="1" applyBorder="1"/>
    <xf numFmtId="0" fontId="24" fillId="0" borderId="0" xfId="0" applyFont="1"/>
    <xf numFmtId="43" fontId="20" fillId="0" borderId="19" xfId="1" applyFont="1" applyBorder="1"/>
    <xf numFmtId="43" fontId="20" fillId="0" borderId="1" xfId="1" applyFont="1" applyBorder="1"/>
    <xf numFmtId="165" fontId="20" fillId="0" borderId="1" xfId="0" applyNumberFormat="1" applyFont="1" applyBorder="1"/>
    <xf numFmtId="43" fontId="23" fillId="0" borderId="6" xfId="0" applyNumberFormat="1" applyFont="1" applyBorder="1"/>
    <xf numFmtId="43" fontId="23" fillId="0" borderId="1" xfId="0" applyNumberFormat="1" applyFont="1" applyBorder="1"/>
    <xf numFmtId="43" fontId="21" fillId="0" borderId="1" xfId="0" applyNumberFormat="1" applyFont="1" applyBorder="1"/>
    <xf numFmtId="43" fontId="24" fillId="0" borderId="19" xfId="1" applyFont="1" applyBorder="1"/>
    <xf numFmtId="0" fontId="25" fillId="0" borderId="0" xfId="0" applyFont="1" applyAlignment="1"/>
    <xf numFmtId="0" fontId="23" fillId="0" borderId="0" xfId="0" applyFont="1" applyBorder="1" applyAlignment="1">
      <alignment horizontal="center"/>
    </xf>
    <xf numFmtId="43" fontId="20" fillId="0" borderId="0" xfId="1" applyFont="1" applyBorder="1" applyAlignment="1">
      <alignment horizontal="center"/>
    </xf>
    <xf numFmtId="43" fontId="20" fillId="0" borderId="21" xfId="0" applyNumberFormat="1" applyFont="1" applyBorder="1"/>
    <xf numFmtId="43" fontId="20" fillId="0" borderId="1" xfId="0" applyNumberFormat="1" applyFont="1" applyBorder="1"/>
    <xf numFmtId="43" fontId="20" fillId="0" borderId="6" xfId="0" applyNumberFormat="1" applyFont="1" applyBorder="1"/>
    <xf numFmtId="43" fontId="23" fillId="0" borderId="0" xfId="1" applyFont="1" applyFill="1" applyBorder="1"/>
    <xf numFmtId="0" fontId="26" fillId="0" borderId="0" xfId="0" applyFont="1" applyAlignment="1"/>
    <xf numFmtId="0" fontId="26" fillId="0" borderId="0" xfId="0" applyFont="1" applyBorder="1" applyAlignment="1"/>
    <xf numFmtId="0" fontId="22" fillId="0" borderId="13" xfId="0" applyFont="1" applyFill="1" applyBorder="1" applyAlignment="1">
      <alignment horizontal="center"/>
    </xf>
    <xf numFmtId="43" fontId="22" fillId="0" borderId="14" xfId="0" applyNumberFormat="1" applyFont="1" applyFill="1" applyBorder="1"/>
    <xf numFmtId="43" fontId="22" fillId="0" borderId="13" xfId="1" applyFont="1" applyFill="1" applyBorder="1" applyAlignment="1"/>
    <xf numFmtId="43" fontId="22" fillId="0" borderId="37" xfId="0" applyNumberFormat="1" applyFont="1" applyFill="1" applyBorder="1"/>
    <xf numFmtId="14" fontId="22" fillId="0" borderId="8" xfId="0" applyNumberFormat="1" applyFont="1" applyFill="1" applyBorder="1" applyAlignment="1">
      <alignment horizontal="center"/>
    </xf>
    <xf numFmtId="43" fontId="22" fillId="0" borderId="65" xfId="1" applyFont="1" applyFill="1" applyBorder="1" applyAlignment="1">
      <alignment horizontal="center"/>
    </xf>
    <xf numFmtId="43" fontId="22" fillId="0" borderId="52" xfId="1" applyFont="1" applyFill="1" applyBorder="1"/>
    <xf numFmtId="169" fontId="22" fillId="0" borderId="6" xfId="0" applyNumberFormat="1" applyFont="1" applyFill="1" applyBorder="1"/>
    <xf numFmtId="43" fontId="22" fillId="0" borderId="0" xfId="1" applyFont="1" applyFill="1" applyBorder="1" applyAlignment="1">
      <alignment horizontal="center"/>
    </xf>
    <xf numFmtId="43" fontId="22" fillId="0" borderId="4" xfId="1" applyFont="1" applyFill="1" applyBorder="1"/>
    <xf numFmtId="43" fontId="22" fillId="0" borderId="18" xfId="0" applyNumberFormat="1" applyFont="1" applyFill="1" applyBorder="1"/>
    <xf numFmtId="43" fontId="22" fillId="0" borderId="6" xfId="3" applyFont="1" applyFill="1" applyBorder="1"/>
    <xf numFmtId="43" fontId="23" fillId="0" borderId="0" xfId="0" applyNumberFormat="1" applyFont="1"/>
    <xf numFmtId="43" fontId="22" fillId="0" borderId="6" xfId="3" applyFont="1" applyFill="1" applyBorder="1" applyAlignment="1">
      <alignment horizontal="center"/>
    </xf>
    <xf numFmtId="43" fontId="22" fillId="0" borderId="17" xfId="1" applyFont="1" applyFill="1" applyBorder="1"/>
    <xf numFmtId="43" fontId="22" fillId="0" borderId="1" xfId="3" applyFont="1" applyFill="1" applyBorder="1" applyAlignment="1">
      <alignment horizontal="center"/>
    </xf>
    <xf numFmtId="169" fontId="22" fillId="0" borderId="18" xfId="0" applyNumberFormat="1" applyFont="1" applyFill="1" applyBorder="1"/>
    <xf numFmtId="169" fontId="22" fillId="0" borderId="19" xfId="0" applyNumberFormat="1" applyFont="1" applyFill="1" applyBorder="1"/>
    <xf numFmtId="43" fontId="22" fillId="0" borderId="39" xfId="1" applyFont="1" applyFill="1" applyBorder="1"/>
    <xf numFmtId="169" fontId="22" fillId="0" borderId="1" xfId="0" applyNumberFormat="1" applyFont="1" applyFill="1" applyBorder="1"/>
    <xf numFmtId="43" fontId="22" fillId="0" borderId="1" xfId="0" applyNumberFormat="1" applyFont="1" applyFill="1" applyBorder="1"/>
    <xf numFmtId="43" fontId="22" fillId="0" borderId="0" xfId="1" applyFont="1" applyFill="1" applyBorder="1"/>
    <xf numFmtId="43" fontId="22" fillId="0" borderId="6" xfId="0" applyNumberFormat="1" applyFont="1" applyFill="1" applyBorder="1"/>
    <xf numFmtId="43" fontId="22" fillId="0" borderId="24" xfId="1" applyFont="1" applyFill="1" applyBorder="1"/>
    <xf numFmtId="43" fontId="22" fillId="0" borderId="18" xfId="4" applyFont="1" applyFill="1" applyBorder="1"/>
    <xf numFmtId="43" fontId="22" fillId="0" borderId="6" xfId="4" applyFont="1" applyFill="1" applyBorder="1"/>
    <xf numFmtId="43" fontId="22" fillId="0" borderId="18" xfId="1" applyFont="1" applyFill="1" applyBorder="1"/>
    <xf numFmtId="43" fontId="22" fillId="0" borderId="22" xfId="1" applyFont="1" applyFill="1" applyBorder="1"/>
    <xf numFmtId="43" fontId="22" fillId="0" borderId="6" xfId="5" applyFont="1" applyFill="1" applyBorder="1"/>
    <xf numFmtId="43" fontId="22" fillId="0" borderId="19" xfId="5" applyFont="1" applyFill="1" applyBorder="1"/>
    <xf numFmtId="43" fontId="22" fillId="0" borderId="6" xfId="6" applyFont="1" applyFill="1" applyBorder="1"/>
    <xf numFmtId="43" fontId="22" fillId="0" borderId="18" xfId="2" applyFont="1" applyFill="1" applyBorder="1"/>
    <xf numFmtId="43" fontId="22" fillId="0" borderId="6" xfId="2" applyFont="1" applyFill="1" applyBorder="1"/>
    <xf numFmtId="0" fontId="27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/>
    </xf>
    <xf numFmtId="0" fontId="29" fillId="0" borderId="27" xfId="0" applyFont="1" applyBorder="1"/>
    <xf numFmtId="0" fontId="30" fillId="0" borderId="14" xfId="0" applyFont="1" applyBorder="1" applyAlignment="1">
      <alignment horizontal="center"/>
    </xf>
    <xf numFmtId="0" fontId="30" fillId="0" borderId="29" xfId="0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14" fontId="30" fillId="0" borderId="70" xfId="0" applyNumberFormat="1" applyFont="1" applyBorder="1" applyAlignment="1">
      <alignment horizontal="center"/>
    </xf>
    <xf numFmtId="14" fontId="30" fillId="0" borderId="29" xfId="0" applyNumberFormat="1" applyFont="1" applyBorder="1" applyAlignment="1">
      <alignment horizontal="center"/>
    </xf>
    <xf numFmtId="14" fontId="32" fillId="0" borderId="59" xfId="0" applyNumberFormat="1" applyFont="1" applyBorder="1" applyAlignment="1">
      <alignment horizontal="center"/>
    </xf>
    <xf numFmtId="14" fontId="30" fillId="0" borderId="59" xfId="0" applyNumberFormat="1" applyFont="1" applyBorder="1" applyAlignment="1">
      <alignment horizontal="center"/>
    </xf>
    <xf numFmtId="0" fontId="32" fillId="0" borderId="1" xfId="0" applyFont="1" applyBorder="1" applyAlignment="1">
      <alignment horizontal="left"/>
    </xf>
    <xf numFmtId="0" fontId="32" fillId="0" borderId="1" xfId="0" applyFont="1" applyBorder="1"/>
    <xf numFmtId="165" fontId="32" fillId="0" borderId="1" xfId="0" applyNumberFormat="1" applyFont="1" applyBorder="1"/>
    <xf numFmtId="43" fontId="32" fillId="0" borderId="50" xfId="1" applyFont="1" applyBorder="1"/>
    <xf numFmtId="43" fontId="32" fillId="0" borderId="40" xfId="1" applyFont="1" applyBorder="1"/>
    <xf numFmtId="43" fontId="32" fillId="0" borderId="1" xfId="1" applyFont="1" applyBorder="1"/>
    <xf numFmtId="165" fontId="32" fillId="0" borderId="72" xfId="0" applyNumberFormat="1" applyFont="1" applyBorder="1"/>
    <xf numFmtId="14" fontId="32" fillId="0" borderId="1" xfId="0" applyNumberFormat="1" applyFont="1" applyBorder="1"/>
    <xf numFmtId="165" fontId="32" fillId="0" borderId="1" xfId="0" applyNumberFormat="1" applyFont="1" applyBorder="1" applyAlignment="1">
      <alignment horizontal="right"/>
    </xf>
    <xf numFmtId="0" fontId="32" fillId="0" borderId="6" xfId="0" applyFont="1" applyBorder="1"/>
    <xf numFmtId="165" fontId="32" fillId="0" borderId="52" xfId="0" applyNumberFormat="1" applyFont="1" applyBorder="1"/>
    <xf numFmtId="16" fontId="32" fillId="0" borderId="1" xfId="0" applyNumberFormat="1" applyFont="1" applyBorder="1"/>
    <xf numFmtId="43" fontId="23" fillId="0" borderId="0" xfId="0" applyNumberFormat="1" applyFont="1" applyBorder="1"/>
    <xf numFmtId="43" fontId="22" fillId="0" borderId="18" xfId="3" applyFont="1" applyFill="1" applyBorder="1"/>
    <xf numFmtId="0" fontId="33" fillId="0" borderId="0" xfId="0" applyFont="1"/>
    <xf numFmtId="0" fontId="32" fillId="0" borderId="0" xfId="0" applyFont="1"/>
    <xf numFmtId="0" fontId="35" fillId="0" borderId="0" xfId="0" applyFont="1"/>
    <xf numFmtId="0" fontId="34" fillId="0" borderId="25" xfId="0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4" fillId="0" borderId="35" xfId="0" applyFont="1" applyFill="1" applyBorder="1" applyAlignment="1">
      <alignment horizontal="center"/>
    </xf>
    <xf numFmtId="0" fontId="34" fillId="0" borderId="58" xfId="0" applyFont="1" applyBorder="1" applyAlignment="1">
      <alignment horizontal="center"/>
    </xf>
    <xf numFmtId="0" fontId="34" fillId="0" borderId="20" xfId="0" applyFont="1" applyBorder="1" applyAlignment="1">
      <alignment horizontal="center"/>
    </xf>
    <xf numFmtId="0" fontId="34" fillId="0" borderId="26" xfId="0" applyFont="1" applyFill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9" xfId="0" applyFont="1" applyBorder="1" applyAlignment="1">
      <alignment horizontal="center"/>
    </xf>
    <xf numFmtId="0" fontId="34" fillId="0" borderId="9" xfId="0" applyFont="1" applyFill="1" applyBorder="1" applyAlignment="1">
      <alignment horizontal="center"/>
    </xf>
    <xf numFmtId="14" fontId="32" fillId="0" borderId="9" xfId="0" applyNumberFormat="1" applyFont="1" applyBorder="1" applyAlignment="1">
      <alignment horizontal="center"/>
    </xf>
    <xf numFmtId="43" fontId="34" fillId="0" borderId="1" xfId="1" applyFont="1" applyFill="1" applyBorder="1"/>
    <xf numFmtId="43" fontId="34" fillId="0" borderId="1" xfId="1" applyFont="1" applyFill="1" applyBorder="1" applyAlignment="1">
      <alignment horizontal="center"/>
    </xf>
    <xf numFmtId="0" fontId="32" fillId="0" borderId="40" xfId="0" applyFont="1" applyBorder="1"/>
    <xf numFmtId="165" fontId="32" fillId="0" borderId="22" xfId="0" applyNumberFormat="1" applyFont="1" applyBorder="1"/>
    <xf numFmtId="43" fontId="32" fillId="0" borderId="19" xfId="1" applyFont="1" applyBorder="1"/>
    <xf numFmtId="43" fontId="32" fillId="0" borderId="76" xfId="1" applyFont="1" applyBorder="1"/>
    <xf numFmtId="0" fontId="32" fillId="0" borderId="14" xfId="0" applyFont="1" applyBorder="1"/>
    <xf numFmtId="43" fontId="32" fillId="0" borderId="66" xfId="1" applyFont="1" applyBorder="1"/>
    <xf numFmtId="43" fontId="32" fillId="0" borderId="54" xfId="1" applyFont="1" applyBorder="1"/>
    <xf numFmtId="43" fontId="32" fillId="0" borderId="70" xfId="1" applyFont="1" applyBorder="1"/>
    <xf numFmtId="43" fontId="32" fillId="0" borderId="29" xfId="1" applyFont="1" applyBorder="1"/>
    <xf numFmtId="43" fontId="32" fillId="0" borderId="59" xfId="1" applyFont="1" applyBorder="1"/>
    <xf numFmtId="43" fontId="32" fillId="0" borderId="53" xfId="1" applyFont="1" applyBorder="1"/>
    <xf numFmtId="0" fontId="36" fillId="0" borderId="0" xfId="0" applyFont="1" applyAlignment="1"/>
    <xf numFmtId="0" fontId="32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32" fillId="0" borderId="11" xfId="0" applyFont="1" applyBorder="1"/>
    <xf numFmtId="0" fontId="32" fillId="0" borderId="27" xfId="0" applyFont="1" applyBorder="1"/>
    <xf numFmtId="0" fontId="32" fillId="0" borderId="12" xfId="0" applyFont="1" applyBorder="1" applyAlignment="1">
      <alignment horizontal="center"/>
    </xf>
    <xf numFmtId="0" fontId="32" fillId="0" borderId="27" xfId="0" applyFont="1" applyBorder="1" applyAlignment="1"/>
    <xf numFmtId="0" fontId="32" fillId="0" borderId="11" xfId="0" applyFont="1" applyBorder="1" applyAlignment="1"/>
    <xf numFmtId="43" fontId="29" fillId="0" borderId="27" xfId="1" applyFont="1" applyBorder="1"/>
    <xf numFmtId="0" fontId="32" fillId="0" borderId="11" xfId="0" applyFont="1" applyBorder="1" applyAlignment="1">
      <alignment horizontal="center"/>
    </xf>
    <xf numFmtId="0" fontId="32" fillId="0" borderId="66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19" fillId="0" borderId="27" xfId="0" applyFont="1" applyFill="1" applyBorder="1" applyAlignment="1">
      <alignment horizontal="center"/>
    </xf>
    <xf numFmtId="0" fontId="32" fillId="0" borderId="54" xfId="0" applyFont="1" applyBorder="1" applyAlignment="1">
      <alignment horizontal="center"/>
    </xf>
    <xf numFmtId="0" fontId="32" fillId="0" borderId="29" xfId="0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71" xfId="0" applyFont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0" fontId="32" fillId="0" borderId="55" xfId="0" applyFont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32" fillId="0" borderId="43" xfId="0" applyFont="1" applyBorder="1"/>
    <xf numFmtId="0" fontId="32" fillId="0" borderId="21" xfId="0" applyFont="1" applyBorder="1"/>
    <xf numFmtId="165" fontId="29" fillId="0" borderId="21" xfId="0" applyNumberFormat="1" applyFont="1" applyBorder="1"/>
    <xf numFmtId="165" fontId="29" fillId="0" borderId="63" xfId="0" applyNumberFormat="1" applyFont="1" applyBorder="1"/>
    <xf numFmtId="166" fontId="29" fillId="0" borderId="4" xfId="0" applyNumberFormat="1" applyFont="1" applyBorder="1"/>
    <xf numFmtId="43" fontId="29" fillId="0" borderId="6" xfId="1" applyFont="1" applyBorder="1"/>
    <xf numFmtId="43" fontId="29" fillId="0" borderId="6" xfId="0" applyNumberFormat="1" applyFont="1" applyBorder="1"/>
    <xf numFmtId="43" fontId="29" fillId="0" borderId="38" xfId="1" applyFont="1" applyBorder="1" applyAlignment="1">
      <alignment horizontal="center"/>
    </xf>
    <xf numFmtId="165" fontId="29" fillId="0" borderId="19" xfId="0" applyNumberFormat="1" applyFont="1" applyBorder="1"/>
    <xf numFmtId="43" fontId="29" fillId="0" borderId="1" xfId="1" applyFont="1" applyBorder="1"/>
    <xf numFmtId="165" fontId="29" fillId="0" borderId="1" xfId="0" applyNumberFormat="1" applyFont="1" applyBorder="1"/>
    <xf numFmtId="165" fontId="29" fillId="0" borderId="39" xfId="0" applyNumberFormat="1" applyFont="1" applyBorder="1"/>
    <xf numFmtId="43" fontId="29" fillId="0" borderId="76" xfId="1" applyFont="1" applyBorder="1"/>
    <xf numFmtId="43" fontId="29" fillId="0" borderId="1" xfId="0" applyNumberFormat="1" applyFont="1" applyBorder="1"/>
    <xf numFmtId="0" fontId="19" fillId="0" borderId="40" xfId="0" applyFont="1" applyBorder="1"/>
    <xf numFmtId="165" fontId="19" fillId="0" borderId="1" xfId="0" applyNumberFormat="1" applyFont="1" applyBorder="1"/>
    <xf numFmtId="165" fontId="19" fillId="0" borderId="39" xfId="0" applyNumberFormat="1" applyFont="1" applyBorder="1"/>
    <xf numFmtId="43" fontId="19" fillId="0" borderId="24" xfId="2" applyFont="1" applyFill="1" applyBorder="1"/>
    <xf numFmtId="43" fontId="19" fillId="0" borderId="1" xfId="2" applyFont="1" applyFill="1" applyBorder="1"/>
    <xf numFmtId="14" fontId="19" fillId="0" borderId="1" xfId="1" applyNumberFormat="1" applyFont="1" applyFill="1" applyBorder="1"/>
    <xf numFmtId="43" fontId="19" fillId="0" borderId="4" xfId="2" applyFont="1" applyFill="1" applyBorder="1"/>
    <xf numFmtId="14" fontId="19" fillId="0" borderId="19" xfId="1" applyNumberFormat="1" applyFont="1" applyFill="1" applyBorder="1"/>
    <xf numFmtId="166" fontId="29" fillId="0" borderId="24" xfId="0" applyNumberFormat="1" applyFont="1" applyBorder="1"/>
    <xf numFmtId="0" fontId="32" fillId="0" borderId="37" xfId="0" applyFont="1" applyBorder="1"/>
    <xf numFmtId="165" fontId="29" fillId="0" borderId="18" xfId="0" applyNumberFormat="1" applyFont="1" applyBorder="1"/>
    <xf numFmtId="165" fontId="19" fillId="0" borderId="22" xfId="0" applyNumberFormat="1" applyFont="1" applyBorder="1"/>
    <xf numFmtId="43" fontId="19" fillId="0" borderId="50" xfId="2" applyFont="1" applyFill="1" applyBorder="1"/>
    <xf numFmtId="43" fontId="19" fillId="0" borderId="40" xfId="2" applyFont="1" applyFill="1" applyBorder="1"/>
    <xf numFmtId="14" fontId="19" fillId="0" borderId="6" xfId="1" applyNumberFormat="1" applyFont="1" applyFill="1" applyBorder="1"/>
    <xf numFmtId="14" fontId="19" fillId="0" borderId="1" xfId="0" applyNumberFormat="1" applyFont="1" applyBorder="1"/>
    <xf numFmtId="0" fontId="32" fillId="0" borderId="7" xfId="0" applyFont="1" applyBorder="1"/>
    <xf numFmtId="43" fontId="29" fillId="0" borderId="8" xfId="1" applyFont="1" applyBorder="1"/>
    <xf numFmtId="43" fontId="29" fillId="0" borderId="8" xfId="0" applyNumberFormat="1" applyFont="1" applyBorder="1"/>
    <xf numFmtId="0" fontId="19" fillId="0" borderId="44" xfId="0" applyFont="1" applyBorder="1"/>
    <xf numFmtId="0" fontId="19" fillId="0" borderId="5" xfId="0" applyFont="1" applyBorder="1"/>
    <xf numFmtId="165" fontId="19" fillId="0" borderId="5" xfId="0" applyNumberFormat="1" applyFont="1" applyBorder="1"/>
    <xf numFmtId="165" fontId="19" fillId="0" borderId="45" xfId="0" applyNumberFormat="1" applyFont="1" applyBorder="1"/>
    <xf numFmtId="43" fontId="19" fillId="0" borderId="41" xfId="2" applyFont="1" applyFill="1" applyBorder="1"/>
    <xf numFmtId="43" fontId="19" fillId="0" borderId="62" xfId="2" applyFont="1" applyFill="1" applyBorder="1"/>
    <xf numFmtId="0" fontId="29" fillId="0" borderId="4" xfId="0" applyFont="1" applyBorder="1"/>
    <xf numFmtId="43" fontId="29" fillId="0" borderId="26" xfId="0" applyNumberFormat="1" applyFont="1" applyBorder="1"/>
    <xf numFmtId="0" fontId="29" fillId="0" borderId="0" xfId="0" applyFont="1" applyAlignment="1"/>
    <xf numFmtId="0" fontId="38" fillId="0" borderId="0" xfId="0" applyFont="1" applyAlignment="1"/>
    <xf numFmtId="0" fontId="38" fillId="0" borderId="0" xfId="0" applyFont="1" applyBorder="1" applyAlignment="1"/>
    <xf numFmtId="0" fontId="29" fillId="0" borderId="0" xfId="0" applyFont="1" applyBorder="1" applyAlignment="1"/>
    <xf numFmtId="14" fontId="29" fillId="0" borderId="0" xfId="0" applyNumberFormat="1" applyFont="1" applyBorder="1" applyAlignment="1">
      <alignment horizontal="center"/>
    </xf>
    <xf numFmtId="0" fontId="19" fillId="0" borderId="57" xfId="0" applyFont="1" applyFill="1" applyBorder="1" applyAlignment="1">
      <alignment horizontal="center"/>
    </xf>
    <xf numFmtId="0" fontId="19" fillId="0" borderId="64" xfId="0" applyFont="1" applyFill="1" applyBorder="1" applyAlignment="1">
      <alignment horizontal="center"/>
    </xf>
    <xf numFmtId="0" fontId="29" fillId="0" borderId="1" xfId="0" applyFont="1" applyBorder="1"/>
    <xf numFmtId="165" fontId="29" fillId="0" borderId="22" xfId="0" applyNumberFormat="1" applyFont="1" applyBorder="1"/>
    <xf numFmtId="0" fontId="29" fillId="0" borderId="1" xfId="0" applyFont="1" applyFill="1" applyBorder="1"/>
    <xf numFmtId="43" fontId="29" fillId="0" borderId="7" xfId="0" applyNumberFormat="1" applyFont="1" applyBorder="1"/>
    <xf numFmtId="43" fontId="29" fillId="0" borderId="5" xfId="0" applyNumberFormat="1" applyFont="1" applyBorder="1"/>
    <xf numFmtId="43" fontId="19" fillId="0" borderId="1" xfId="1" applyFont="1" applyFill="1" applyBorder="1"/>
    <xf numFmtId="14" fontId="29" fillId="0" borderId="1" xfId="0" applyNumberFormat="1" applyFont="1" applyBorder="1"/>
    <xf numFmtId="43" fontId="29" fillId="0" borderId="76" xfId="1" applyNumberFormat="1" applyFont="1" applyBorder="1"/>
    <xf numFmtId="0" fontId="19" fillId="0" borderId="6" xfId="0" applyFont="1" applyFill="1" applyBorder="1"/>
    <xf numFmtId="164" fontId="19" fillId="0" borderId="6" xfId="0" applyNumberFormat="1" applyFont="1" applyFill="1" applyBorder="1"/>
    <xf numFmtId="164" fontId="19" fillId="0" borderId="17" xfId="0" applyNumberFormat="1" applyFont="1" applyFill="1" applyBorder="1"/>
    <xf numFmtId="43" fontId="19" fillId="0" borderId="58" xfId="0" applyNumberFormat="1" applyFont="1" applyFill="1" applyBorder="1"/>
    <xf numFmtId="43" fontId="19" fillId="0" borderId="14" xfId="0" applyNumberFormat="1" applyFont="1" applyFill="1" applyBorder="1"/>
    <xf numFmtId="43" fontId="19" fillId="0" borderId="20" xfId="0" applyNumberFormat="1" applyFont="1" applyFill="1" applyBorder="1"/>
    <xf numFmtId="43" fontId="19" fillId="0" borderId="56" xfId="0" applyNumberFormat="1" applyFont="1" applyFill="1" applyBorder="1"/>
    <xf numFmtId="0" fontId="19" fillId="0" borderId="18" xfId="0" applyFont="1" applyFill="1" applyBorder="1"/>
    <xf numFmtId="0" fontId="6" fillId="0" borderId="0" xfId="0" applyFont="1"/>
    <xf numFmtId="0" fontId="19" fillId="0" borderId="57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47" xfId="0" applyFont="1" applyFill="1" applyBorder="1" applyAlignment="1"/>
    <xf numFmtId="0" fontId="19" fillId="0" borderId="57" xfId="0" applyFont="1" applyFill="1" applyBorder="1" applyAlignment="1"/>
    <xf numFmtId="0" fontId="19" fillId="0" borderId="3" xfId="0" applyFont="1" applyFill="1" applyBorder="1" applyAlignment="1">
      <alignment horizontal="center"/>
    </xf>
    <xf numFmtId="0" fontId="19" fillId="0" borderId="55" xfId="0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61" xfId="0" applyFont="1" applyFill="1" applyBorder="1" applyAlignment="1">
      <alignment horizontal="center"/>
    </xf>
    <xf numFmtId="0" fontId="19" fillId="0" borderId="40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39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43" fontId="19" fillId="0" borderId="7" xfId="1" applyFont="1" applyFill="1" applyBorder="1"/>
    <xf numFmtId="0" fontId="19" fillId="0" borderId="1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19" fillId="0" borderId="44" xfId="0" applyFont="1" applyFill="1" applyBorder="1" applyAlignment="1">
      <alignment horizontal="center"/>
    </xf>
    <xf numFmtId="0" fontId="19" fillId="0" borderId="5" xfId="0" applyFont="1" applyFill="1" applyBorder="1"/>
    <xf numFmtId="0" fontId="19" fillId="0" borderId="5" xfId="0" applyFont="1" applyFill="1" applyBorder="1" applyAlignment="1">
      <alignment horizontal="center"/>
    </xf>
    <xf numFmtId="0" fontId="19" fillId="0" borderId="45" xfId="0" applyFont="1" applyFill="1" applyBorder="1" applyAlignment="1">
      <alignment horizontal="center"/>
    </xf>
    <xf numFmtId="14" fontId="29" fillId="0" borderId="22" xfId="0" applyNumberFormat="1" applyFont="1" applyBorder="1"/>
    <xf numFmtId="43" fontId="29" fillId="0" borderId="76" xfId="1" applyFont="1" applyFill="1" applyBorder="1"/>
    <xf numFmtId="43" fontId="29" fillId="0" borderId="1" xfId="1" applyFont="1" applyFill="1" applyBorder="1"/>
    <xf numFmtId="43" fontId="29" fillId="0" borderId="76" xfId="0" applyNumberFormat="1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14" fontId="19" fillId="0" borderId="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39" fontId="19" fillId="0" borderId="76" xfId="0" applyNumberFormat="1" applyFont="1" applyFill="1" applyBorder="1" applyAlignment="1">
      <alignment horizontal="right"/>
    </xf>
    <xf numFmtId="0" fontId="19" fillId="0" borderId="19" xfId="0" applyFont="1" applyFill="1" applyBorder="1" applyAlignment="1">
      <alignment horizontal="center"/>
    </xf>
    <xf numFmtId="167" fontId="19" fillId="0" borderId="1" xfId="0" applyNumberFormat="1" applyFont="1" applyFill="1" applyBorder="1"/>
    <xf numFmtId="167" fontId="19" fillId="0" borderId="1" xfId="0" applyNumberFormat="1" applyFont="1" applyFill="1" applyBorder="1" applyAlignment="1">
      <alignment horizontal="center"/>
    </xf>
    <xf numFmtId="165" fontId="29" fillId="0" borderId="22" xfId="0" applyNumberFormat="1" applyFont="1" applyBorder="1" applyAlignment="1">
      <alignment horizontal="right"/>
    </xf>
    <xf numFmtId="0" fontId="39" fillId="0" borderId="0" xfId="0" applyFont="1" applyAlignment="1"/>
    <xf numFmtId="0" fontId="39" fillId="0" borderId="0" xfId="0" applyFont="1" applyBorder="1" applyAlignment="1"/>
    <xf numFmtId="0" fontId="37" fillId="0" borderId="0" xfId="0" applyFont="1"/>
    <xf numFmtId="0" fontId="19" fillId="0" borderId="35" xfId="0" applyFont="1" applyFill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19" fillId="0" borderId="54" xfId="0" applyFont="1" applyFill="1" applyBorder="1" applyAlignment="1">
      <alignment horizontal="center"/>
    </xf>
    <xf numFmtId="0" fontId="19" fillId="0" borderId="29" xfId="0" applyFont="1" applyFill="1" applyBorder="1" applyAlignment="1">
      <alignment horizontal="center"/>
    </xf>
    <xf numFmtId="0" fontId="19" fillId="0" borderId="32" xfId="0" applyFont="1" applyFill="1" applyBorder="1" applyAlignment="1">
      <alignment horizontal="center"/>
    </xf>
    <xf numFmtId="0" fontId="19" fillId="0" borderId="60" xfId="0" applyFont="1" applyFill="1" applyBorder="1" applyAlignment="1">
      <alignment horizontal="center"/>
    </xf>
    <xf numFmtId="0" fontId="19" fillId="0" borderId="75" xfId="0" applyFont="1" applyFill="1" applyBorder="1" applyAlignment="1">
      <alignment horizontal="center"/>
    </xf>
    <xf numFmtId="0" fontId="19" fillId="0" borderId="13" xfId="0" applyFont="1" applyFill="1" applyBorder="1"/>
    <xf numFmtId="0" fontId="19" fillId="0" borderId="71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43" fontId="19" fillId="0" borderId="22" xfId="7" applyFont="1" applyFill="1" applyBorder="1"/>
    <xf numFmtId="43" fontId="19" fillId="0" borderId="21" xfId="7" applyFont="1" applyFill="1" applyBorder="1"/>
    <xf numFmtId="43" fontId="29" fillId="0" borderId="21" xfId="0" applyNumberFormat="1" applyFont="1" applyBorder="1"/>
    <xf numFmtId="43" fontId="19" fillId="0" borderId="6" xfId="1" applyFont="1" applyFill="1" applyBorder="1"/>
    <xf numFmtId="43" fontId="19" fillId="0" borderId="50" xfId="7" applyFont="1" applyFill="1" applyBorder="1"/>
    <xf numFmtId="43" fontId="19" fillId="0" borderId="40" xfId="7" applyFont="1" applyFill="1" applyBorder="1"/>
    <xf numFmtId="43" fontId="19" fillId="0" borderId="1" xfId="7" applyFont="1" applyFill="1" applyBorder="1"/>
    <xf numFmtId="43" fontId="19" fillId="0" borderId="39" xfId="7" applyFont="1" applyFill="1" applyBorder="1"/>
    <xf numFmtId="43" fontId="19" fillId="0" borderId="55" xfId="0" applyNumberFormat="1" applyFont="1" applyFill="1" applyBorder="1"/>
    <xf numFmtId="0" fontId="31" fillId="0" borderId="0" xfId="0" applyFont="1"/>
    <xf numFmtId="0" fontId="19" fillId="0" borderId="0" xfId="0" applyFont="1" applyAlignment="1"/>
    <xf numFmtId="0" fontId="19" fillId="0" borderId="0" xfId="0" applyFont="1" applyBorder="1" applyAlignment="1"/>
    <xf numFmtId="0" fontId="19" fillId="0" borderId="31" xfId="0" applyFont="1" applyFill="1" applyBorder="1" applyAlignment="1">
      <alignment horizontal="center"/>
    </xf>
    <xf numFmtId="43" fontId="19" fillId="0" borderId="35" xfId="1" applyFont="1" applyFill="1" applyBorder="1"/>
    <xf numFmtId="0" fontId="19" fillId="0" borderId="48" xfId="0" applyFont="1" applyFill="1" applyBorder="1" applyAlignment="1">
      <alignment horizontal="center"/>
    </xf>
    <xf numFmtId="0" fontId="19" fillId="0" borderId="70" xfId="0" applyFont="1" applyFill="1" applyBorder="1" applyAlignment="1">
      <alignment horizontal="center"/>
    </xf>
    <xf numFmtId="43" fontId="19" fillId="0" borderId="26" xfId="1" applyFont="1" applyFill="1" applyBorder="1"/>
    <xf numFmtId="0" fontId="19" fillId="0" borderId="67" xfId="0" applyFont="1" applyFill="1" applyBorder="1" applyAlignment="1">
      <alignment horizontal="center"/>
    </xf>
    <xf numFmtId="0" fontId="19" fillId="0" borderId="27" xfId="0" applyFont="1" applyFill="1" applyBorder="1"/>
    <xf numFmtId="0" fontId="19" fillId="0" borderId="10" xfId="0" applyFont="1" applyBorder="1" applyAlignment="1">
      <alignment horizontal="left"/>
    </xf>
    <xf numFmtId="165" fontId="19" fillId="0" borderId="0" xfId="0" applyNumberFormat="1" applyFont="1" applyBorder="1" applyAlignment="1">
      <alignment horizontal="center"/>
    </xf>
    <xf numFmtId="43" fontId="19" fillId="0" borderId="1" xfId="1" applyFont="1" applyFill="1" applyBorder="1" applyAlignment="1">
      <alignment horizontal="center"/>
    </xf>
    <xf numFmtId="43" fontId="19" fillId="0" borderId="50" xfId="6" applyFont="1" applyFill="1" applyBorder="1"/>
    <xf numFmtId="43" fontId="19" fillId="0" borderId="40" xfId="6" applyFont="1" applyFill="1" applyBorder="1"/>
    <xf numFmtId="43" fontId="19" fillId="0" borderId="1" xfId="6" applyFont="1" applyFill="1" applyBorder="1"/>
    <xf numFmtId="0" fontId="19" fillId="0" borderId="1" xfId="0" applyFont="1" applyFill="1" applyBorder="1"/>
    <xf numFmtId="43" fontId="19" fillId="0" borderId="44" xfId="7" applyFont="1" applyFill="1" applyBorder="1"/>
    <xf numFmtId="43" fontId="19" fillId="0" borderId="5" xfId="7" applyFont="1" applyFill="1" applyBorder="1"/>
    <xf numFmtId="43" fontId="19" fillId="0" borderId="61" xfId="0" applyNumberFormat="1" applyFont="1" applyFill="1" applyBorder="1"/>
    <xf numFmtId="43" fontId="19" fillId="0" borderId="16" xfId="0" applyNumberFormat="1" applyFont="1" applyFill="1" applyBorder="1"/>
    <xf numFmtId="43" fontId="19" fillId="0" borderId="32" xfId="0" applyNumberFormat="1" applyFont="1" applyFill="1" applyBorder="1"/>
    <xf numFmtId="0" fontId="19" fillId="0" borderId="30" xfId="0" applyFont="1" applyFill="1" applyBorder="1" applyAlignment="1"/>
    <xf numFmtId="0" fontId="19" fillId="0" borderId="30" xfId="0" applyFont="1" applyFill="1" applyBorder="1" applyAlignment="1">
      <alignment horizontal="center"/>
    </xf>
    <xf numFmtId="0" fontId="19" fillId="0" borderId="59" xfId="0" applyFont="1" applyFill="1" applyBorder="1" applyAlignment="1">
      <alignment horizontal="center"/>
    </xf>
    <xf numFmtId="0" fontId="19" fillId="0" borderId="53" xfId="0" applyFont="1" applyFill="1" applyBorder="1" applyAlignment="1">
      <alignment horizontal="center"/>
    </xf>
    <xf numFmtId="43" fontId="19" fillId="0" borderId="62" xfId="1" applyFont="1" applyFill="1" applyBorder="1"/>
    <xf numFmtId="0" fontId="19" fillId="0" borderId="21" xfId="0" applyFont="1" applyBorder="1" applyAlignment="1">
      <alignment horizontal="center"/>
    </xf>
    <xf numFmtId="0" fontId="19" fillId="0" borderId="66" xfId="0" applyFont="1" applyFill="1" applyBorder="1" applyAlignment="1">
      <alignment horizontal="center"/>
    </xf>
    <xf numFmtId="43" fontId="19" fillId="0" borderId="64" xfId="1" applyFont="1" applyFill="1" applyBorder="1"/>
    <xf numFmtId="43" fontId="19" fillId="0" borderId="35" xfId="5" applyFont="1" applyFill="1" applyBorder="1"/>
    <xf numFmtId="43" fontId="19" fillId="0" borderId="21" xfId="5" applyFont="1" applyFill="1" applyBorder="1"/>
    <xf numFmtId="43" fontId="19" fillId="0" borderId="19" xfId="1" applyFont="1" applyFill="1" applyBorder="1"/>
    <xf numFmtId="43" fontId="19" fillId="0" borderId="76" xfId="5" applyFont="1" applyFill="1" applyBorder="1"/>
    <xf numFmtId="43" fontId="19" fillId="0" borderId="40" xfId="5" applyFont="1" applyFill="1" applyBorder="1"/>
    <xf numFmtId="43" fontId="19" fillId="0" borderId="1" xfId="5" applyFont="1" applyFill="1" applyBorder="1"/>
    <xf numFmtId="43" fontId="19" fillId="0" borderId="39" xfId="5" applyFont="1" applyFill="1" applyBorder="1"/>
    <xf numFmtId="43" fontId="19" fillId="0" borderId="19" xfId="0" applyNumberFormat="1" applyFont="1" applyFill="1" applyBorder="1"/>
    <xf numFmtId="165" fontId="19" fillId="0" borderId="1" xfId="0" applyNumberFormat="1" applyFont="1" applyFill="1" applyBorder="1"/>
    <xf numFmtId="165" fontId="19" fillId="0" borderId="22" xfId="0" applyNumberFormat="1" applyFont="1" applyFill="1" applyBorder="1"/>
    <xf numFmtId="43" fontId="19" fillId="0" borderId="5" xfId="5" applyFont="1" applyFill="1" applyBorder="1"/>
    <xf numFmtId="43" fontId="19" fillId="0" borderId="45" xfId="5" applyFont="1" applyFill="1" applyBorder="1"/>
    <xf numFmtId="0" fontId="19" fillId="0" borderId="66" xfId="0" applyFont="1" applyFill="1" applyBorder="1"/>
    <xf numFmtId="43" fontId="19" fillId="0" borderId="27" xfId="1" applyFont="1" applyFill="1" applyBorder="1"/>
    <xf numFmtId="0" fontId="19" fillId="0" borderId="16" xfId="0" applyFont="1" applyFill="1" applyBorder="1" applyAlignment="1">
      <alignment horizontal="center"/>
    </xf>
    <xf numFmtId="43" fontId="19" fillId="0" borderId="0" xfId="1" applyFont="1" applyFill="1" applyBorder="1" applyAlignment="1">
      <alignment horizontal="center"/>
    </xf>
    <xf numFmtId="43" fontId="19" fillId="0" borderId="1" xfId="4" applyFont="1" applyFill="1" applyBorder="1"/>
    <xf numFmtId="43" fontId="19" fillId="0" borderId="50" xfId="5" applyFont="1" applyFill="1" applyBorder="1"/>
    <xf numFmtId="43" fontId="19" fillId="0" borderId="19" xfId="5" applyFont="1" applyFill="1" applyBorder="1"/>
    <xf numFmtId="43" fontId="19" fillId="0" borderId="22" xfId="5" applyFont="1" applyFill="1" applyBorder="1"/>
    <xf numFmtId="43" fontId="19" fillId="0" borderId="7" xfId="5" applyFont="1" applyFill="1" applyBorder="1"/>
    <xf numFmtId="169" fontId="19" fillId="0" borderId="74" xfId="0" applyNumberFormat="1" applyFont="1" applyFill="1" applyBorder="1"/>
    <xf numFmtId="43" fontId="19" fillId="0" borderId="19" xfId="4" applyFont="1" applyFill="1" applyBorder="1"/>
    <xf numFmtId="43" fontId="19" fillId="0" borderId="13" xfId="1" applyFont="1" applyFill="1" applyBorder="1" applyAlignment="1"/>
    <xf numFmtId="43" fontId="19" fillId="0" borderId="32" xfId="1" applyFont="1" applyFill="1" applyBorder="1" applyAlignment="1">
      <alignment horizontal="center"/>
    </xf>
    <xf numFmtId="0" fontId="19" fillId="0" borderId="10" xfId="0" applyFont="1" applyFill="1" applyBorder="1"/>
    <xf numFmtId="0" fontId="19" fillId="0" borderId="68" xfId="0" applyFont="1" applyFill="1" applyBorder="1" applyAlignment="1">
      <alignment horizontal="center"/>
    </xf>
    <xf numFmtId="43" fontId="19" fillId="0" borderId="15" xfId="1" applyFont="1" applyFill="1" applyBorder="1" applyAlignment="1">
      <alignment horizontal="center"/>
    </xf>
    <xf numFmtId="43" fontId="19" fillId="0" borderId="21" xfId="4" applyFont="1" applyFill="1" applyBorder="1"/>
    <xf numFmtId="43" fontId="19" fillId="0" borderId="21" xfId="1" applyFont="1" applyFill="1" applyBorder="1" applyAlignment="1">
      <alignment horizontal="center"/>
    </xf>
    <xf numFmtId="43" fontId="19" fillId="0" borderId="40" xfId="3" applyFont="1" applyFill="1" applyBorder="1"/>
    <xf numFmtId="43" fontId="19" fillId="0" borderId="1" xfId="3" applyFont="1" applyFill="1" applyBorder="1"/>
    <xf numFmtId="43" fontId="19" fillId="0" borderId="39" xfId="3" applyFont="1" applyFill="1" applyBorder="1" applyAlignment="1">
      <alignment horizontal="center"/>
    </xf>
    <xf numFmtId="43" fontId="19" fillId="0" borderId="50" xfId="3" applyFont="1" applyFill="1" applyBorder="1"/>
    <xf numFmtId="43" fontId="19" fillId="0" borderId="6" xfId="0" applyNumberFormat="1" applyFont="1" applyFill="1" applyBorder="1"/>
    <xf numFmtId="43" fontId="19" fillId="0" borderId="5" xfId="3" applyFont="1" applyFill="1" applyBorder="1"/>
    <xf numFmtId="43" fontId="19" fillId="0" borderId="5" xfId="1" applyFont="1" applyFill="1" applyBorder="1" applyAlignment="1">
      <alignment horizontal="center"/>
    </xf>
    <xf numFmtId="43" fontId="19" fillId="0" borderId="45" xfId="3" applyFont="1" applyFill="1" applyBorder="1" applyAlignment="1">
      <alignment horizontal="center"/>
    </xf>
    <xf numFmtId="0" fontId="19" fillId="0" borderId="62" xfId="0" applyFont="1" applyFill="1" applyBorder="1" applyAlignment="1">
      <alignment horizontal="center"/>
    </xf>
    <xf numFmtId="43" fontId="19" fillId="0" borderId="37" xfId="3" applyFont="1" applyFill="1" applyBorder="1"/>
    <xf numFmtId="43" fontId="19" fillId="0" borderId="6" xfId="3" applyFont="1" applyFill="1" applyBorder="1"/>
    <xf numFmtId="43" fontId="19" fillId="0" borderId="76" xfId="4" applyFont="1" applyFill="1" applyBorder="1"/>
    <xf numFmtId="43" fontId="19" fillId="0" borderId="76" xfId="7" applyFont="1" applyFill="1" applyBorder="1"/>
    <xf numFmtId="43" fontId="19" fillId="0" borderId="21" xfId="1" applyFont="1" applyFill="1" applyBorder="1"/>
    <xf numFmtId="43" fontId="19" fillId="0" borderId="49" xfId="5" applyFont="1" applyFill="1" applyBorder="1"/>
    <xf numFmtId="43" fontId="19" fillId="0" borderId="54" xfId="0" applyNumberFormat="1" applyFont="1" applyFill="1" applyBorder="1"/>
    <xf numFmtId="43" fontId="19" fillId="0" borderId="29" xfId="0" applyNumberFormat="1" applyFont="1" applyFill="1" applyBorder="1"/>
    <xf numFmtId="43" fontId="19" fillId="0" borderId="59" xfId="0" applyNumberFormat="1" applyFont="1" applyFill="1" applyBorder="1"/>
    <xf numFmtId="43" fontId="19" fillId="0" borderId="70" xfId="0" applyNumberFormat="1" applyFont="1" applyFill="1" applyBorder="1"/>
    <xf numFmtId="43" fontId="29" fillId="0" borderId="29" xfId="0" applyNumberFormat="1" applyFont="1" applyBorder="1"/>
    <xf numFmtId="43" fontId="19" fillId="0" borderId="29" xfId="1" applyFont="1" applyFill="1" applyBorder="1" applyAlignment="1">
      <alignment horizontal="center"/>
    </xf>
    <xf numFmtId="43" fontId="19" fillId="0" borderId="53" xfId="3" applyFont="1" applyFill="1" applyBorder="1" applyAlignment="1">
      <alignment horizontal="center"/>
    </xf>
    <xf numFmtId="43" fontId="19" fillId="0" borderId="39" xfId="2" applyFont="1" applyFill="1" applyBorder="1"/>
    <xf numFmtId="43" fontId="19" fillId="0" borderId="10" xfId="2" applyFont="1" applyFill="1" applyBorder="1"/>
    <xf numFmtId="43" fontId="19" fillId="0" borderId="9" xfId="2" applyFont="1" applyFill="1" applyBorder="1"/>
    <xf numFmtId="43" fontId="19" fillId="0" borderId="8" xfId="2" applyFont="1" applyFill="1" applyBorder="1"/>
    <xf numFmtId="43" fontId="29" fillId="0" borderId="68" xfId="1" applyFont="1" applyBorder="1" applyAlignment="1">
      <alignment horizontal="center"/>
    </xf>
    <xf numFmtId="43" fontId="29" fillId="0" borderId="54" xfId="0" applyNumberFormat="1" applyFont="1" applyBorder="1"/>
    <xf numFmtId="43" fontId="29" fillId="0" borderId="29" xfId="1" applyFont="1" applyBorder="1"/>
    <xf numFmtId="43" fontId="29" fillId="0" borderId="53" xfId="0" applyNumberFormat="1" applyFont="1" applyBorder="1"/>
    <xf numFmtId="43" fontId="29" fillId="0" borderId="47" xfId="1" applyFont="1" applyBorder="1"/>
    <xf numFmtId="43" fontId="29" fillId="0" borderId="50" xfId="1" applyFont="1" applyBorder="1"/>
    <xf numFmtId="43" fontId="37" fillId="0" borderId="1" xfId="1" applyFont="1" applyBorder="1"/>
    <xf numFmtId="14" fontId="32" fillId="0" borderId="1" xfId="0" applyNumberFormat="1" applyFont="1" applyBorder="1" applyAlignment="1">
      <alignment horizontal="left"/>
    </xf>
    <xf numFmtId="43" fontId="29" fillId="0" borderId="75" xfId="1" applyFont="1" applyBorder="1"/>
    <xf numFmtId="43" fontId="19" fillId="0" borderId="53" xfId="0" applyNumberFormat="1" applyFont="1" applyFill="1" applyBorder="1"/>
    <xf numFmtId="43" fontId="34" fillId="0" borderId="7" xfId="1" applyFont="1" applyFill="1" applyBorder="1"/>
    <xf numFmtId="14" fontId="34" fillId="0" borderId="1" xfId="1" applyNumberFormat="1" applyFont="1" applyFill="1" applyBorder="1"/>
    <xf numFmtId="43" fontId="34" fillId="0" borderId="7" xfId="1" applyFont="1" applyFill="1" applyBorder="1" applyAlignment="1">
      <alignment horizontal="center"/>
    </xf>
    <xf numFmtId="14" fontId="34" fillId="0" borderId="1" xfId="1" applyNumberFormat="1" applyFont="1" applyFill="1" applyBorder="1" applyAlignment="1">
      <alignment horizontal="left"/>
    </xf>
    <xf numFmtId="14" fontId="32" fillId="0" borderId="1" xfId="1" applyNumberFormat="1" applyFont="1" applyBorder="1"/>
    <xf numFmtId="164" fontId="32" fillId="0" borderId="1" xfId="0" applyNumberFormat="1" applyFont="1" applyBorder="1"/>
    <xf numFmtId="43" fontId="29" fillId="0" borderId="63" xfId="1" applyFont="1" applyBorder="1"/>
    <xf numFmtId="43" fontId="29" fillId="0" borderId="45" xfId="1" applyFont="1" applyBorder="1"/>
    <xf numFmtId="43" fontId="29" fillId="0" borderId="39" xfId="1" applyFont="1" applyBorder="1" applyAlignment="1">
      <alignment horizontal="left"/>
    </xf>
    <xf numFmtId="0" fontId="32" fillId="0" borderId="0" xfId="0" applyFont="1" applyAlignment="1">
      <alignment horizontal="center"/>
    </xf>
    <xf numFmtId="0" fontId="32" fillId="0" borderId="57" xfId="0" applyFont="1" applyBorder="1" applyAlignment="1">
      <alignment horizontal="center"/>
    </xf>
    <xf numFmtId="0" fontId="32" fillId="0" borderId="59" xfId="0" applyFont="1" applyBorder="1" applyAlignment="1">
      <alignment horizontal="center"/>
    </xf>
    <xf numFmtId="0" fontId="32" fillId="0" borderId="58" xfId="0" applyFont="1" applyBorder="1"/>
    <xf numFmtId="0" fontId="32" fillId="0" borderId="20" xfId="0" applyFont="1" applyBorder="1"/>
    <xf numFmtId="0" fontId="32" fillId="0" borderId="26" xfId="0" applyFont="1" applyBorder="1" applyAlignment="1">
      <alignment horizontal="center"/>
    </xf>
    <xf numFmtId="0" fontId="34" fillId="0" borderId="57" xfId="0" applyFont="1" applyFill="1" applyBorder="1" applyAlignment="1">
      <alignment horizontal="center"/>
    </xf>
    <xf numFmtId="14" fontId="32" fillId="0" borderId="64" xfId="0" applyNumberFormat="1" applyFont="1" applyBorder="1" applyAlignment="1">
      <alignment horizontal="center"/>
    </xf>
    <xf numFmtId="0" fontId="34" fillId="0" borderId="25" xfId="0" applyFont="1" applyFill="1" applyBorder="1" applyAlignment="1">
      <alignment horizontal="center"/>
    </xf>
    <xf numFmtId="0" fontId="34" fillId="0" borderId="64" xfId="0" applyFont="1" applyFill="1" applyBorder="1" applyAlignment="1">
      <alignment horizontal="center"/>
    </xf>
    <xf numFmtId="14" fontId="32" fillId="0" borderId="13" xfId="0" applyNumberFormat="1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32" fillId="0" borderId="10" xfId="0" applyFont="1" applyBorder="1"/>
    <xf numFmtId="0" fontId="32" fillId="0" borderId="8" xfId="0" applyFont="1" applyBorder="1"/>
    <xf numFmtId="0" fontId="32" fillId="0" borderId="9" xfId="0" applyFont="1" applyBorder="1"/>
    <xf numFmtId="0" fontId="34" fillId="0" borderId="55" xfId="0" applyFont="1" applyFill="1" applyBorder="1" applyAlignment="1">
      <alignment horizontal="center"/>
    </xf>
    <xf numFmtId="14" fontId="32" fillId="0" borderId="14" xfId="0" applyNumberFormat="1" applyFont="1" applyBorder="1" applyAlignment="1">
      <alignment horizontal="center"/>
    </xf>
    <xf numFmtId="0" fontId="34" fillId="0" borderId="58" xfId="0" applyFont="1" applyFill="1" applyBorder="1" applyAlignment="1">
      <alignment horizontal="center"/>
    </xf>
    <xf numFmtId="0" fontId="34" fillId="0" borderId="14" xfId="0" applyFont="1" applyFill="1" applyBorder="1" applyAlignment="1">
      <alignment horizontal="center"/>
    </xf>
    <xf numFmtId="14" fontId="32" fillId="0" borderId="32" xfId="0" applyNumberFormat="1" applyFont="1" applyBorder="1" applyAlignment="1">
      <alignment horizontal="center"/>
    </xf>
    <xf numFmtId="43" fontId="32" fillId="0" borderId="77" xfId="1" applyFont="1" applyBorder="1"/>
    <xf numFmtId="43" fontId="32" fillId="0" borderId="1" xfId="0" applyNumberFormat="1" applyFont="1" applyBorder="1"/>
    <xf numFmtId="165" fontId="32" fillId="0" borderId="19" xfId="0" applyNumberFormat="1" applyFont="1" applyBorder="1"/>
    <xf numFmtId="14" fontId="32" fillId="0" borderId="19" xfId="1" applyNumberFormat="1" applyFont="1" applyBorder="1"/>
    <xf numFmtId="43" fontId="32" fillId="0" borderId="5" xfId="0" applyNumberFormat="1" applyFont="1" applyBorder="1"/>
    <xf numFmtId="0" fontId="32" fillId="0" borderId="0" xfId="0" applyFont="1" applyBorder="1"/>
    <xf numFmtId="165" fontId="32" fillId="0" borderId="0" xfId="0" applyNumberFormat="1" applyFont="1" applyBorder="1"/>
    <xf numFmtId="43" fontId="32" fillId="0" borderId="30" xfId="1" applyFont="1" applyBorder="1"/>
    <xf numFmtId="43" fontId="32" fillId="0" borderId="66" xfId="0" applyNumberFormat="1" applyFont="1" applyBorder="1"/>
    <xf numFmtId="43" fontId="32" fillId="0" borderId="33" xfId="1" applyFont="1" applyBorder="1"/>
    <xf numFmtId="14" fontId="32" fillId="0" borderId="1" xfId="1" applyNumberFormat="1" applyFont="1" applyBorder="1" applyAlignment="1">
      <alignment horizontal="left"/>
    </xf>
    <xf numFmtId="171" fontId="29" fillId="0" borderId="1" xfId="1" applyNumberFormat="1" applyFont="1" applyBorder="1" applyAlignment="1">
      <alignment horizontal="left"/>
    </xf>
    <xf numFmtId="43" fontId="29" fillId="0" borderId="1" xfId="1" applyFont="1" applyBorder="1" applyAlignment="1">
      <alignment horizontal="left"/>
    </xf>
    <xf numFmtId="14" fontId="29" fillId="0" borderId="1" xfId="1" applyNumberFormat="1" applyFont="1" applyBorder="1" applyAlignment="1">
      <alignment horizontal="left"/>
    </xf>
    <xf numFmtId="43" fontId="19" fillId="0" borderId="6" xfId="2" applyFont="1" applyFill="1" applyBorder="1" applyAlignment="1">
      <alignment horizontal="left"/>
    </xf>
    <xf numFmtId="43" fontId="19" fillId="0" borderId="1" xfId="2" applyFont="1" applyFill="1" applyBorder="1" applyAlignment="1">
      <alignment horizontal="left"/>
    </xf>
    <xf numFmtId="43" fontId="29" fillId="0" borderId="6" xfId="1" applyFont="1" applyBorder="1" applyAlignment="1">
      <alignment horizontal="left"/>
    </xf>
    <xf numFmtId="14" fontId="19" fillId="0" borderId="6" xfId="2" applyNumberFormat="1" applyFont="1" applyFill="1" applyBorder="1" applyAlignment="1">
      <alignment horizontal="left"/>
    </xf>
    <xf numFmtId="43" fontId="19" fillId="0" borderId="29" xfId="2" applyFont="1" applyFill="1" applyBorder="1"/>
    <xf numFmtId="171" fontId="19" fillId="0" borderId="1" xfId="1" applyNumberFormat="1" applyFont="1" applyFill="1" applyBorder="1"/>
    <xf numFmtId="165" fontId="19" fillId="0" borderId="18" xfId="1" applyNumberFormat="1" applyFont="1" applyFill="1" applyBorder="1"/>
    <xf numFmtId="165" fontId="19" fillId="0" borderId="19" xfId="1" applyNumberFormat="1" applyFont="1" applyFill="1" applyBorder="1"/>
    <xf numFmtId="165" fontId="31" fillId="0" borderId="19" xfId="0" applyNumberFormat="1" applyFont="1" applyBorder="1"/>
    <xf numFmtId="165" fontId="31" fillId="0" borderId="1" xfId="0" applyNumberFormat="1" applyFont="1" applyBorder="1"/>
    <xf numFmtId="171" fontId="19" fillId="0" borderId="6" xfId="1" applyNumberFormat="1" applyFont="1" applyFill="1" applyBorder="1"/>
    <xf numFmtId="171" fontId="29" fillId="0" borderId="0" xfId="0" applyNumberFormat="1" applyFont="1"/>
    <xf numFmtId="171" fontId="19" fillId="0" borderId="64" xfId="1" applyNumberFormat="1" applyFont="1" applyFill="1" applyBorder="1"/>
    <xf numFmtId="14" fontId="32" fillId="0" borderId="20" xfId="0" applyNumberFormat="1" applyFont="1" applyBorder="1" applyAlignment="1">
      <alignment horizontal="center"/>
    </xf>
    <xf numFmtId="0" fontId="34" fillId="0" borderId="20" xfId="0" applyFont="1" applyFill="1" applyBorder="1" applyAlignment="1">
      <alignment horizontal="center"/>
    </xf>
    <xf numFmtId="14" fontId="32" fillId="3" borderId="1" xfId="1" applyNumberFormat="1" applyFont="1" applyFill="1" applyBorder="1"/>
    <xf numFmtId="14" fontId="32" fillId="0" borderId="1" xfId="0" applyNumberFormat="1" applyFont="1" applyFill="1" applyBorder="1" applyAlignment="1">
      <alignment horizontal="left"/>
    </xf>
    <xf numFmtId="165" fontId="29" fillId="0" borderId="1" xfId="1" applyNumberFormat="1" applyFont="1" applyBorder="1" applyAlignment="1">
      <alignment horizontal="left"/>
    </xf>
    <xf numFmtId="165" fontId="19" fillId="0" borderId="1" xfId="2" applyNumberFormat="1" applyFont="1" applyFill="1" applyBorder="1" applyAlignment="1">
      <alignment horizontal="left"/>
    </xf>
    <xf numFmtId="171" fontId="19" fillId="0" borderId="6" xfId="2" applyNumberFormat="1" applyFont="1" applyFill="1" applyBorder="1" applyAlignment="1">
      <alignment horizontal="left"/>
    </xf>
    <xf numFmtId="43" fontId="27" fillId="0" borderId="1" xfId="0" applyNumberFormat="1" applyFont="1" applyBorder="1"/>
    <xf numFmtId="165" fontId="32" fillId="0" borderId="7" xfId="0" applyNumberFormat="1" applyFont="1" applyBorder="1"/>
    <xf numFmtId="43" fontId="32" fillId="0" borderId="3" xfId="1" applyFont="1" applyBorder="1"/>
    <xf numFmtId="43" fontId="5" fillId="0" borderId="0" xfId="1" applyNumberFormat="1" applyFont="1" applyFill="1" applyBorder="1"/>
    <xf numFmtId="43" fontId="5" fillId="0" borderId="0" xfId="1" applyFont="1" applyFill="1"/>
    <xf numFmtId="0" fontId="5" fillId="0" borderId="0" xfId="0" applyFont="1" applyFill="1"/>
    <xf numFmtId="43" fontId="32" fillId="0" borderId="75" xfId="1" applyFont="1" applyBorder="1"/>
    <xf numFmtId="14" fontId="29" fillId="0" borderId="19" xfId="1" applyNumberFormat="1" applyFont="1" applyBorder="1"/>
    <xf numFmtId="164" fontId="29" fillId="0" borderId="19" xfId="0" applyNumberFormat="1" applyFont="1" applyBorder="1"/>
    <xf numFmtId="43" fontId="29" fillId="0" borderId="37" xfId="1" applyFont="1" applyBorder="1"/>
    <xf numFmtId="43" fontId="29" fillId="0" borderId="38" xfId="1" applyFont="1" applyBorder="1"/>
    <xf numFmtId="43" fontId="29" fillId="0" borderId="40" xfId="1" applyFont="1" applyBorder="1"/>
    <xf numFmtId="43" fontId="29" fillId="0" borderId="40" xfId="1" applyFont="1" applyFill="1" applyBorder="1"/>
    <xf numFmtId="43" fontId="29" fillId="0" borderId="44" xfId="1" applyFont="1" applyBorder="1"/>
    <xf numFmtId="43" fontId="29" fillId="0" borderId="5" xfId="1" applyFont="1" applyBorder="1"/>
    <xf numFmtId="43" fontId="29" fillId="0" borderId="14" xfId="1" applyFont="1" applyBorder="1"/>
    <xf numFmtId="43" fontId="29" fillId="0" borderId="56" xfId="1" applyFont="1" applyBorder="1"/>
    <xf numFmtId="0" fontId="0" fillId="0" borderId="0" xfId="0" applyFont="1" applyFill="1" applyBorder="1" applyAlignment="1">
      <alignment horizontal="left"/>
    </xf>
    <xf numFmtId="0" fontId="19" fillId="0" borderId="31" xfId="0" applyFont="1" applyFill="1" applyBorder="1"/>
    <xf numFmtId="0" fontId="19" fillId="0" borderId="55" xfId="0" applyFont="1" applyFill="1" applyBorder="1" applyAlignment="1">
      <alignment horizontal="center"/>
    </xf>
    <xf numFmtId="0" fontId="19" fillId="0" borderId="58" xfId="0" applyFont="1" applyFill="1" applyBorder="1" applyAlignment="1">
      <alignment horizontal="center"/>
    </xf>
    <xf numFmtId="0" fontId="19" fillId="0" borderId="25" xfId="0" applyFont="1" applyFill="1" applyBorder="1" applyAlignment="1"/>
    <xf numFmtId="0" fontId="19" fillId="0" borderId="46" xfId="0" applyFont="1" applyFill="1" applyBorder="1" applyAlignment="1">
      <alignment horizontal="center"/>
    </xf>
    <xf numFmtId="0" fontId="19" fillId="0" borderId="78" xfId="0" applyFont="1" applyFill="1" applyBorder="1" applyAlignment="1">
      <alignment horizontal="center"/>
    </xf>
    <xf numFmtId="0" fontId="19" fillId="0" borderId="1" xfId="0" applyFont="1" applyFill="1" applyBorder="1" applyAlignment="1"/>
    <xf numFmtId="0" fontId="33" fillId="0" borderId="26" xfId="0" applyFont="1" applyBorder="1"/>
    <xf numFmtId="0" fontId="34" fillId="0" borderId="1" xfId="0" applyFont="1" applyBorder="1"/>
    <xf numFmtId="165" fontId="34" fillId="0" borderId="1" xfId="0" applyNumberFormat="1" applyFont="1" applyBorder="1"/>
    <xf numFmtId="165" fontId="34" fillId="0" borderId="22" xfId="0" applyNumberFormat="1" applyFont="1" applyBorder="1"/>
    <xf numFmtId="43" fontId="34" fillId="0" borderId="1" xfId="7" applyFont="1" applyFill="1" applyBorder="1"/>
    <xf numFmtId="43" fontId="34" fillId="0" borderId="19" xfId="7" applyFont="1" applyFill="1" applyBorder="1"/>
    <xf numFmtId="43" fontId="27" fillId="0" borderId="6" xfId="1" applyFont="1" applyBorder="1"/>
    <xf numFmtId="0" fontId="19" fillId="0" borderId="4" xfId="0" applyFont="1" applyFill="1" applyBorder="1"/>
    <xf numFmtId="0" fontId="31" fillId="0" borderId="26" xfId="0" applyFont="1" applyBorder="1"/>
    <xf numFmtId="43" fontId="29" fillId="0" borderId="4" xfId="1" applyFont="1" applyBorder="1"/>
    <xf numFmtId="43" fontId="29" fillId="0" borderId="24" xfId="1" applyFont="1" applyBorder="1" applyAlignment="1">
      <alignment horizontal="left"/>
    </xf>
    <xf numFmtId="43" fontId="29" fillId="0" borderId="0" xfId="1" applyFont="1" applyBorder="1"/>
    <xf numFmtId="14" fontId="32" fillId="0" borderId="19" xfId="1" applyNumberFormat="1" applyFont="1" applyBorder="1" applyAlignment="1">
      <alignment horizontal="left"/>
    </xf>
    <xf numFmtId="164" fontId="32" fillId="0" borderId="19" xfId="0" applyNumberFormat="1" applyFont="1" applyBorder="1"/>
    <xf numFmtId="14" fontId="32" fillId="3" borderId="19" xfId="1" applyNumberFormat="1" applyFont="1" applyFill="1" applyBorder="1"/>
    <xf numFmtId="14" fontId="32" fillId="0" borderId="19" xfId="0" applyNumberFormat="1" applyFont="1" applyBorder="1"/>
    <xf numFmtId="14" fontId="32" fillId="0" borderId="19" xfId="0" applyNumberFormat="1" applyFont="1" applyBorder="1" applyAlignment="1">
      <alignment horizontal="left"/>
    </xf>
    <xf numFmtId="14" fontId="32" fillId="0" borderId="19" xfId="0" applyNumberFormat="1" applyFont="1" applyFill="1" applyBorder="1" applyAlignment="1">
      <alignment horizontal="left"/>
    </xf>
    <xf numFmtId="0" fontId="32" fillId="0" borderId="19" xfId="0" applyFont="1" applyBorder="1" applyAlignment="1">
      <alignment horizontal="left"/>
    </xf>
    <xf numFmtId="43" fontId="19" fillId="0" borderId="0" xfId="1" applyFont="1" applyFill="1" applyBorder="1"/>
    <xf numFmtId="0" fontId="29" fillId="0" borderId="6" xfId="0" applyFont="1" applyBorder="1"/>
    <xf numFmtId="0" fontId="29" fillId="0" borderId="0" xfId="0" applyFont="1" applyBorder="1"/>
    <xf numFmtId="43" fontId="19" fillId="0" borderId="4" xfId="1" applyFont="1" applyFill="1" applyBorder="1"/>
    <xf numFmtId="43" fontId="19" fillId="0" borderId="18" xfId="1" applyFont="1" applyFill="1" applyBorder="1"/>
    <xf numFmtId="14" fontId="19" fillId="0" borderId="18" xfId="1" applyNumberFormat="1" applyFont="1" applyFill="1" applyBorder="1"/>
    <xf numFmtId="43" fontId="19" fillId="0" borderId="18" xfId="0" applyNumberFormat="1" applyFont="1" applyFill="1" applyBorder="1"/>
    <xf numFmtId="165" fontId="31" fillId="0" borderId="18" xfId="0" applyNumberFormat="1" applyFont="1" applyBorder="1"/>
    <xf numFmtId="165" fontId="31" fillId="0" borderId="0" xfId="0" applyNumberFormat="1" applyFont="1" applyBorder="1"/>
    <xf numFmtId="0" fontId="30" fillId="0" borderId="70" xfId="0" applyFont="1" applyBorder="1" applyAlignment="1"/>
    <xf numFmtId="0" fontId="30" fillId="0" borderId="70" xfId="0" applyFont="1" applyBorder="1" applyAlignment="1">
      <alignment horizontal="center"/>
    </xf>
    <xf numFmtId="0" fontId="30" fillId="0" borderId="66" xfId="0" applyFont="1" applyBorder="1" applyAlignment="1">
      <alignment horizontal="center"/>
    </xf>
    <xf numFmtId="165" fontId="19" fillId="0" borderId="23" xfId="0" applyNumberFormat="1" applyFont="1" applyBorder="1"/>
    <xf numFmtId="43" fontId="19" fillId="0" borderId="62" xfId="3" applyFont="1" applyFill="1" applyBorder="1"/>
    <xf numFmtId="0" fontId="40" fillId="0" borderId="1" xfId="0" applyFont="1" applyBorder="1"/>
    <xf numFmtId="0" fontId="34" fillId="0" borderId="5" xfId="0" applyFont="1" applyBorder="1"/>
    <xf numFmtId="165" fontId="34" fillId="0" borderId="5" xfId="0" applyNumberFormat="1" applyFont="1" applyBorder="1"/>
    <xf numFmtId="43" fontId="34" fillId="0" borderId="5" xfId="7" applyFont="1" applyFill="1" applyBorder="1"/>
    <xf numFmtId="43" fontId="34" fillId="0" borderId="51" xfId="7" applyFont="1" applyFill="1" applyBorder="1"/>
    <xf numFmtId="0" fontId="3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3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41" fillId="0" borderId="0" xfId="0" applyFont="1"/>
    <xf numFmtId="0" fontId="19" fillId="0" borderId="60" xfId="0" applyFont="1" applyBorder="1" applyAlignment="1">
      <alignment horizontal="center"/>
    </xf>
    <xf numFmtId="167" fontId="27" fillId="0" borderId="1" xfId="0" applyNumberFormat="1" applyFont="1" applyBorder="1"/>
    <xf numFmtId="168" fontId="27" fillId="0" borderId="1" xfId="0" applyNumberFormat="1" applyFont="1" applyBorder="1" applyAlignment="1">
      <alignment horizontal="right"/>
    </xf>
    <xf numFmtId="43" fontId="19" fillId="0" borderId="22" xfId="3" applyFont="1" applyFill="1" applyBorder="1" applyAlignment="1">
      <alignment horizontal="center"/>
    </xf>
    <xf numFmtId="0" fontId="34" fillId="0" borderId="64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19" fillId="0" borderId="7" xfId="0" applyFont="1" applyBorder="1"/>
    <xf numFmtId="0" fontId="19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14" fontId="32" fillId="0" borderId="16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43" fontId="27" fillId="0" borderId="7" xfId="1" applyFont="1" applyBorder="1"/>
    <xf numFmtId="43" fontId="27" fillId="0" borderId="1" xfId="1" applyFont="1" applyBorder="1"/>
    <xf numFmtId="43" fontId="34" fillId="0" borderId="72" xfId="1" applyFont="1" applyFill="1" applyBorder="1"/>
    <xf numFmtId="43" fontId="34" fillId="0" borderId="74" xfId="1" applyFont="1" applyFill="1" applyBorder="1"/>
    <xf numFmtId="14" fontId="34" fillId="0" borderId="72" xfId="1" applyNumberFormat="1" applyFont="1" applyFill="1" applyBorder="1"/>
    <xf numFmtId="165" fontId="29" fillId="0" borderId="5" xfId="0" applyNumberFormat="1" applyFont="1" applyBorder="1"/>
    <xf numFmtId="43" fontId="2" fillId="0" borderId="0" xfId="0" applyNumberFormat="1" applyFont="1"/>
    <xf numFmtId="43" fontId="7" fillId="0" borderId="0" xfId="1" applyFont="1" applyFill="1"/>
    <xf numFmtId="43" fontId="3" fillId="0" borderId="0" xfId="1" applyFont="1" applyFill="1"/>
    <xf numFmtId="167" fontId="4" fillId="0" borderId="0" xfId="0" applyNumberFormat="1" applyFont="1" applyFill="1" applyBorder="1"/>
    <xf numFmtId="167" fontId="0" fillId="0" borderId="0" xfId="0" applyNumberFormat="1" applyFill="1"/>
    <xf numFmtId="43" fontId="19" fillId="0" borderId="0" xfId="0" applyNumberFormat="1" applyFont="1" applyFill="1" applyBorder="1"/>
    <xf numFmtId="0" fontId="0" fillId="0" borderId="0" xfId="0" applyBorder="1"/>
    <xf numFmtId="0" fontId="19" fillId="0" borderId="15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43" fontId="29" fillId="0" borderId="19" xfId="1" applyFont="1" applyBorder="1"/>
    <xf numFmtId="43" fontId="19" fillId="0" borderId="6" xfId="1" applyFont="1" applyFill="1" applyBorder="1" applyAlignment="1">
      <alignment horizontal="center"/>
    </xf>
    <xf numFmtId="43" fontId="29" fillId="0" borderId="22" xfId="1" applyFont="1" applyBorder="1"/>
    <xf numFmtId="0" fontId="19" fillId="0" borderId="0" xfId="0" applyFont="1" applyFill="1" applyBorder="1"/>
    <xf numFmtId="164" fontId="19" fillId="0" borderId="0" xfId="0" applyNumberFormat="1" applyFont="1" applyFill="1" applyBorder="1"/>
    <xf numFmtId="43" fontId="19" fillId="0" borderId="26" xfId="0" applyNumberFormat="1" applyFont="1" applyFill="1" applyBorder="1"/>
    <xf numFmtId="43" fontId="19" fillId="0" borderId="56" xfId="5" applyFont="1" applyFill="1" applyBorder="1"/>
    <xf numFmtId="43" fontId="19" fillId="0" borderId="48" xfId="6" applyFont="1" applyFill="1" applyBorder="1"/>
    <xf numFmtId="43" fontId="19" fillId="0" borderId="44" xfId="6" applyFont="1" applyFill="1" applyBorder="1"/>
    <xf numFmtId="43" fontId="19" fillId="0" borderId="5" xfId="6" applyFont="1" applyFill="1" applyBorder="1"/>
    <xf numFmtId="43" fontId="10" fillId="0" borderId="18" xfId="0" applyNumberFormat="1" applyFont="1" applyFill="1" applyBorder="1"/>
    <xf numFmtId="0" fontId="11" fillId="0" borderId="0" xfId="0" applyFont="1" applyBorder="1"/>
    <xf numFmtId="0" fontId="14" fillId="0" borderId="0" xfId="0" applyFont="1" applyBorder="1"/>
    <xf numFmtId="165" fontId="11" fillId="0" borderId="0" xfId="0" applyNumberFormat="1" applyFont="1" applyBorder="1"/>
    <xf numFmtId="37" fontId="11" fillId="0" borderId="0" xfId="1" applyNumberFormat="1" applyFont="1" applyFill="1" applyBorder="1"/>
    <xf numFmtId="43" fontId="11" fillId="0" borderId="0" xfId="1" applyFont="1" applyFill="1" applyBorder="1"/>
    <xf numFmtId="0" fontId="10" fillId="0" borderId="0" xfId="0" applyFont="1" applyFill="1" applyBorder="1"/>
    <xf numFmtId="164" fontId="10" fillId="0" borderId="0" xfId="0" applyNumberFormat="1" applyFont="1" applyFill="1" applyBorder="1"/>
    <xf numFmtId="43" fontId="10" fillId="0" borderId="0" xfId="0" applyNumberFormat="1" applyFont="1" applyFill="1" applyBorder="1"/>
    <xf numFmtId="0" fontId="19" fillId="0" borderId="15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43" fontId="19" fillId="0" borderId="48" xfId="7" applyFont="1" applyFill="1" applyBorder="1"/>
    <xf numFmtId="43" fontId="19" fillId="0" borderId="45" xfId="7" applyFont="1" applyFill="1" applyBorder="1"/>
    <xf numFmtId="43" fontId="19" fillId="0" borderId="62" xfId="7" applyFont="1" applyFill="1" applyBorder="1"/>
    <xf numFmtId="43" fontId="34" fillId="0" borderId="1" xfId="4" applyFont="1" applyFill="1" applyBorder="1"/>
    <xf numFmtId="43" fontId="34" fillId="0" borderId="1" xfId="5" applyFont="1" applyFill="1" applyBorder="1"/>
    <xf numFmtId="169" fontId="34" fillId="0" borderId="1" xfId="0" applyNumberFormat="1" applyFont="1" applyFill="1" applyBorder="1"/>
    <xf numFmtId="169" fontId="34" fillId="0" borderId="1" xfId="0" applyNumberFormat="1" applyFont="1" applyFill="1" applyBorder="1" applyAlignment="1">
      <alignment horizontal="right"/>
    </xf>
    <xf numFmtId="0" fontId="34" fillId="0" borderId="1" xfId="0" applyFont="1" applyFill="1" applyBorder="1"/>
    <xf numFmtId="165" fontId="34" fillId="0" borderId="1" xfId="0" applyNumberFormat="1" applyFont="1" applyFill="1" applyBorder="1"/>
    <xf numFmtId="170" fontId="34" fillId="0" borderId="1" xfId="0" applyNumberFormat="1" applyFont="1" applyFill="1" applyBorder="1"/>
    <xf numFmtId="43" fontId="34" fillId="0" borderId="1" xfId="3" applyFont="1" applyFill="1" applyBorder="1" applyAlignment="1">
      <alignment horizontal="center"/>
    </xf>
    <xf numFmtId="43" fontId="34" fillId="0" borderId="1" xfId="6" applyFont="1" applyFill="1" applyBorder="1"/>
    <xf numFmtId="43" fontId="34" fillId="0" borderId="50" xfId="5" applyFont="1" applyFill="1" applyBorder="1"/>
    <xf numFmtId="43" fontId="34" fillId="0" borderId="40" xfId="5" applyFont="1" applyFill="1" applyBorder="1"/>
    <xf numFmtId="43" fontId="34" fillId="0" borderId="39" xfId="5" applyFont="1" applyFill="1" applyBorder="1"/>
    <xf numFmtId="43" fontId="34" fillId="0" borderId="50" xfId="4" applyFont="1" applyFill="1" applyBorder="1"/>
    <xf numFmtId="43" fontId="34" fillId="0" borderId="39" xfId="3" applyFont="1" applyFill="1" applyBorder="1" applyAlignment="1">
      <alignment horizontal="center"/>
    </xf>
    <xf numFmtId="43" fontId="32" fillId="0" borderId="39" xfId="1" applyFont="1" applyBorder="1" applyAlignment="1">
      <alignment horizontal="center"/>
    </xf>
    <xf numFmtId="165" fontId="32" fillId="0" borderId="2" xfId="0" applyNumberFormat="1" applyFont="1" applyBorder="1"/>
    <xf numFmtId="43" fontId="34" fillId="0" borderId="1" xfId="3" applyFont="1" applyFill="1" applyBorder="1"/>
    <xf numFmtId="43" fontId="34" fillId="0" borderId="76" xfId="6" applyFont="1" applyFill="1" applyBorder="1"/>
    <xf numFmtId="43" fontId="34" fillId="0" borderId="40" xfId="6" applyFont="1" applyFill="1" applyBorder="1"/>
    <xf numFmtId="43" fontId="34" fillId="0" borderId="19" xfId="6" applyFont="1" applyFill="1" applyBorder="1"/>
    <xf numFmtId="43" fontId="34" fillId="0" borderId="22" xfId="7" applyFont="1" applyFill="1" applyBorder="1"/>
    <xf numFmtId="43" fontId="34" fillId="0" borderId="76" xfId="7" applyFont="1" applyFill="1" applyBorder="1"/>
    <xf numFmtId="43" fontId="34" fillId="0" borderId="40" xfId="7" applyFont="1" applyFill="1" applyBorder="1"/>
    <xf numFmtId="43" fontId="34" fillId="0" borderId="50" xfId="7" applyFont="1" applyFill="1" applyBorder="1"/>
    <xf numFmtId="43" fontId="34" fillId="0" borderId="50" xfId="6" applyFont="1" applyFill="1" applyBorder="1"/>
    <xf numFmtId="0" fontId="34" fillId="0" borderId="40" xfId="0" applyFont="1" applyBorder="1"/>
    <xf numFmtId="43" fontId="34" fillId="0" borderId="38" xfId="3" applyFont="1" applyFill="1" applyBorder="1" applyAlignment="1">
      <alignment horizontal="center"/>
    </xf>
    <xf numFmtId="43" fontId="34" fillId="0" borderId="76" xfId="4" applyFont="1" applyFill="1" applyBorder="1"/>
    <xf numFmtId="43" fontId="19" fillId="0" borderId="62" xfId="4" applyFont="1" applyFill="1" applyBorder="1"/>
    <xf numFmtId="43" fontId="19" fillId="0" borderId="51" xfId="4" applyFont="1" applyFill="1" applyBorder="1"/>
    <xf numFmtId="43" fontId="19" fillId="0" borderId="5" xfId="4" applyFont="1" applyFill="1" applyBorder="1"/>
    <xf numFmtId="43" fontId="19" fillId="0" borderId="62" xfId="5" applyFont="1" applyFill="1" applyBorder="1"/>
    <xf numFmtId="0" fontId="34" fillId="0" borderId="69" xfId="0" applyFont="1" applyFill="1" applyBorder="1" applyAlignment="1">
      <alignment horizontal="center"/>
    </xf>
    <xf numFmtId="0" fontId="34" fillId="0" borderId="69" xfId="0" applyFont="1" applyFill="1" applyBorder="1"/>
    <xf numFmtId="0" fontId="34" fillId="0" borderId="21" xfId="0" applyFont="1" applyFill="1" applyBorder="1" applyAlignment="1">
      <alignment horizontal="center"/>
    </xf>
    <xf numFmtId="0" fontId="34" fillId="0" borderId="36" xfId="0" applyFont="1" applyFill="1" applyBorder="1" applyAlignment="1">
      <alignment horizontal="center"/>
    </xf>
    <xf numFmtId="0" fontId="19" fillId="0" borderId="1" xfId="0" applyFont="1" applyBorder="1" applyAlignment="1"/>
    <xf numFmtId="39" fontId="19" fillId="0" borderId="77" xfId="0" applyNumberFormat="1" applyFont="1" applyFill="1" applyBorder="1" applyAlignment="1">
      <alignment horizontal="right"/>
    </xf>
    <xf numFmtId="43" fontId="19" fillId="0" borderId="18" xfId="1" applyFont="1" applyFill="1" applyBorder="1" applyAlignment="1">
      <alignment horizontal="center"/>
    </xf>
    <xf numFmtId="43" fontId="19" fillId="0" borderId="6" xfId="1" applyFont="1" applyFill="1" applyBorder="1" applyAlignment="1">
      <alignment horizontal="right"/>
    </xf>
    <xf numFmtId="43" fontId="29" fillId="0" borderId="39" xfId="0" applyNumberFormat="1" applyFont="1" applyBorder="1" applyAlignment="1">
      <alignment horizontal="center"/>
    </xf>
    <xf numFmtId="43" fontId="19" fillId="0" borderId="19" xfId="1" applyFont="1" applyFill="1" applyBorder="1" applyAlignment="1">
      <alignment horizontal="center"/>
    </xf>
    <xf numFmtId="43" fontId="19" fillId="0" borderId="1" xfId="1" applyFont="1" applyFill="1" applyBorder="1" applyAlignment="1">
      <alignment horizontal="right"/>
    </xf>
    <xf numFmtId="173" fontId="29" fillId="0" borderId="24" xfId="0" applyNumberFormat="1" applyFont="1" applyBorder="1"/>
    <xf numFmtId="43" fontId="29" fillId="0" borderId="22" xfId="0" applyNumberFormat="1" applyFont="1" applyBorder="1" applyAlignment="1">
      <alignment horizontal="center"/>
    </xf>
    <xf numFmtId="43" fontId="29" fillId="0" borderId="0" xfId="1" applyFont="1" applyFill="1" applyBorder="1"/>
    <xf numFmtId="43" fontId="29" fillId="0" borderId="8" xfId="1" applyFont="1" applyFill="1" applyBorder="1"/>
    <xf numFmtId="43" fontId="29" fillId="0" borderId="1" xfId="0" applyNumberFormat="1" applyFont="1" applyBorder="1" applyAlignment="1">
      <alignment horizontal="center"/>
    </xf>
    <xf numFmtId="43" fontId="29" fillId="0" borderId="24" xfId="1" applyFont="1" applyBorder="1"/>
    <xf numFmtId="43" fontId="29" fillId="0" borderId="1" xfId="1" applyFont="1" applyBorder="1" applyAlignment="1">
      <alignment horizontal="right"/>
    </xf>
    <xf numFmtId="167" fontId="27" fillId="0" borderId="0" xfId="0" applyNumberFormat="1" applyFont="1"/>
    <xf numFmtId="14" fontId="29" fillId="0" borderId="1" xfId="0" applyNumberFormat="1" applyFont="1" applyBorder="1" applyAlignment="1">
      <alignment horizontal="right"/>
    </xf>
    <xf numFmtId="0" fontId="29" fillId="0" borderId="5" xfId="0" applyFont="1" applyBorder="1"/>
    <xf numFmtId="165" fontId="29" fillId="0" borderId="45" xfId="0" applyNumberFormat="1" applyFont="1" applyBorder="1"/>
    <xf numFmtId="0" fontId="32" fillId="0" borderId="5" xfId="0" applyFont="1" applyBorder="1"/>
    <xf numFmtId="0" fontId="19" fillId="0" borderId="33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43" fontId="22" fillId="0" borderId="18" xfId="5" applyFont="1" applyFill="1" applyBorder="1"/>
    <xf numFmtId="0" fontId="42" fillId="0" borderId="1" xfId="0" applyFont="1" applyBorder="1"/>
    <xf numFmtId="0" fontId="43" fillId="0" borderId="1" xfId="0" applyFont="1" applyBorder="1"/>
    <xf numFmtId="165" fontId="42" fillId="0" borderId="1" xfId="0" applyNumberFormat="1" applyFont="1" applyBorder="1"/>
    <xf numFmtId="165" fontId="42" fillId="0" borderId="22" xfId="0" applyNumberFormat="1" applyFont="1" applyBorder="1"/>
    <xf numFmtId="43" fontId="42" fillId="0" borderId="50" xfId="4" applyFont="1" applyFill="1" applyBorder="1"/>
    <xf numFmtId="43" fontId="5" fillId="0" borderId="1" xfId="0" applyNumberFormat="1" applyFont="1" applyBorder="1"/>
    <xf numFmtId="43" fontId="42" fillId="0" borderId="1" xfId="4" applyFont="1" applyFill="1" applyBorder="1"/>
    <xf numFmtId="43" fontId="44" fillId="0" borderId="50" xfId="1" applyFont="1" applyBorder="1"/>
    <xf numFmtId="14" fontId="5" fillId="0" borderId="19" xfId="1" applyNumberFormat="1" applyFont="1" applyBorder="1"/>
    <xf numFmtId="43" fontId="42" fillId="0" borderId="50" xfId="2" applyFont="1" applyFill="1" applyBorder="1"/>
    <xf numFmtId="43" fontId="42" fillId="0" borderId="1" xfId="2" applyFont="1" applyFill="1" applyBorder="1"/>
    <xf numFmtId="43" fontId="42" fillId="0" borderId="50" xfId="0" applyNumberFormat="1" applyFont="1" applyFill="1" applyBorder="1"/>
    <xf numFmtId="43" fontId="42" fillId="0" borderId="1" xfId="7" applyFont="1" applyFill="1" applyBorder="1"/>
    <xf numFmtId="43" fontId="42" fillId="0" borderId="50" xfId="5" applyFont="1" applyFill="1" applyBorder="1"/>
    <xf numFmtId="43" fontId="42" fillId="0" borderId="1" xfId="5" applyFont="1" applyFill="1" applyBorder="1"/>
    <xf numFmtId="43" fontId="42" fillId="0" borderId="50" xfId="3" applyFont="1" applyFill="1" applyBorder="1"/>
    <xf numFmtId="43" fontId="42" fillId="0" borderId="1" xfId="3" applyFont="1" applyFill="1" applyBorder="1"/>
    <xf numFmtId="43" fontId="42" fillId="0" borderId="50" xfId="7" applyFont="1" applyFill="1" applyBorder="1"/>
    <xf numFmtId="43" fontId="42" fillId="0" borderId="1" xfId="6" applyFont="1" applyFill="1" applyBorder="1"/>
    <xf numFmtId="0" fontId="42" fillId="0" borderId="1" xfId="0" applyFont="1" applyFill="1" applyBorder="1"/>
    <xf numFmtId="0" fontId="4" fillId="0" borderId="43" xfId="0" applyFont="1" applyBorder="1"/>
    <xf numFmtId="0" fontId="4" fillId="0" borderId="21" xfId="0" applyFont="1" applyBorder="1"/>
    <xf numFmtId="0" fontId="4" fillId="0" borderId="2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63" xfId="0" applyFont="1" applyBorder="1"/>
    <xf numFmtId="0" fontId="4" fillId="0" borderId="69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2" fillId="0" borderId="5" xfId="0" applyFont="1" applyBorder="1"/>
    <xf numFmtId="165" fontId="42" fillId="0" borderId="5" xfId="0" applyNumberFormat="1" applyFont="1" applyBorder="1"/>
    <xf numFmtId="43" fontId="42" fillId="0" borderId="19" xfId="4" applyFont="1" applyFill="1" applyBorder="1"/>
    <xf numFmtId="43" fontId="42" fillId="0" borderId="19" xfId="2" applyFont="1" applyFill="1" applyBorder="1"/>
    <xf numFmtId="43" fontId="42" fillId="0" borderId="19" xfId="7" applyFont="1" applyFill="1" applyBorder="1"/>
    <xf numFmtId="43" fontId="42" fillId="0" borderId="19" xfId="5" applyFont="1" applyFill="1" applyBorder="1"/>
    <xf numFmtId="43" fontId="42" fillId="0" borderId="19" xfId="3" applyFont="1" applyFill="1" applyBorder="1"/>
    <xf numFmtId="43" fontId="34" fillId="0" borderId="19" xfId="1" applyFont="1" applyFill="1" applyBorder="1"/>
    <xf numFmtId="0" fontId="19" fillId="0" borderId="0" xfId="0" applyFont="1" applyBorder="1" applyAlignment="1">
      <alignment horizontal="center"/>
    </xf>
    <xf numFmtId="43" fontId="29" fillId="0" borderId="6" xfId="1" applyFont="1" applyBorder="1" applyAlignment="1">
      <alignment horizontal="center"/>
    </xf>
    <xf numFmtId="43" fontId="11" fillId="0" borderId="24" xfId="1" applyFont="1" applyFill="1" applyBorder="1"/>
    <xf numFmtId="169" fontId="42" fillId="0" borderId="1" xfId="0" applyNumberFormat="1" applyFont="1" applyFill="1" applyBorder="1"/>
    <xf numFmtId="43" fontId="7" fillId="0" borderId="18" xfId="1" applyFont="1" applyBorder="1" applyAlignment="1">
      <alignment horizontal="center"/>
    </xf>
    <xf numFmtId="43" fontId="7" fillId="0" borderId="18" xfId="1" applyFont="1" applyBorder="1"/>
    <xf numFmtId="165" fontId="6" fillId="0" borderId="19" xfId="0" applyNumberFormat="1" applyFont="1" applyBorder="1"/>
    <xf numFmtId="43" fontId="10" fillId="0" borderId="19" xfId="0" applyNumberFormat="1" applyFont="1" applyFill="1" applyBorder="1"/>
    <xf numFmtId="14" fontId="5" fillId="0" borderId="1" xfId="1" applyNumberFormat="1" applyFont="1" applyBorder="1" applyAlignment="1">
      <alignment horizontal="right"/>
    </xf>
    <xf numFmtId="0" fontId="19" fillId="0" borderId="64" xfId="0" applyFont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171" fontId="19" fillId="0" borderId="1" xfId="0" applyNumberFormat="1" applyFont="1" applyBorder="1"/>
    <xf numFmtId="171" fontId="19" fillId="0" borderId="22" xfId="0" applyNumberFormat="1" applyFont="1" applyBorder="1"/>
    <xf numFmtId="171" fontId="34" fillId="0" borderId="1" xfId="0" applyNumberFormat="1" applyFont="1" applyBorder="1"/>
    <xf numFmtId="171" fontId="19" fillId="0" borderId="5" xfId="0" applyNumberFormat="1" applyFont="1" applyBorder="1"/>
    <xf numFmtId="171" fontId="19" fillId="0" borderId="23" xfId="0" applyNumberFormat="1" applyFont="1" applyBorder="1"/>
    <xf numFmtId="171" fontId="19" fillId="0" borderId="7" xfId="0" applyNumberFormat="1" applyFont="1" applyBorder="1"/>
    <xf numFmtId="171" fontId="19" fillId="0" borderId="2" xfId="0" applyNumberFormat="1" applyFont="1" applyBorder="1"/>
    <xf numFmtId="43" fontId="19" fillId="0" borderId="67" xfId="7" applyFont="1" applyFill="1" applyBorder="1"/>
    <xf numFmtId="43" fontId="19" fillId="0" borderId="73" xfId="7" applyFont="1" applyFill="1" applyBorder="1"/>
    <xf numFmtId="43" fontId="19" fillId="0" borderId="7" xfId="7" applyFont="1" applyFill="1" applyBorder="1"/>
    <xf numFmtId="0" fontId="19" fillId="0" borderId="7" xfId="0" applyFont="1" applyFill="1" applyBorder="1"/>
    <xf numFmtId="43" fontId="19" fillId="0" borderId="67" xfId="6" applyFont="1" applyFill="1" applyBorder="1"/>
    <xf numFmtId="43" fontId="19" fillId="0" borderId="73" xfId="6" applyFont="1" applyFill="1" applyBorder="1"/>
    <xf numFmtId="43" fontId="19" fillId="0" borderId="7" xfId="6" applyFont="1" applyFill="1" applyBorder="1"/>
    <xf numFmtId="0" fontId="19" fillId="0" borderId="6" xfId="0" applyFont="1" applyBorder="1" applyAlignment="1">
      <alignment horizontal="left"/>
    </xf>
    <xf numFmtId="43" fontId="44" fillId="0" borderId="1" xfId="1" applyFont="1" applyBorder="1"/>
    <xf numFmtId="43" fontId="42" fillId="0" borderId="1" xfId="0" applyNumberFormat="1" applyFont="1" applyFill="1" applyBorder="1"/>
    <xf numFmtId="43" fontId="27" fillId="0" borderId="55" xfId="0" applyNumberFormat="1" applyFont="1" applyBorder="1"/>
    <xf numFmtId="43" fontId="27" fillId="0" borderId="16" xfId="0" applyNumberFormat="1" applyFont="1" applyBorder="1"/>
    <xf numFmtId="43" fontId="27" fillId="0" borderId="14" xfId="0" applyNumberFormat="1" applyFont="1" applyBorder="1"/>
    <xf numFmtId="43" fontId="27" fillId="0" borderId="20" xfId="0" applyNumberFormat="1" applyFont="1" applyBorder="1"/>
    <xf numFmtId="43" fontId="27" fillId="0" borderId="26" xfId="0" applyNumberFormat="1" applyFont="1" applyBorder="1"/>
    <xf numFmtId="164" fontId="19" fillId="0" borderId="25" xfId="0" applyNumberFormat="1" applyFont="1" applyFill="1" applyBorder="1"/>
    <xf numFmtId="43" fontId="19" fillId="0" borderId="69" xfId="1" applyFont="1" applyFill="1" applyBorder="1" applyAlignment="1">
      <alignment horizontal="center"/>
    </xf>
    <xf numFmtId="43" fontId="19" fillId="0" borderId="19" xfId="7" applyFont="1" applyFill="1" applyBorder="1"/>
    <xf numFmtId="43" fontId="19" fillId="0" borderId="19" xfId="6" applyFont="1" applyFill="1" applyBorder="1"/>
    <xf numFmtId="43" fontId="19" fillId="0" borderId="51" xfId="7" applyFont="1" applyFill="1" applyBorder="1"/>
    <xf numFmtId="43" fontId="19" fillId="0" borderId="35" xfId="1" applyFont="1" applyFill="1" applyBorder="1" applyAlignment="1">
      <alignment horizontal="center"/>
    </xf>
    <xf numFmtId="43" fontId="19" fillId="0" borderId="76" xfId="6" applyFont="1" applyFill="1" applyBorder="1"/>
    <xf numFmtId="0" fontId="19" fillId="0" borderId="74" xfId="0" applyFont="1" applyFill="1" applyBorder="1" applyAlignment="1">
      <alignment horizontal="center"/>
    </xf>
    <xf numFmtId="43" fontId="19" fillId="0" borderId="69" xfId="7" applyFont="1" applyFill="1" applyBorder="1"/>
    <xf numFmtId="0" fontId="19" fillId="0" borderId="35" xfId="0" applyFont="1" applyFill="1" applyBorder="1" applyAlignment="1"/>
    <xf numFmtId="43" fontId="34" fillId="0" borderId="17" xfId="7" applyFont="1" applyFill="1" applyBorder="1"/>
    <xf numFmtId="43" fontId="19" fillId="0" borderId="23" xfId="7" applyFont="1" applyFill="1" applyBorder="1"/>
    <xf numFmtId="43" fontId="34" fillId="0" borderId="77" xfId="7" applyFont="1" applyFill="1" applyBorder="1"/>
    <xf numFmtId="43" fontId="19" fillId="0" borderId="21" xfId="0" applyNumberFormat="1" applyFont="1" applyFill="1" applyBorder="1"/>
    <xf numFmtId="43" fontId="19" fillId="0" borderId="46" xfId="1" applyFont="1" applyFill="1" applyBorder="1"/>
    <xf numFmtId="43" fontId="19" fillId="0" borderId="74" xfId="1" applyFont="1" applyFill="1" applyBorder="1"/>
    <xf numFmtId="43" fontId="19" fillId="0" borderId="78" xfId="1" applyFont="1" applyFill="1" applyBorder="1"/>
    <xf numFmtId="0" fontId="32" fillId="0" borderId="46" xfId="0" applyFont="1" applyBorder="1"/>
    <xf numFmtId="0" fontId="32" fillId="0" borderId="72" xfId="0" applyFont="1" applyBorder="1"/>
    <xf numFmtId="14" fontId="32" fillId="0" borderId="72" xfId="0" applyNumberFormat="1" applyFont="1" applyBorder="1" applyAlignment="1">
      <alignment horizontal="left"/>
    </xf>
    <xf numFmtId="14" fontId="32" fillId="0" borderId="72" xfId="0" applyNumberFormat="1" applyFont="1" applyBorder="1"/>
    <xf numFmtId="0" fontId="0" fillId="0" borderId="72" xfId="0" applyBorder="1"/>
    <xf numFmtId="0" fontId="32" fillId="0" borderId="65" xfId="0" applyFont="1" applyFill="1" applyBorder="1"/>
    <xf numFmtId="0" fontId="32" fillId="0" borderId="72" xfId="0" applyFont="1" applyBorder="1" applyAlignment="1">
      <alignment horizontal="left"/>
    </xf>
    <xf numFmtId="0" fontId="34" fillId="0" borderId="21" xfId="0" applyFont="1" applyFill="1" applyBorder="1" applyAlignment="1">
      <alignment horizontal="right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right"/>
    </xf>
    <xf numFmtId="14" fontId="19" fillId="0" borderId="19" xfId="0" applyNumberFormat="1" applyFont="1" applyFill="1" applyBorder="1" applyAlignment="1">
      <alignment horizontal="right"/>
    </xf>
    <xf numFmtId="14" fontId="29" fillId="0" borderId="19" xfId="1" applyNumberFormat="1" applyFont="1" applyBorder="1" applyAlignment="1">
      <alignment horizontal="right"/>
    </xf>
    <xf numFmtId="165" fontId="29" fillId="0" borderId="19" xfId="0" applyNumberFormat="1" applyFont="1" applyBorder="1" applyAlignment="1">
      <alignment horizontal="right"/>
    </xf>
    <xf numFmtId="165" fontId="29" fillId="0" borderId="19" xfId="1" applyNumberFormat="1" applyFont="1" applyBorder="1" applyAlignment="1">
      <alignment horizontal="right"/>
    </xf>
    <xf numFmtId="165" fontId="29" fillId="0" borderId="18" xfId="0" applyNumberFormat="1" applyFont="1" applyBorder="1" applyAlignment="1">
      <alignment horizontal="right"/>
    </xf>
    <xf numFmtId="171" fontId="29" fillId="0" borderId="19" xfId="1" applyNumberFormat="1" applyFont="1" applyBorder="1" applyAlignment="1">
      <alignment horizontal="right"/>
    </xf>
    <xf numFmtId="43" fontId="19" fillId="0" borderId="3" xfId="1" applyFont="1" applyFill="1" applyBorder="1"/>
    <xf numFmtId="43" fontId="10" fillId="0" borderId="8" xfId="1" applyFont="1" applyFill="1" applyBorder="1" applyAlignment="1">
      <alignment horizontal="left"/>
    </xf>
    <xf numFmtId="43" fontId="11" fillId="0" borderId="6" xfId="1" applyFont="1" applyFill="1" applyBorder="1" applyAlignment="1">
      <alignment horizontal="left"/>
    </xf>
    <xf numFmtId="43" fontId="19" fillId="0" borderId="66" xfId="0" applyNumberFormat="1" applyFont="1" applyFill="1" applyBorder="1"/>
    <xf numFmtId="43" fontId="29" fillId="0" borderId="7" xfId="1" applyFont="1" applyBorder="1"/>
    <xf numFmtId="0" fontId="45" fillId="0" borderId="0" xfId="0" applyFont="1"/>
    <xf numFmtId="0" fontId="19" fillId="0" borderId="14" xfId="0" applyFont="1" applyBorder="1"/>
    <xf numFmtId="165" fontId="19" fillId="0" borderId="14" xfId="0" applyNumberFormat="1" applyFont="1" applyBorder="1"/>
    <xf numFmtId="174" fontId="32" fillId="0" borderId="1" xfId="0" applyNumberFormat="1" applyFont="1" applyBorder="1"/>
    <xf numFmtId="174" fontId="32" fillId="0" borderId="7" xfId="0" applyNumberFormat="1" applyFont="1" applyBorder="1"/>
    <xf numFmtId="0" fontId="19" fillId="0" borderId="33" xfId="0" applyFont="1" applyFill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19" fillId="0" borderId="30" xfId="0" applyFont="1" applyFill="1" applyBorder="1" applyAlignment="1">
      <alignment horizontal="center"/>
    </xf>
    <xf numFmtId="43" fontId="19" fillId="0" borderId="22" xfId="1" applyFont="1" applyFill="1" applyBorder="1" applyAlignment="1">
      <alignment horizontal="center"/>
    </xf>
    <xf numFmtId="43" fontId="19" fillId="0" borderId="22" xfId="2" applyFont="1" applyFill="1" applyBorder="1"/>
    <xf numFmtId="43" fontId="29" fillId="0" borderId="17" xfId="1" applyFont="1" applyBorder="1"/>
    <xf numFmtId="43" fontId="19" fillId="0" borderId="23" xfId="1" applyFont="1" applyFill="1" applyBorder="1" applyAlignment="1">
      <alignment horizontal="center"/>
    </xf>
    <xf numFmtId="168" fontId="32" fillId="0" borderId="19" xfId="1" applyNumberFormat="1" applyFont="1" applyBorder="1"/>
    <xf numFmtId="43" fontId="19" fillId="0" borderId="24" xfId="7" applyFont="1" applyFill="1" applyBorder="1"/>
    <xf numFmtId="165" fontId="29" fillId="0" borderId="7" xfId="0" applyNumberFormat="1" applyFont="1" applyBorder="1"/>
    <xf numFmtId="43" fontId="19" fillId="0" borderId="24" xfId="5" applyFont="1" applyFill="1" applyBorder="1"/>
    <xf numFmtId="43" fontId="19" fillId="0" borderId="24" xfId="6" applyFont="1" applyFill="1" applyBorder="1"/>
    <xf numFmtId="43" fontId="19" fillId="0" borderId="24" xfId="4" applyFont="1" applyFill="1" applyBorder="1"/>
    <xf numFmtId="43" fontId="19" fillId="0" borderId="24" xfId="3" applyFont="1" applyFill="1" applyBorder="1"/>
    <xf numFmtId="43" fontId="19" fillId="0" borderId="16" xfId="4" applyFont="1" applyFill="1" applyBorder="1"/>
    <xf numFmtId="43" fontId="34" fillId="0" borderId="52" xfId="1" applyFont="1" applyFill="1" applyBorder="1"/>
    <xf numFmtId="43" fontId="34" fillId="0" borderId="78" xfId="1" applyFont="1" applyFill="1" applyBorder="1"/>
    <xf numFmtId="43" fontId="32" fillId="0" borderId="6" xfId="0" applyNumberFormat="1" applyFont="1" applyBorder="1"/>
    <xf numFmtId="43" fontId="19" fillId="0" borderId="65" xfId="1" applyFont="1" applyFill="1" applyBorder="1"/>
    <xf numFmtId="0" fontId="19" fillId="0" borderId="8" xfId="0" applyFont="1" applyBorder="1" applyAlignment="1">
      <alignment horizontal="left"/>
    </xf>
    <xf numFmtId="14" fontId="19" fillId="0" borderId="8" xfId="0" applyNumberFormat="1" applyFont="1" applyBorder="1" applyAlignment="1">
      <alignment horizontal="center"/>
    </xf>
    <xf numFmtId="165" fontId="19" fillId="0" borderId="9" xfId="0" applyNumberFormat="1" applyFont="1" applyBorder="1" applyAlignment="1">
      <alignment horizontal="center"/>
    </xf>
    <xf numFmtId="167" fontId="19" fillId="0" borderId="6" xfId="0" applyNumberFormat="1" applyFont="1" applyFill="1" applyBorder="1" applyAlignment="1">
      <alignment horizontal="center"/>
    </xf>
    <xf numFmtId="167" fontId="19" fillId="0" borderId="6" xfId="0" applyNumberFormat="1" applyFont="1" applyFill="1" applyBorder="1"/>
    <xf numFmtId="167" fontId="19" fillId="0" borderId="8" xfId="0" applyNumberFormat="1" applyFont="1" applyFill="1" applyBorder="1" applyAlignment="1">
      <alignment horizontal="right"/>
    </xf>
    <xf numFmtId="174" fontId="32" fillId="0" borderId="5" xfId="0" applyNumberFormat="1" applyFont="1" applyBorder="1"/>
    <xf numFmtId="43" fontId="32" fillId="0" borderId="62" xfId="1" applyFont="1" applyBorder="1"/>
    <xf numFmtId="43" fontId="34" fillId="0" borderId="19" xfId="4" applyFont="1" applyFill="1" applyBorder="1"/>
    <xf numFmtId="43" fontId="34" fillId="0" borderId="22" xfId="5" applyFont="1" applyFill="1" applyBorder="1"/>
    <xf numFmtId="43" fontId="34" fillId="0" borderId="76" xfId="5" applyFont="1" applyFill="1" applyBorder="1"/>
    <xf numFmtId="165" fontId="34" fillId="0" borderId="23" xfId="0" applyNumberFormat="1" applyFont="1" applyBorder="1"/>
    <xf numFmtId="43" fontId="34" fillId="0" borderId="62" xfId="7" applyFont="1" applyFill="1" applyBorder="1"/>
    <xf numFmtId="43" fontId="19" fillId="0" borderId="6" xfId="7" applyFont="1" applyFill="1" applyBorder="1"/>
    <xf numFmtId="43" fontId="34" fillId="0" borderId="6" xfId="1" applyFont="1" applyFill="1" applyBorder="1"/>
    <xf numFmtId="14" fontId="19" fillId="0" borderId="35" xfId="0" applyNumberFormat="1" applyFont="1" applyFill="1" applyBorder="1" applyAlignment="1">
      <alignment horizontal="center"/>
    </xf>
    <xf numFmtId="43" fontId="19" fillId="0" borderId="6" xfId="2" applyFont="1" applyFill="1" applyBorder="1"/>
    <xf numFmtId="43" fontId="19" fillId="0" borderId="38" xfId="2" applyFont="1" applyFill="1" applyBorder="1"/>
    <xf numFmtId="43" fontId="19" fillId="0" borderId="59" xfId="1" applyFont="1" applyFill="1" applyBorder="1"/>
    <xf numFmtId="0" fontId="3" fillId="0" borderId="0" xfId="0" applyFont="1" applyFill="1" applyBorder="1" applyAlignment="1">
      <alignment horizontal="left"/>
    </xf>
    <xf numFmtId="0" fontId="0" fillId="0" borderId="19" xfId="0" applyBorder="1"/>
    <xf numFmtId="166" fontId="32" fillId="0" borderId="24" xfId="0" applyNumberFormat="1" applyFont="1" applyBorder="1"/>
    <xf numFmtId="43" fontId="32" fillId="0" borderId="19" xfId="0" applyNumberFormat="1" applyFont="1" applyBorder="1"/>
    <xf numFmtId="0" fontId="34" fillId="0" borderId="6" xfId="0" applyFont="1" applyBorder="1"/>
    <xf numFmtId="0" fontId="34" fillId="0" borderId="1" xfId="0" applyNumberFormat="1" applyFont="1" applyBorder="1"/>
    <xf numFmtId="167" fontId="0" fillId="0" borderId="7" xfId="0" applyNumberFormat="1" applyFont="1" applyBorder="1"/>
    <xf numFmtId="167" fontId="0" fillId="0" borderId="0" xfId="0" applyNumberFormat="1" applyFont="1" applyBorder="1" applyAlignment="1">
      <alignment horizontal="center"/>
    </xf>
    <xf numFmtId="167" fontId="0" fillId="0" borderId="7" xfId="0" applyNumberFormat="1" applyFont="1" applyBorder="1" applyAlignment="1">
      <alignment horizontal="center"/>
    </xf>
    <xf numFmtId="14" fontId="0" fillId="0" borderId="41" xfId="0" applyNumberFormat="1" applyBorder="1"/>
    <xf numFmtId="14" fontId="0" fillId="0" borderId="5" xfId="0" applyNumberFormat="1" applyBorder="1"/>
    <xf numFmtId="43" fontId="19" fillId="0" borderId="69" xfId="5" applyFont="1" applyFill="1" applyBorder="1"/>
    <xf numFmtId="43" fontId="19" fillId="0" borderId="3" xfId="5" applyFont="1" applyFill="1" applyBorder="1"/>
    <xf numFmtId="43" fontId="34" fillId="0" borderId="19" xfId="5" applyFont="1" applyFill="1" applyBorder="1"/>
    <xf numFmtId="43" fontId="27" fillId="0" borderId="3" xfId="1" applyFont="1" applyBorder="1"/>
    <xf numFmtId="43" fontId="19" fillId="0" borderId="69" xfId="4" applyFont="1" applyFill="1" applyBorder="1"/>
    <xf numFmtId="43" fontId="34" fillId="0" borderId="19" xfId="3" applyFont="1" applyFill="1" applyBorder="1"/>
    <xf numFmtId="43" fontId="19" fillId="0" borderId="19" xfId="3" applyFont="1" applyFill="1" applyBorder="1"/>
    <xf numFmtId="43" fontId="34" fillId="0" borderId="24" xfId="3" applyFont="1" applyFill="1" applyBorder="1"/>
    <xf numFmtId="43" fontId="19" fillId="0" borderId="51" xfId="3" applyFont="1" applyFill="1" applyBorder="1"/>
    <xf numFmtId="43" fontId="19" fillId="0" borderId="35" xfId="4" applyFont="1" applyFill="1" applyBorder="1"/>
    <xf numFmtId="43" fontId="34" fillId="0" borderId="76" xfId="3" applyFont="1" applyFill="1" applyBorder="1"/>
    <xf numFmtId="43" fontId="19" fillId="0" borderId="76" xfId="3" applyFont="1" applyFill="1" applyBorder="1"/>
    <xf numFmtId="43" fontId="34" fillId="0" borderId="77" xfId="3" applyFont="1" applyFill="1" applyBorder="1"/>
    <xf numFmtId="43" fontId="7" fillId="0" borderId="1" xfId="1" applyFont="1" applyBorder="1" applyAlignment="1">
      <alignment horizontal="left"/>
    </xf>
    <xf numFmtId="43" fontId="11" fillId="0" borderId="1" xfId="1" applyFont="1" applyFill="1" applyBorder="1" applyAlignment="1">
      <alignment horizontal="left"/>
    </xf>
    <xf numFmtId="43" fontId="42" fillId="0" borderId="76" xfId="5" applyFont="1" applyFill="1" applyBorder="1"/>
    <xf numFmtId="43" fontId="42" fillId="0" borderId="76" xfId="4" applyFont="1" applyFill="1" applyBorder="1"/>
    <xf numFmtId="43" fontId="42" fillId="0" borderId="76" xfId="2" applyFont="1" applyFill="1" applyBorder="1"/>
    <xf numFmtId="43" fontId="42" fillId="0" borderId="76" xfId="7" applyFont="1" applyFill="1" applyBorder="1"/>
    <xf numFmtId="43" fontId="42" fillId="0" borderId="76" xfId="3" applyFont="1" applyFill="1" applyBorder="1"/>
    <xf numFmtId="43" fontId="11" fillId="0" borderId="19" xfId="1" applyFont="1" applyFill="1" applyBorder="1" applyAlignment="1">
      <alignment horizontal="left"/>
    </xf>
    <xf numFmtId="165" fontId="32" fillId="0" borderId="6" xfId="0" applyNumberFormat="1" applyFont="1" applyBorder="1"/>
    <xf numFmtId="43" fontId="42" fillId="0" borderId="35" xfId="4" applyFont="1" applyFill="1" applyBorder="1"/>
    <xf numFmtId="43" fontId="42" fillId="0" borderId="62" xfId="4" applyFont="1" applyFill="1" applyBorder="1"/>
    <xf numFmtId="43" fontId="5" fillId="0" borderId="22" xfId="0" applyNumberFormat="1" applyFont="1" applyBorder="1"/>
    <xf numFmtId="43" fontId="34" fillId="0" borderId="22" xfId="4" applyFont="1" applyFill="1" applyBorder="1"/>
    <xf numFmtId="43" fontId="32" fillId="0" borderId="22" xfId="1" applyFont="1" applyBorder="1"/>
    <xf numFmtId="43" fontId="5" fillId="0" borderId="76" xfId="1" applyFont="1" applyBorder="1"/>
    <xf numFmtId="43" fontId="5" fillId="0" borderId="76" xfId="0" applyNumberFormat="1" applyFont="1" applyBorder="1"/>
    <xf numFmtId="43" fontId="42" fillId="0" borderId="62" xfId="5" applyFont="1" applyFill="1" applyBorder="1"/>
    <xf numFmtId="43" fontId="42" fillId="0" borderId="66" xfId="5" applyFont="1" applyFill="1" applyBorder="1"/>
    <xf numFmtId="14" fontId="5" fillId="0" borderId="52" xfId="1" applyNumberFormat="1" applyFont="1" applyBorder="1"/>
    <xf numFmtId="43" fontId="5" fillId="0" borderId="19" xfId="1" applyFont="1" applyBorder="1"/>
    <xf numFmtId="14" fontId="34" fillId="0" borderId="19" xfId="5" applyNumberFormat="1" applyFont="1" applyFill="1" applyBorder="1"/>
    <xf numFmtId="43" fontId="29" fillId="0" borderId="19" xfId="1" applyFont="1" applyBorder="1" applyAlignment="1">
      <alignment horizontal="center"/>
    </xf>
    <xf numFmtId="43" fontId="34" fillId="0" borderId="35" xfId="5" applyFont="1" applyFill="1" applyBorder="1"/>
    <xf numFmtId="43" fontId="34" fillId="0" borderId="62" xfId="5" applyFont="1" applyFill="1" applyBorder="1"/>
    <xf numFmtId="43" fontId="31" fillId="0" borderId="61" xfId="0" applyNumberFormat="1" applyFont="1" applyBorder="1"/>
    <xf numFmtId="43" fontId="31" fillId="0" borderId="16" xfId="0" applyNumberFormat="1" applyFont="1" applyBorder="1"/>
    <xf numFmtId="43" fontId="31" fillId="0" borderId="14" xfId="0" applyNumberFormat="1" applyFont="1" applyBorder="1"/>
    <xf numFmtId="43" fontId="31" fillId="0" borderId="56" xfId="0" applyNumberFormat="1" applyFont="1" applyBorder="1"/>
    <xf numFmtId="165" fontId="42" fillId="0" borderId="23" xfId="0" applyNumberFormat="1" applyFont="1" applyBorder="1"/>
    <xf numFmtId="43" fontId="42" fillId="0" borderId="48" xfId="5" applyFont="1" applyFill="1" applyBorder="1"/>
    <xf numFmtId="43" fontId="42" fillId="0" borderId="51" xfId="5" applyFont="1" applyFill="1" applyBorder="1"/>
    <xf numFmtId="43" fontId="5" fillId="0" borderId="23" xfId="0" applyNumberFormat="1" applyFont="1" applyBorder="1"/>
    <xf numFmtId="14" fontId="5" fillId="0" borderId="51" xfId="1" applyNumberFormat="1" applyFont="1" applyBorder="1"/>
    <xf numFmtId="43" fontId="34" fillId="0" borderId="66" xfId="5" applyFont="1" applyFill="1" applyBorder="1"/>
    <xf numFmtId="171" fontId="46" fillId="0" borderId="22" xfId="0" applyNumberFormat="1" applyFont="1" applyBorder="1"/>
    <xf numFmtId="171" fontId="47" fillId="0" borderId="2" xfId="0" applyNumberFormat="1" applyFont="1" applyBorder="1"/>
    <xf numFmtId="0" fontId="19" fillId="0" borderId="64" xfId="0" applyFont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43" fontId="11" fillId="0" borderId="8" xfId="1" applyFont="1" applyFill="1" applyBorder="1" applyAlignment="1">
      <alignment horizontal="left"/>
    </xf>
    <xf numFmtId="14" fontId="19" fillId="0" borderId="19" xfId="0" applyNumberFormat="1" applyFont="1" applyFill="1" applyBorder="1" applyAlignment="1">
      <alignment horizontal="center"/>
    </xf>
    <xf numFmtId="165" fontId="29" fillId="0" borderId="6" xfId="0" applyNumberFormat="1" applyFont="1" applyBorder="1"/>
    <xf numFmtId="165" fontId="29" fillId="0" borderId="38" xfId="0" applyNumberFormat="1" applyFont="1" applyBorder="1"/>
    <xf numFmtId="43" fontId="29" fillId="0" borderId="49" xfId="1" applyFont="1" applyBorder="1"/>
    <xf numFmtId="0" fontId="32" fillId="0" borderId="79" xfId="0" applyFont="1" applyBorder="1" applyAlignment="1">
      <alignment horizontal="center"/>
    </xf>
    <xf numFmtId="0" fontId="32" fillId="0" borderId="65" xfId="0" applyFont="1" applyBorder="1" applyAlignment="1">
      <alignment horizontal="center"/>
    </xf>
    <xf numFmtId="43" fontId="29" fillId="0" borderId="71" xfId="1" applyFont="1" applyBorder="1" applyAlignment="1">
      <alignment horizontal="center"/>
    </xf>
    <xf numFmtId="171" fontId="29" fillId="0" borderId="6" xfId="1" applyNumberFormat="1" applyFont="1" applyBorder="1" applyAlignment="1">
      <alignment horizontal="left"/>
    </xf>
    <xf numFmtId="0" fontId="32" fillId="0" borderId="45" xfId="0" applyFont="1" applyBorder="1" applyAlignment="1">
      <alignment horizontal="center"/>
    </xf>
    <xf numFmtId="43" fontId="29" fillId="0" borderId="51" xfId="1" applyFont="1" applyBorder="1" applyAlignment="1">
      <alignment horizontal="center"/>
    </xf>
    <xf numFmtId="43" fontId="22" fillId="0" borderId="1" xfId="1" applyFont="1" applyFill="1" applyBorder="1"/>
    <xf numFmtId="43" fontId="19" fillId="0" borderId="44" xfId="1" applyFont="1" applyFill="1" applyBorder="1"/>
    <xf numFmtId="43" fontId="29" fillId="0" borderId="22" xfId="1" applyFont="1" applyBorder="1" applyAlignment="1">
      <alignment horizontal="center"/>
    </xf>
    <xf numFmtId="43" fontId="19" fillId="0" borderId="23" xfId="3" applyFont="1" applyFill="1" applyBorder="1" applyAlignment="1">
      <alignment horizontal="center"/>
    </xf>
    <xf numFmtId="0" fontId="42" fillId="0" borderId="8" xfId="0" applyFont="1" applyFill="1" applyBorder="1"/>
    <xf numFmtId="0" fontId="19" fillId="0" borderId="33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43" fontId="19" fillId="0" borderId="18" xfId="7" applyFont="1" applyFill="1" applyBorder="1"/>
    <xf numFmtId="43" fontId="19" fillId="0" borderId="77" xfId="4" applyFont="1" applyFill="1" applyBorder="1"/>
    <xf numFmtId="43" fontId="19" fillId="0" borderId="18" xfId="4" applyFont="1" applyFill="1" applyBorder="1"/>
    <xf numFmtId="43" fontId="19" fillId="0" borderId="6" xfId="4" applyFont="1" applyFill="1" applyBorder="1"/>
    <xf numFmtId="14" fontId="19" fillId="0" borderId="10" xfId="0" applyNumberFormat="1" applyFont="1" applyBorder="1" applyAlignment="1">
      <alignment horizontal="right"/>
    </xf>
    <xf numFmtId="0" fontId="19" fillId="0" borderId="19" xfId="0" applyFont="1" applyBorder="1"/>
    <xf numFmtId="43" fontId="19" fillId="0" borderId="22" xfId="4" applyFont="1" applyFill="1" applyBorder="1"/>
    <xf numFmtId="43" fontId="19" fillId="0" borderId="23" xfId="4" applyFont="1" applyFill="1" applyBorder="1"/>
    <xf numFmtId="43" fontId="34" fillId="0" borderId="76" xfId="1" applyFont="1" applyFill="1" applyBorder="1" applyAlignment="1">
      <alignment horizontal="center"/>
    </xf>
    <xf numFmtId="43" fontId="19" fillId="0" borderId="34" xfId="5" applyFont="1" applyFill="1" applyBorder="1"/>
    <xf numFmtId="43" fontId="34" fillId="0" borderId="24" xfId="3" applyFont="1" applyFill="1" applyBorder="1" applyAlignment="1">
      <alignment horizontal="center"/>
    </xf>
    <xf numFmtId="43" fontId="34" fillId="0" borderId="24" xfId="5" applyFont="1" applyFill="1" applyBorder="1"/>
    <xf numFmtId="43" fontId="19" fillId="0" borderId="4" xfId="5" applyFont="1" applyFill="1" applyBorder="1"/>
    <xf numFmtId="43" fontId="19" fillId="0" borderId="41" xfId="5" applyFont="1" applyFill="1" applyBorder="1"/>
    <xf numFmtId="43" fontId="19" fillId="0" borderId="13" xfId="1" applyFont="1" applyFill="1" applyBorder="1"/>
    <xf numFmtId="165" fontId="32" fillId="0" borderId="19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43" fontId="4" fillId="0" borderId="0" xfId="1" applyNumberFormat="1" applyFont="1" applyFill="1" applyBorder="1" applyAlignment="1">
      <alignment horizontal="left"/>
    </xf>
    <xf numFmtId="43" fontId="0" fillId="0" borderId="0" xfId="0" applyNumberFormat="1" applyFill="1" applyAlignment="1">
      <alignment horizontal="left"/>
    </xf>
    <xf numFmtId="0" fontId="19" fillId="0" borderId="0" xfId="0" applyFont="1" applyBorder="1" applyAlignment="1">
      <alignment horizontal="center"/>
    </xf>
    <xf numFmtId="165" fontId="32" fillId="0" borderId="5" xfId="0" applyNumberFormat="1" applyFont="1" applyBorder="1" applyAlignment="1">
      <alignment horizontal="right"/>
    </xf>
    <xf numFmtId="0" fontId="30" fillId="0" borderId="0" xfId="0" applyFont="1"/>
    <xf numFmtId="43" fontId="34" fillId="0" borderId="66" xfId="1" applyFont="1" applyFill="1" applyBorder="1"/>
    <xf numFmtId="0" fontId="5" fillId="0" borderId="65" xfId="0" applyFont="1" applyBorder="1"/>
    <xf numFmtId="0" fontId="19" fillId="0" borderId="31" xfId="0" applyFont="1" applyFill="1" applyBorder="1" applyAlignment="1">
      <alignment horizontal="center"/>
    </xf>
    <xf numFmtId="14" fontId="19" fillId="0" borderId="7" xfId="0" applyNumberFormat="1" applyFont="1" applyBorder="1"/>
    <xf numFmtId="43" fontId="29" fillId="0" borderId="36" xfId="1" applyFont="1" applyBorder="1" applyAlignment="1">
      <alignment horizontal="right"/>
    </xf>
    <xf numFmtId="43" fontId="29" fillId="0" borderId="22" xfId="1" applyFont="1" applyBorder="1" applyAlignment="1">
      <alignment horizontal="right"/>
    </xf>
    <xf numFmtId="169" fontId="19" fillId="0" borderId="77" xfId="0" applyNumberFormat="1" applyFont="1" applyFill="1" applyBorder="1" applyAlignment="1">
      <alignment horizontal="left"/>
    </xf>
    <xf numFmtId="43" fontId="29" fillId="0" borderId="24" xfId="1" applyFont="1" applyBorder="1" applyAlignment="1">
      <alignment horizontal="right"/>
    </xf>
    <xf numFmtId="169" fontId="19" fillId="0" borderId="49" xfId="0" applyNumberFormat="1" applyFont="1" applyFill="1" applyBorder="1" applyAlignment="1">
      <alignment horizontal="left"/>
    </xf>
    <xf numFmtId="169" fontId="19" fillId="0" borderId="76" xfId="0" applyNumberFormat="1" applyFont="1" applyFill="1" applyBorder="1" applyAlignment="1">
      <alignment horizontal="left"/>
    </xf>
    <xf numFmtId="165" fontId="29" fillId="0" borderId="76" xfId="0" applyNumberFormat="1" applyFont="1" applyBorder="1" applyAlignment="1">
      <alignment horizontal="left"/>
    </xf>
    <xf numFmtId="43" fontId="29" fillId="0" borderId="22" xfId="1" applyNumberFormat="1" applyFont="1" applyBorder="1" applyAlignment="1">
      <alignment horizontal="right"/>
    </xf>
    <xf numFmtId="165" fontId="19" fillId="0" borderId="7" xfId="0" applyNumberFormat="1" applyFont="1" applyBorder="1"/>
    <xf numFmtId="165" fontId="19" fillId="0" borderId="2" xfId="0" applyNumberFormat="1" applyFont="1" applyBorder="1"/>
    <xf numFmtId="43" fontId="19" fillId="0" borderId="3" xfId="7" applyFont="1" applyFill="1" applyBorder="1"/>
    <xf numFmtId="169" fontId="19" fillId="0" borderId="75" xfId="0" applyNumberFormat="1" applyFont="1" applyFill="1" applyBorder="1" applyAlignment="1">
      <alignment horizontal="left"/>
    </xf>
    <xf numFmtId="43" fontId="29" fillId="0" borderId="2" xfId="1" applyFont="1" applyBorder="1" applyAlignment="1">
      <alignment horizontal="right"/>
    </xf>
    <xf numFmtId="169" fontId="19" fillId="0" borderId="62" xfId="0" applyNumberFormat="1" applyFont="1" applyFill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32" fillId="0" borderId="69" xfId="0" applyFont="1" applyBorder="1" applyAlignment="1">
      <alignment horizontal="left"/>
    </xf>
    <xf numFmtId="0" fontId="32" fillId="0" borderId="51" xfId="0" applyFont="1" applyBorder="1" applyAlignment="1">
      <alignment horizontal="left"/>
    </xf>
    <xf numFmtId="165" fontId="29" fillId="0" borderId="19" xfId="0" applyNumberFormat="1" applyFont="1" applyBorder="1" applyAlignment="1">
      <alignment horizontal="left"/>
    </xf>
    <xf numFmtId="14" fontId="29" fillId="0" borderId="19" xfId="1" applyNumberFormat="1" applyFont="1" applyBorder="1" applyAlignment="1">
      <alignment horizontal="left"/>
    </xf>
    <xf numFmtId="165" fontId="32" fillId="0" borderId="0" xfId="0" applyNumberFormat="1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16" xfId="0" applyFont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9" fillId="0" borderId="16" xfId="0" applyFont="1" applyFill="1" applyBorder="1" applyAlignment="1">
      <alignment horizontal="left"/>
    </xf>
    <xf numFmtId="169" fontId="19" fillId="0" borderId="18" xfId="0" applyNumberFormat="1" applyFont="1" applyFill="1" applyBorder="1" applyAlignment="1">
      <alignment horizontal="left"/>
    </xf>
    <xf numFmtId="169" fontId="19" fillId="0" borderId="19" xfId="0" applyNumberFormat="1" applyFont="1" applyFill="1" applyBorder="1" applyAlignment="1">
      <alignment horizontal="left"/>
    </xf>
    <xf numFmtId="170" fontId="19" fillId="0" borderId="19" xfId="0" applyNumberFormat="1" applyFont="1" applyFill="1" applyBorder="1" applyAlignment="1">
      <alignment horizontal="left"/>
    </xf>
    <xf numFmtId="0" fontId="19" fillId="0" borderId="18" xfId="0" applyFont="1" applyFill="1" applyBorder="1" applyAlignment="1">
      <alignment horizontal="left"/>
    </xf>
    <xf numFmtId="0" fontId="32" fillId="0" borderId="12" xfId="0" applyFont="1" applyBorder="1" applyAlignment="1">
      <alignment horizontal="left"/>
    </xf>
    <xf numFmtId="0" fontId="32" fillId="0" borderId="41" xfId="0" applyFont="1" applyBorder="1" applyAlignment="1">
      <alignment horizontal="left"/>
    </xf>
    <xf numFmtId="165" fontId="29" fillId="0" borderId="18" xfId="0" applyNumberFormat="1" applyFont="1" applyBorder="1" applyAlignment="1">
      <alignment horizontal="left"/>
    </xf>
    <xf numFmtId="14" fontId="19" fillId="0" borderId="19" xfId="1" applyNumberFormat="1" applyFont="1" applyFill="1" applyBorder="1" applyAlignment="1">
      <alignment horizontal="left"/>
    </xf>
    <xf numFmtId="165" fontId="29" fillId="0" borderId="1" xfId="0" applyNumberFormat="1" applyFont="1" applyBorder="1" applyAlignment="1">
      <alignment horizontal="left"/>
    </xf>
    <xf numFmtId="165" fontId="19" fillId="0" borderId="1" xfId="1" applyNumberFormat="1" applyFont="1" applyFill="1" applyBorder="1" applyAlignment="1">
      <alignment horizontal="left"/>
    </xf>
    <xf numFmtId="165" fontId="29" fillId="0" borderId="5" xfId="0" applyNumberFormat="1" applyFont="1" applyBorder="1" applyAlignment="1">
      <alignment horizontal="left"/>
    </xf>
    <xf numFmtId="0" fontId="29" fillId="0" borderId="18" xfId="0" applyFont="1" applyBorder="1" applyAlignment="1">
      <alignment horizontal="left"/>
    </xf>
    <xf numFmtId="43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9" fillId="0" borderId="27" xfId="0" applyFont="1" applyFill="1" applyBorder="1" applyAlignment="1">
      <alignment horizontal="left"/>
    </xf>
    <xf numFmtId="0" fontId="19" fillId="0" borderId="66" xfId="0" applyFont="1" applyFill="1" applyBorder="1" applyAlignment="1">
      <alignment horizontal="left"/>
    </xf>
    <xf numFmtId="170" fontId="19" fillId="0" borderId="76" xfId="0" applyNumberFormat="1" applyFont="1" applyFill="1" applyBorder="1" applyAlignment="1">
      <alignment horizontal="left"/>
    </xf>
    <xf numFmtId="14" fontId="29" fillId="0" borderId="76" xfId="1" applyNumberFormat="1" applyFont="1" applyBorder="1" applyAlignment="1">
      <alignment horizontal="left"/>
    </xf>
    <xf numFmtId="165" fontId="19" fillId="0" borderId="76" xfId="1" applyNumberFormat="1" applyFont="1" applyFill="1" applyBorder="1" applyAlignment="1">
      <alignment horizontal="left"/>
    </xf>
    <xf numFmtId="43" fontId="19" fillId="0" borderId="32" xfId="1" applyFont="1" applyFill="1" applyBorder="1"/>
    <xf numFmtId="171" fontId="19" fillId="0" borderId="25" xfId="1" applyNumberFormat="1" applyFont="1" applyFill="1" applyBorder="1"/>
    <xf numFmtId="171" fontId="19" fillId="0" borderId="18" xfId="1" applyNumberFormat="1" applyFont="1" applyFill="1" applyBorder="1"/>
    <xf numFmtId="171" fontId="19" fillId="0" borderId="19" xfId="1" applyNumberFormat="1" applyFont="1" applyFill="1" applyBorder="1"/>
    <xf numFmtId="0" fontId="19" fillId="0" borderId="0" xfId="0" applyFont="1" applyBorder="1" applyAlignment="1">
      <alignment horizontal="left"/>
    </xf>
    <xf numFmtId="0" fontId="19" fillId="0" borderId="26" xfId="0" applyFont="1" applyFill="1" applyBorder="1" applyAlignment="1">
      <alignment horizontal="left"/>
    </xf>
    <xf numFmtId="0" fontId="19" fillId="0" borderId="71" xfId="0" applyFont="1" applyFill="1" applyBorder="1" applyAlignment="1">
      <alignment horizontal="left"/>
    </xf>
    <xf numFmtId="169" fontId="34" fillId="0" borderId="76" xfId="0" applyNumberFormat="1" applyFont="1" applyFill="1" applyBorder="1" applyAlignment="1">
      <alignment horizontal="left"/>
    </xf>
    <xf numFmtId="0" fontId="37" fillId="0" borderId="0" xfId="0" applyFont="1" applyAlignment="1">
      <alignment horizontal="left"/>
    </xf>
    <xf numFmtId="0" fontId="19" fillId="0" borderId="3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9" fontId="34" fillId="0" borderId="19" xfId="0" applyNumberFormat="1" applyFont="1" applyFill="1" applyBorder="1" applyAlignment="1">
      <alignment horizontal="left"/>
    </xf>
    <xf numFmtId="169" fontId="34" fillId="0" borderId="72" xfId="0" applyNumberFormat="1" applyFont="1" applyFill="1" applyBorder="1" applyAlignment="1">
      <alignment horizontal="left"/>
    </xf>
    <xf numFmtId="0" fontId="19" fillId="0" borderId="31" xfId="0" applyFont="1" applyFill="1" applyBorder="1" applyAlignment="1">
      <alignment horizontal="left"/>
    </xf>
    <xf numFmtId="0" fontId="19" fillId="0" borderId="54" xfId="0" applyFont="1" applyFill="1" applyBorder="1" applyAlignment="1">
      <alignment horizontal="left"/>
    </xf>
    <xf numFmtId="14" fontId="19" fillId="0" borderId="18" xfId="0" applyNumberFormat="1" applyFont="1" applyFill="1" applyBorder="1" applyAlignment="1">
      <alignment horizontal="left"/>
    </xf>
    <xf numFmtId="169" fontId="34" fillId="0" borderId="5" xfId="0" applyNumberFormat="1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169" fontId="19" fillId="0" borderId="35" xfId="0" applyNumberFormat="1" applyFont="1" applyFill="1" applyBorder="1" applyAlignment="1">
      <alignment horizontal="left"/>
    </xf>
    <xf numFmtId="169" fontId="19" fillId="0" borderId="1" xfId="0" applyNumberFormat="1" applyFont="1" applyFill="1" applyBorder="1" applyAlignment="1">
      <alignment horizontal="left"/>
    </xf>
    <xf numFmtId="169" fontId="34" fillId="0" borderId="1" xfId="0" applyNumberFormat="1" applyFont="1" applyFill="1" applyBorder="1" applyAlignment="1">
      <alignment horizontal="left"/>
    </xf>
    <xf numFmtId="169" fontId="19" fillId="0" borderId="44" xfId="0" applyNumberFormat="1" applyFont="1" applyFill="1" applyBorder="1" applyAlignment="1">
      <alignment horizontal="left"/>
    </xf>
    <xf numFmtId="43" fontId="11" fillId="0" borderId="0" xfId="1" applyFont="1" applyFill="1" applyBorder="1" applyAlignment="1">
      <alignment horizontal="left"/>
    </xf>
    <xf numFmtId="43" fontId="10" fillId="0" borderId="0" xfId="0" applyNumberFormat="1" applyFont="1" applyFill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29" fillId="0" borderId="25" xfId="0" applyFont="1" applyFill="1" applyBorder="1" applyAlignment="1"/>
    <xf numFmtId="0" fontId="29" fillId="0" borderId="57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center"/>
    </xf>
    <xf numFmtId="0" fontId="29" fillId="0" borderId="34" xfId="0" applyFont="1" applyFill="1" applyBorder="1" applyAlignment="1">
      <alignment horizontal="center"/>
    </xf>
    <xf numFmtId="0" fontId="29" fillId="0" borderId="66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center"/>
    </xf>
    <xf numFmtId="0" fontId="29" fillId="0" borderId="54" xfId="0" applyFont="1" applyFill="1" applyBorder="1" applyAlignment="1">
      <alignment horizontal="center"/>
    </xf>
    <xf numFmtId="0" fontId="29" fillId="0" borderId="27" xfId="0" applyFont="1" applyFill="1" applyBorder="1" applyAlignment="1">
      <alignment horizontal="center"/>
    </xf>
    <xf numFmtId="0" fontId="29" fillId="0" borderId="16" xfId="0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29" fillId="0" borderId="41" xfId="0" applyFont="1" applyFill="1" applyBorder="1" applyAlignment="1">
      <alignment horizontal="center"/>
    </xf>
    <xf numFmtId="0" fontId="29" fillId="0" borderId="66" xfId="0" applyFont="1" applyFill="1" applyBorder="1"/>
    <xf numFmtId="0" fontId="29" fillId="0" borderId="32" xfId="0" applyFont="1" applyFill="1" applyBorder="1" applyAlignment="1">
      <alignment horizontal="center"/>
    </xf>
    <xf numFmtId="0" fontId="29" fillId="0" borderId="55" xfId="0" applyFont="1" applyFill="1" applyBorder="1" applyAlignment="1">
      <alignment horizontal="center"/>
    </xf>
    <xf numFmtId="0" fontId="29" fillId="0" borderId="26" xfId="0" applyFont="1" applyFill="1" applyBorder="1" applyAlignment="1">
      <alignment horizontal="center"/>
    </xf>
    <xf numFmtId="0" fontId="29" fillId="0" borderId="30" xfId="0" applyFont="1" applyFill="1" applyBorder="1" applyAlignment="1">
      <alignment horizontal="center"/>
    </xf>
    <xf numFmtId="0" fontId="29" fillId="0" borderId="73" xfId="0" applyFont="1" applyFill="1" applyBorder="1" applyAlignment="1">
      <alignment horizontal="left"/>
    </xf>
    <xf numFmtId="0" fontId="29" fillId="0" borderId="6" xfId="0" applyFont="1" applyFill="1" applyBorder="1" applyAlignment="1"/>
    <xf numFmtId="0" fontId="29" fillId="0" borderId="16" xfId="0" applyFont="1" applyBorder="1"/>
    <xf numFmtId="0" fontId="29" fillId="0" borderId="64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165" fontId="32" fillId="0" borderId="76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7" fontId="27" fillId="0" borderId="0" xfId="0" applyNumberFormat="1" applyFont="1" applyFill="1" applyBorder="1"/>
    <xf numFmtId="167" fontId="5" fillId="0" borderId="0" xfId="0" applyNumberFormat="1" applyFont="1" applyFill="1" applyBorder="1"/>
    <xf numFmtId="165" fontId="34" fillId="0" borderId="1" xfId="0" applyNumberFormat="1" applyFont="1" applyBorder="1" applyAlignment="1">
      <alignment horizontal="right"/>
    </xf>
    <xf numFmtId="165" fontId="32" fillId="0" borderId="7" xfId="0" applyNumberFormat="1" applyFont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7" fontId="5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5" fontId="32" fillId="0" borderId="22" xfId="0" applyNumberFormat="1" applyFont="1" applyBorder="1" applyAlignment="1">
      <alignment horizontal="right"/>
    </xf>
    <xf numFmtId="165" fontId="32" fillId="0" borderId="23" xfId="0" applyNumberFormat="1" applyFont="1" applyBorder="1" applyAlignment="1">
      <alignment horizontal="right"/>
    </xf>
    <xf numFmtId="167" fontId="32" fillId="0" borderId="24" xfId="0" applyNumberFormat="1" applyFont="1" applyBorder="1"/>
    <xf numFmtId="43" fontId="32" fillId="0" borderId="24" xfId="7" applyFont="1" applyFill="1" applyBorder="1"/>
    <xf numFmtId="43" fontId="32" fillId="0" borderId="52" xfId="1" applyFont="1" applyBorder="1" applyAlignment="1">
      <alignment horizontal="right"/>
    </xf>
    <xf numFmtId="169" fontId="32" fillId="0" borderId="77" xfId="0" applyNumberFormat="1" applyFont="1" applyFill="1" applyBorder="1" applyAlignment="1">
      <alignment horizontal="left"/>
    </xf>
    <xf numFmtId="167" fontId="32" fillId="0" borderId="77" xfId="0" applyNumberFormat="1" applyFont="1" applyBorder="1"/>
    <xf numFmtId="167" fontId="32" fillId="0" borderId="24" xfId="7" applyNumberFormat="1" applyFont="1" applyFill="1" applyBorder="1"/>
    <xf numFmtId="167" fontId="32" fillId="0" borderId="77" xfId="7" applyNumberFormat="1" applyFont="1" applyFill="1" applyBorder="1"/>
    <xf numFmtId="167" fontId="32" fillId="0" borderId="77" xfId="1" applyNumberFormat="1" applyFont="1" applyBorder="1"/>
    <xf numFmtId="167" fontId="32" fillId="0" borderId="76" xfId="1" applyNumberFormat="1" applyFont="1" applyBorder="1"/>
    <xf numFmtId="167" fontId="32" fillId="0" borderId="76" xfId="0" applyNumberFormat="1" applyFont="1" applyBorder="1"/>
    <xf numFmtId="43" fontId="32" fillId="0" borderId="76" xfId="7" applyFont="1" applyFill="1" applyBorder="1"/>
    <xf numFmtId="167" fontId="32" fillId="0" borderId="76" xfId="7" applyNumberFormat="1" applyFont="1" applyFill="1" applyBorder="1"/>
    <xf numFmtId="169" fontId="32" fillId="0" borderId="76" xfId="0" applyNumberFormat="1" applyFont="1" applyFill="1" applyBorder="1" applyAlignment="1">
      <alignment horizontal="left"/>
    </xf>
    <xf numFmtId="43" fontId="32" fillId="0" borderId="24" xfId="1" applyFont="1" applyBorder="1"/>
    <xf numFmtId="43" fontId="32" fillId="0" borderId="76" xfId="1" applyFont="1" applyBorder="1" applyAlignment="1">
      <alignment horizontal="right"/>
    </xf>
    <xf numFmtId="167" fontId="32" fillId="0" borderId="24" xfId="1" applyNumberFormat="1" applyFont="1" applyBorder="1"/>
    <xf numFmtId="167" fontId="32" fillId="0" borderId="76" xfId="1" applyNumberFormat="1" applyFont="1" applyBorder="1" applyAlignment="1">
      <alignment horizontal="right"/>
    </xf>
    <xf numFmtId="174" fontId="32" fillId="0" borderId="1" xfId="0" applyNumberFormat="1" applyFont="1" applyBorder="1" applyAlignment="1">
      <alignment horizontal="right"/>
    </xf>
    <xf numFmtId="43" fontId="32" fillId="0" borderId="80" xfId="1" applyFont="1" applyBorder="1"/>
    <xf numFmtId="43" fontId="32" fillId="0" borderId="80" xfId="7" applyFont="1" applyFill="1" applyBorder="1"/>
    <xf numFmtId="43" fontId="32" fillId="0" borderId="75" xfId="7" applyFont="1" applyFill="1" applyBorder="1"/>
    <xf numFmtId="0" fontId="32" fillId="0" borderId="1" xfId="0" applyFont="1" applyFill="1" applyBorder="1"/>
    <xf numFmtId="174" fontId="32" fillId="0" borderId="1" xfId="0" applyNumberFormat="1" applyFont="1" applyFill="1" applyBorder="1"/>
    <xf numFmtId="14" fontId="32" fillId="0" borderId="22" xfId="0" applyNumberFormat="1" applyFont="1" applyBorder="1"/>
    <xf numFmtId="169" fontId="32" fillId="0" borderId="75" xfId="0" applyNumberFormat="1" applyFont="1" applyFill="1" applyBorder="1" applyAlignment="1">
      <alignment horizontal="left"/>
    </xf>
    <xf numFmtId="43" fontId="32" fillId="0" borderId="41" xfId="1" applyFont="1" applyBorder="1"/>
    <xf numFmtId="43" fontId="32" fillId="0" borderId="41" xfId="7" applyFont="1" applyFill="1" applyBorder="1"/>
    <xf numFmtId="43" fontId="32" fillId="0" borderId="62" xfId="7" applyFont="1" applyFill="1" applyBorder="1"/>
    <xf numFmtId="169" fontId="32" fillId="0" borderId="62" xfId="0" applyNumberFormat="1" applyFont="1" applyFill="1" applyBorder="1" applyAlignment="1">
      <alignment horizontal="left"/>
    </xf>
    <xf numFmtId="0" fontId="32" fillId="0" borderId="0" xfId="0" applyFont="1" applyFill="1" applyBorder="1"/>
    <xf numFmtId="164" fontId="32" fillId="0" borderId="0" xfId="0" applyNumberFormat="1" applyFont="1" applyFill="1" applyBorder="1"/>
    <xf numFmtId="43" fontId="32" fillId="0" borderId="6" xfId="0" applyNumberFormat="1" applyFont="1" applyFill="1" applyBorder="1"/>
    <xf numFmtId="43" fontId="32" fillId="0" borderId="16" xfId="0" applyNumberFormat="1" applyFont="1" applyFill="1" applyBorder="1"/>
    <xf numFmtId="43" fontId="32" fillId="0" borderId="26" xfId="0" applyNumberFormat="1" applyFont="1" applyFill="1" applyBorder="1"/>
    <xf numFmtId="43" fontId="32" fillId="0" borderId="56" xfId="0" applyNumberFormat="1" applyFont="1" applyFill="1" applyBorder="1"/>
    <xf numFmtId="0" fontId="32" fillId="0" borderId="37" xfId="0" applyFont="1" applyFill="1" applyBorder="1" applyAlignment="1">
      <alignment horizontal="left"/>
    </xf>
    <xf numFmtId="167" fontId="32" fillId="0" borderId="80" xfId="0" applyNumberFormat="1" applyFont="1" applyBorder="1"/>
    <xf numFmtId="43" fontId="34" fillId="0" borderId="65" xfId="1" applyFont="1" applyFill="1" applyBorder="1"/>
    <xf numFmtId="43" fontId="19" fillId="0" borderId="72" xfId="1" applyFont="1" applyFill="1" applyBorder="1"/>
    <xf numFmtId="169" fontId="19" fillId="0" borderId="75" xfId="0" applyNumberFormat="1" applyFont="1" applyFill="1" applyBorder="1" applyAlignment="1">
      <alignment horizontal="right"/>
    </xf>
    <xf numFmtId="0" fontId="2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30" fillId="0" borderId="81" xfId="0" applyFont="1" applyBorder="1" applyAlignment="1">
      <alignment horizontal="center"/>
    </xf>
    <xf numFmtId="0" fontId="30" fillId="0" borderId="27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30" fillId="0" borderId="82" xfId="0" applyFont="1" applyBorder="1" applyAlignment="1">
      <alignment horizontal="center"/>
    </xf>
    <xf numFmtId="0" fontId="30" fillId="0" borderId="83" xfId="0" applyFont="1" applyBorder="1" applyAlignment="1">
      <alignment horizontal="right"/>
    </xf>
    <xf numFmtId="0" fontId="30" fillId="0" borderId="83" xfId="0" applyFont="1" applyBorder="1" applyAlignment="1">
      <alignment horizontal="center"/>
    </xf>
    <xf numFmtId="0" fontId="30" fillId="0" borderId="84" xfId="0" applyFont="1" applyBorder="1" applyAlignment="1">
      <alignment horizontal="center"/>
    </xf>
    <xf numFmtId="0" fontId="30" fillId="0" borderId="85" xfId="0" applyFont="1" applyBorder="1" applyAlignment="1">
      <alignment horizontal="center"/>
    </xf>
    <xf numFmtId="0" fontId="30" fillId="0" borderId="86" xfId="0" applyFont="1" applyBorder="1" applyAlignment="1">
      <alignment horizontal="center"/>
    </xf>
    <xf numFmtId="14" fontId="30" fillId="0" borderId="83" xfId="0" applyNumberFormat="1" applyFont="1" applyBorder="1" applyAlignment="1">
      <alignment horizontal="center"/>
    </xf>
    <xf numFmtId="14" fontId="30" fillId="0" borderId="86" xfId="0" applyNumberFormat="1" applyFont="1" applyBorder="1" applyAlignment="1">
      <alignment horizontal="center"/>
    </xf>
    <xf numFmtId="14" fontId="32" fillId="0" borderId="84" xfId="0" applyNumberFormat="1" applyFont="1" applyBorder="1" applyAlignment="1">
      <alignment horizontal="center"/>
    </xf>
    <xf numFmtId="14" fontId="30" fillId="0" borderId="84" xfId="0" applyNumberFormat="1" applyFont="1" applyBorder="1" applyAlignment="1">
      <alignment horizontal="center"/>
    </xf>
    <xf numFmtId="0" fontId="30" fillId="0" borderId="85" xfId="0" applyFont="1" applyBorder="1" applyAlignment="1">
      <alignment horizontal="left"/>
    </xf>
    <xf numFmtId="0" fontId="30" fillId="0" borderId="6" xfId="0" applyFont="1" applyBorder="1"/>
    <xf numFmtId="0" fontId="30" fillId="3" borderId="0" xfId="0" applyFont="1" applyFill="1" applyBorder="1"/>
    <xf numFmtId="164" fontId="30" fillId="3" borderId="0" xfId="0" applyNumberFormat="1" applyFont="1" applyFill="1" applyBorder="1" applyAlignment="1">
      <alignment horizontal="right"/>
    </xf>
    <xf numFmtId="164" fontId="30" fillId="3" borderId="0" xfId="0" applyNumberFormat="1" applyFont="1" applyFill="1" applyBorder="1"/>
    <xf numFmtId="164" fontId="30" fillId="3" borderId="18" xfId="0" applyNumberFormat="1" applyFont="1" applyFill="1" applyBorder="1"/>
    <xf numFmtId="164" fontId="30" fillId="3" borderId="17" xfId="0" applyNumberFormat="1" applyFont="1" applyFill="1" applyBorder="1"/>
    <xf numFmtId="43" fontId="30" fillId="3" borderId="26" xfId="1" applyNumberFormat="1" applyFont="1" applyFill="1" applyBorder="1"/>
    <xf numFmtId="43" fontId="30" fillId="3" borderId="58" xfId="1" applyNumberFormat="1" applyFont="1" applyFill="1" applyBorder="1"/>
    <xf numFmtId="167" fontId="30" fillId="3" borderId="58" xfId="1" applyNumberFormat="1" applyFont="1" applyFill="1" applyBorder="1" applyAlignment="1">
      <alignment horizontal="right"/>
    </xf>
    <xf numFmtId="167" fontId="30" fillId="3" borderId="58" xfId="1" applyNumberFormat="1" applyFont="1" applyFill="1" applyBorder="1" applyAlignment="1">
      <alignment horizontal="center"/>
    </xf>
    <xf numFmtId="43" fontId="30" fillId="3" borderId="14" xfId="1" applyFont="1" applyFill="1" applyBorder="1"/>
    <xf numFmtId="167" fontId="30" fillId="3" borderId="56" xfId="1" applyNumberFormat="1" applyFont="1" applyFill="1" applyBorder="1"/>
    <xf numFmtId="43" fontId="30" fillId="3" borderId="26" xfId="1" applyFont="1" applyFill="1" applyBorder="1"/>
    <xf numFmtId="43" fontId="30" fillId="3" borderId="61" xfId="1" applyFont="1" applyFill="1" applyBorder="1"/>
    <xf numFmtId="164" fontId="30" fillId="3" borderId="61" xfId="0" applyNumberFormat="1" applyFont="1" applyFill="1" applyBorder="1" applyAlignment="1">
      <alignment horizontal="left"/>
    </xf>
    <xf numFmtId="0" fontId="32" fillId="0" borderId="13" xfId="0" applyFont="1" applyBorder="1"/>
    <xf numFmtId="0" fontId="32" fillId="0" borderId="32" xfId="0" applyFont="1" applyBorder="1" applyAlignment="1">
      <alignment horizontal="center"/>
    </xf>
    <xf numFmtId="0" fontId="32" fillId="0" borderId="87" xfId="0" applyFont="1" applyBorder="1" applyAlignment="1">
      <alignment horizontal="center"/>
    </xf>
    <xf numFmtId="0" fontId="32" fillId="0" borderId="74" xfId="0" applyFont="1" applyBorder="1" applyAlignment="1">
      <alignment horizontal="left"/>
    </xf>
    <xf numFmtId="14" fontId="32" fillId="0" borderId="72" xfId="1" applyNumberFormat="1" applyFont="1" applyFill="1" applyBorder="1"/>
    <xf numFmtId="43" fontId="32" fillId="0" borderId="72" xfId="1" applyFont="1" applyFill="1" applyBorder="1"/>
    <xf numFmtId="49" fontId="32" fillId="0" borderId="72" xfId="0" applyNumberFormat="1" applyFont="1" applyBorder="1"/>
    <xf numFmtId="0" fontId="32" fillId="0" borderId="74" xfId="0" applyFont="1" applyBorder="1"/>
    <xf numFmtId="14" fontId="32" fillId="0" borderId="74" xfId="0" applyNumberFormat="1" applyFont="1" applyBorder="1"/>
    <xf numFmtId="0" fontId="32" fillId="0" borderId="72" xfId="0" applyFont="1" applyFill="1" applyBorder="1"/>
    <xf numFmtId="14" fontId="32" fillId="0" borderId="72" xfId="0" applyNumberFormat="1" applyFont="1" applyFill="1" applyBorder="1"/>
    <xf numFmtId="0" fontId="32" fillId="0" borderId="32" xfId="0" applyFont="1" applyFill="1" applyBorder="1"/>
    <xf numFmtId="0" fontId="28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1" xfId="0" applyFont="1" applyBorder="1"/>
    <xf numFmtId="0" fontId="0" fillId="0" borderId="1" xfId="0" applyBorder="1" applyAlignment="1">
      <alignment horizontal="left"/>
    </xf>
    <xf numFmtId="43" fontId="4" fillId="0" borderId="1" xfId="1" applyNumberFormat="1" applyFont="1" applyFill="1" applyBorder="1" applyAlignment="1">
      <alignment horizontal="left"/>
    </xf>
    <xf numFmtId="43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0" fillId="0" borderId="19" xfId="0" applyFont="1" applyBorder="1" applyAlignment="1">
      <alignment horizontal="left"/>
    </xf>
    <xf numFmtId="14" fontId="30" fillId="0" borderId="19" xfId="0" applyNumberFormat="1" applyFont="1" applyBorder="1" applyAlignment="1">
      <alignment horizontal="left"/>
    </xf>
    <xf numFmtId="0" fontId="31" fillId="0" borderId="19" xfId="0" applyFont="1" applyBorder="1"/>
    <xf numFmtId="0" fontId="29" fillId="0" borderId="0" xfId="0" applyFont="1" applyBorder="1" applyAlignment="1">
      <alignment horizontal="left"/>
    </xf>
    <xf numFmtId="0" fontId="29" fillId="0" borderId="33" xfId="0" applyFont="1" applyFill="1" applyBorder="1" applyAlignment="1">
      <alignment horizontal="center"/>
    </xf>
    <xf numFmtId="0" fontId="29" fillId="0" borderId="43" xfId="0" applyFont="1" applyFill="1" applyBorder="1" applyAlignment="1"/>
    <xf numFmtId="0" fontId="29" fillId="0" borderId="40" xfId="0" applyFont="1" applyFill="1" applyBorder="1" applyAlignment="1">
      <alignment horizontal="center"/>
    </xf>
    <xf numFmtId="0" fontId="29" fillId="0" borderId="44" xfId="0" applyFont="1" applyFill="1" applyBorder="1" applyAlignment="1">
      <alignment horizontal="center"/>
    </xf>
    <xf numFmtId="0" fontId="29" fillId="0" borderId="25" xfId="0" applyFont="1" applyFill="1" applyBorder="1" applyAlignment="1">
      <alignment horizontal="left"/>
    </xf>
    <xf numFmtId="0" fontId="29" fillId="0" borderId="10" xfId="0" applyFont="1" applyFill="1" applyBorder="1" applyAlignment="1">
      <alignment horizontal="center"/>
    </xf>
    <xf numFmtId="0" fontId="29" fillId="0" borderId="3" xfId="0" applyFont="1" applyFill="1" applyBorder="1" applyAlignment="1">
      <alignment horizontal="left"/>
    </xf>
    <xf numFmtId="0" fontId="29" fillId="0" borderId="47" xfId="0" applyFont="1" applyFill="1" applyBorder="1" applyAlignment="1"/>
    <xf numFmtId="0" fontId="29" fillId="0" borderId="50" xfId="0" applyFont="1" applyFill="1" applyBorder="1" applyAlignment="1">
      <alignment horizontal="center"/>
    </xf>
    <xf numFmtId="0" fontId="29" fillId="0" borderId="48" xfId="0" applyFont="1" applyFill="1" applyBorder="1" applyAlignment="1">
      <alignment horizontal="center"/>
    </xf>
    <xf numFmtId="0" fontId="29" fillId="0" borderId="27" xfId="0" applyFont="1" applyFill="1" applyBorder="1" applyAlignment="1"/>
    <xf numFmtId="0" fontId="29" fillId="0" borderId="35" xfId="0" applyFont="1" applyFill="1" applyBorder="1" applyAlignment="1">
      <alignment horizontal="center"/>
    </xf>
    <xf numFmtId="0" fontId="29" fillId="0" borderId="62" xfId="0" applyFont="1" applyFill="1" applyBorder="1" applyAlignment="1">
      <alignment horizontal="center"/>
    </xf>
    <xf numFmtId="0" fontId="29" fillId="0" borderId="33" xfId="0" applyFont="1" applyFill="1" applyBorder="1"/>
    <xf numFmtId="0" fontId="29" fillId="0" borderId="12" xfId="0" applyFont="1" applyFill="1" applyBorder="1" applyAlignment="1">
      <alignment horizontal="center"/>
    </xf>
    <xf numFmtId="43" fontId="30" fillId="0" borderId="33" xfId="0" applyNumberFormat="1" applyFont="1" applyFill="1" applyBorder="1"/>
    <xf numFmtId="43" fontId="30" fillId="0" borderId="66" xfId="0" applyNumberFormat="1" applyFont="1" applyFill="1" applyBorder="1"/>
    <xf numFmtId="43" fontId="30" fillId="0" borderId="53" xfId="0" applyNumberFormat="1" applyFont="1" applyFill="1" applyBorder="1"/>
    <xf numFmtId="0" fontId="30" fillId="0" borderId="43" xfId="0" applyFont="1" applyBorder="1"/>
    <xf numFmtId="0" fontId="30" fillId="0" borderId="21" xfId="0" applyFont="1" applyBorder="1"/>
    <xf numFmtId="0" fontId="30" fillId="0" borderId="21" xfId="0" applyFont="1" applyBorder="1" applyAlignment="1">
      <alignment horizontal="center"/>
    </xf>
    <xf numFmtId="0" fontId="30" fillId="0" borderId="55" xfId="0" applyFont="1" applyBorder="1" applyAlignment="1">
      <alignment horizontal="center"/>
    </xf>
    <xf numFmtId="14" fontId="32" fillId="0" borderId="78" xfId="0" applyNumberFormat="1" applyFont="1" applyBorder="1"/>
    <xf numFmtId="165" fontId="30" fillId="0" borderId="6" xfId="0" applyNumberFormat="1" applyFont="1" applyBorder="1"/>
    <xf numFmtId="165" fontId="30" fillId="0" borderId="17" xfId="0" applyNumberFormat="1" applyFont="1" applyBorder="1"/>
    <xf numFmtId="0" fontId="29" fillId="0" borderId="8" xfId="0" applyFont="1" applyBorder="1" applyAlignment="1">
      <alignment horizontal="left"/>
    </xf>
    <xf numFmtId="0" fontId="29" fillId="0" borderId="6" xfId="0" applyFont="1" applyBorder="1" applyAlignment="1">
      <alignment horizontal="left"/>
    </xf>
    <xf numFmtId="14" fontId="29" fillId="0" borderId="6" xfId="0" applyNumberFormat="1" applyFont="1" applyBorder="1" applyAlignment="1">
      <alignment horizontal="right"/>
    </xf>
    <xf numFmtId="165" fontId="29" fillId="0" borderId="6" xfId="0" applyNumberFormat="1" applyFont="1" applyBorder="1" applyAlignment="1">
      <alignment horizontal="right"/>
    </xf>
    <xf numFmtId="0" fontId="29" fillId="0" borderId="9" xfId="0" applyFont="1" applyBorder="1" applyAlignment="1">
      <alignment horizontal="left"/>
    </xf>
    <xf numFmtId="167" fontId="29" fillId="0" borderId="71" xfId="0" applyNumberFormat="1" applyFont="1" applyBorder="1" applyAlignment="1">
      <alignment horizontal="right"/>
    </xf>
    <xf numFmtId="167" fontId="29" fillId="0" borderId="10" xfId="0" applyNumberFormat="1" applyFont="1" applyBorder="1" applyAlignment="1">
      <alignment horizontal="center"/>
    </xf>
    <xf numFmtId="167" fontId="29" fillId="0" borderId="8" xfId="0" applyNumberFormat="1" applyFont="1" applyBorder="1" applyAlignment="1">
      <alignment horizontal="right"/>
    </xf>
    <xf numFmtId="167" fontId="29" fillId="0" borderId="10" xfId="0" applyNumberFormat="1" applyFont="1" applyBorder="1" applyAlignment="1">
      <alignment horizontal="right"/>
    </xf>
    <xf numFmtId="167" fontId="29" fillId="0" borderId="9" xfId="0" applyNumberFormat="1" applyFont="1" applyBorder="1" applyAlignment="1">
      <alignment horizontal="left"/>
    </xf>
    <xf numFmtId="43" fontId="29" fillId="0" borderId="7" xfId="1" applyFont="1" applyBorder="1" applyAlignment="1">
      <alignment horizontal="right"/>
    </xf>
    <xf numFmtId="43" fontId="29" fillId="0" borderId="2" xfId="0" applyNumberFormat="1" applyFont="1" applyBorder="1" applyAlignment="1">
      <alignment horizontal="center"/>
    </xf>
    <xf numFmtId="14" fontId="29" fillId="0" borderId="71" xfId="0" applyNumberFormat="1" applyFont="1" applyBorder="1" applyAlignment="1">
      <alignment horizontal="left"/>
    </xf>
    <xf numFmtId="165" fontId="29" fillId="0" borderId="1" xfId="0" applyNumberFormat="1" applyFont="1" applyBorder="1" applyAlignment="1">
      <alignment horizontal="right"/>
    </xf>
    <xf numFmtId="166" fontId="29" fillId="0" borderId="1" xfId="0" applyNumberFormat="1" applyFont="1" applyBorder="1"/>
    <xf numFmtId="166" fontId="29" fillId="0" borderId="22" xfId="0" applyNumberFormat="1" applyFont="1" applyBorder="1"/>
    <xf numFmtId="167" fontId="29" fillId="0" borderId="1" xfId="1" applyNumberFormat="1" applyFont="1" applyBorder="1"/>
    <xf numFmtId="165" fontId="29" fillId="0" borderId="0" xfId="0" applyNumberFormat="1" applyFont="1" applyBorder="1" applyAlignment="1">
      <alignment horizontal="right"/>
    </xf>
    <xf numFmtId="14" fontId="29" fillId="0" borderId="0" xfId="0" applyNumberFormat="1" applyFont="1" applyBorder="1"/>
    <xf numFmtId="165" fontId="29" fillId="0" borderId="0" xfId="0" applyNumberFormat="1" applyFont="1" applyBorder="1"/>
    <xf numFmtId="43" fontId="29" fillId="0" borderId="77" xfId="1" applyFont="1" applyBorder="1"/>
    <xf numFmtId="0" fontId="27" fillId="0" borderId="1" xfId="0" applyFont="1" applyBorder="1"/>
    <xf numFmtId="14" fontId="27" fillId="0" borderId="1" xfId="0" applyNumberFormat="1" applyFont="1" applyBorder="1"/>
    <xf numFmtId="171" fontId="29" fillId="0" borderId="76" xfId="0" applyNumberFormat="1" applyFont="1" applyBorder="1" applyAlignment="1">
      <alignment horizontal="left"/>
    </xf>
    <xf numFmtId="165" fontId="27" fillId="0" borderId="1" xfId="0" applyNumberFormat="1" applyFont="1" applyBorder="1"/>
    <xf numFmtId="0" fontId="29" fillId="0" borderId="22" xfId="0" applyNumberFormat="1" applyFont="1" applyBorder="1"/>
    <xf numFmtId="167" fontId="29" fillId="0" borderId="19" xfId="1" applyNumberFormat="1" applyFont="1" applyBorder="1"/>
    <xf numFmtId="165" fontId="48" fillId="0" borderId="1" xfId="0" applyNumberFormat="1" applyFont="1" applyBorder="1"/>
    <xf numFmtId="165" fontId="29" fillId="0" borderId="77" xfId="0" applyNumberFormat="1" applyFont="1" applyBorder="1" applyAlignment="1">
      <alignment horizontal="left"/>
    </xf>
    <xf numFmtId="165" fontId="49" fillId="0" borderId="1" xfId="0" applyNumberFormat="1" applyFont="1" applyBorder="1"/>
    <xf numFmtId="16" fontId="29" fillId="0" borderId="1" xfId="0" applyNumberFormat="1" applyFont="1" applyBorder="1"/>
    <xf numFmtId="171" fontId="29" fillId="0" borderId="77" xfId="0" applyNumberFormat="1" applyFont="1" applyBorder="1" applyAlignment="1">
      <alignment horizontal="left"/>
    </xf>
    <xf numFmtId="14" fontId="29" fillId="0" borderId="77" xfId="1" applyNumberFormat="1" applyFont="1" applyBorder="1" applyAlignment="1">
      <alignment horizontal="left"/>
    </xf>
    <xf numFmtId="43" fontId="29" fillId="0" borderId="3" xfId="1" applyFont="1" applyBorder="1"/>
    <xf numFmtId="0" fontId="29" fillId="0" borderId="7" xfId="0" applyFont="1" applyBorder="1"/>
    <xf numFmtId="165" fontId="29" fillId="0" borderId="7" xfId="0" applyNumberFormat="1" applyFont="1" applyBorder="1" applyAlignment="1">
      <alignment horizontal="right"/>
    </xf>
    <xf numFmtId="167" fontId="29" fillId="0" borderId="7" xfId="1" applyNumberFormat="1" applyFont="1" applyBorder="1"/>
    <xf numFmtId="0" fontId="27" fillId="0" borderId="5" xfId="0" applyFont="1" applyBorder="1"/>
    <xf numFmtId="14" fontId="27" fillId="0" borderId="5" xfId="0" applyNumberFormat="1" applyFont="1" applyBorder="1" applyAlignment="1">
      <alignment horizontal="right"/>
    </xf>
    <xf numFmtId="14" fontId="27" fillId="0" borderId="5" xfId="0" applyNumberFormat="1" applyFont="1" applyBorder="1"/>
    <xf numFmtId="166" fontId="29" fillId="0" borderId="5" xfId="0" applyNumberFormat="1" applyFont="1" applyBorder="1"/>
    <xf numFmtId="166" fontId="29" fillId="0" borderId="23" xfId="0" applyNumberFormat="1" applyFont="1" applyBorder="1"/>
    <xf numFmtId="43" fontId="29" fillId="0" borderId="62" xfId="1" applyFont="1" applyBorder="1"/>
    <xf numFmtId="43" fontId="29" fillId="0" borderId="51" xfId="1" applyFont="1" applyBorder="1"/>
    <xf numFmtId="167" fontId="29" fillId="0" borderId="5" xfId="1" applyNumberFormat="1" applyFont="1" applyBorder="1"/>
    <xf numFmtId="43" fontId="29" fillId="0" borderId="5" xfId="1" applyFont="1" applyBorder="1" applyAlignment="1">
      <alignment horizontal="right"/>
    </xf>
    <xf numFmtId="43" fontId="29" fillId="0" borderId="23" xfId="0" applyNumberFormat="1" applyFont="1" applyBorder="1" applyAlignment="1">
      <alignment horizontal="center"/>
    </xf>
    <xf numFmtId="165" fontId="29" fillId="0" borderId="62" xfId="0" applyNumberFormat="1" applyFont="1" applyBorder="1" applyAlignment="1">
      <alignment horizontal="left"/>
    </xf>
    <xf numFmtId="4" fontId="29" fillId="0" borderId="35" xfId="1" applyNumberFormat="1" applyFont="1" applyBorder="1"/>
    <xf numFmtId="4" fontId="29" fillId="0" borderId="24" xfId="1" applyNumberFormat="1" applyFont="1" applyBorder="1"/>
    <xf numFmtId="4" fontId="29" fillId="0" borderId="77" xfId="1" applyNumberFormat="1" applyFont="1" applyBorder="1"/>
    <xf numFmtId="4" fontId="29" fillId="0" borderId="24" xfId="7" applyNumberFormat="1" applyFont="1" applyFill="1" applyBorder="1"/>
    <xf numFmtId="167" fontId="29" fillId="0" borderId="77" xfId="7" applyNumberFormat="1" applyFont="1" applyFill="1" applyBorder="1"/>
    <xf numFmtId="167" fontId="29" fillId="0" borderId="76" xfId="1" applyNumberFormat="1" applyFont="1" applyBorder="1"/>
    <xf numFmtId="167" fontId="29" fillId="0" borderId="52" xfId="1" applyNumberFormat="1" applyFont="1" applyBorder="1" applyAlignment="1">
      <alignment horizontal="right"/>
    </xf>
    <xf numFmtId="169" fontId="29" fillId="0" borderId="77" xfId="0" applyNumberFormat="1" applyFont="1" applyFill="1" applyBorder="1" applyAlignment="1">
      <alignment horizontal="left"/>
    </xf>
    <xf numFmtId="167" fontId="29" fillId="0" borderId="77" xfId="0" applyNumberFormat="1" applyFont="1" applyBorder="1"/>
    <xf numFmtId="167" fontId="29" fillId="0" borderId="24" xfId="0" applyNumberFormat="1" applyFont="1" applyBorder="1"/>
    <xf numFmtId="167" fontId="29" fillId="0" borderId="77" xfId="1" applyNumberFormat="1" applyFont="1" applyBorder="1"/>
    <xf numFmtId="167" fontId="29" fillId="0" borderId="24" xfId="1" applyNumberFormat="1" applyFont="1" applyBorder="1"/>
    <xf numFmtId="167" fontId="29" fillId="0" borderId="24" xfId="7" applyNumberFormat="1" applyFont="1" applyFill="1" applyBorder="1"/>
    <xf numFmtId="165" fontId="49" fillId="0" borderId="22" xfId="0" applyNumberFormat="1" applyFont="1" applyBorder="1"/>
    <xf numFmtId="4" fontId="29" fillId="0" borderId="77" xfId="7" applyNumberFormat="1" applyFont="1" applyFill="1" applyBorder="1"/>
    <xf numFmtId="4" fontId="29" fillId="0" borderId="76" xfId="1" applyNumberFormat="1" applyFont="1" applyBorder="1"/>
    <xf numFmtId="43" fontId="29" fillId="0" borderId="24" xfId="7" applyFont="1" applyFill="1" applyBorder="1"/>
    <xf numFmtId="167" fontId="29" fillId="0" borderId="77" xfId="1" applyNumberFormat="1" applyFont="1" applyBorder="1" applyAlignment="1">
      <alignment horizontal="right"/>
    </xf>
    <xf numFmtId="167" fontId="27" fillId="0" borderId="77" xfId="0" applyNumberFormat="1" applyFont="1" applyBorder="1"/>
    <xf numFmtId="165" fontId="29" fillId="0" borderId="5" xfId="0" applyNumberFormat="1" applyFont="1" applyBorder="1" applyAlignment="1">
      <alignment horizontal="right"/>
    </xf>
    <xf numFmtId="0" fontId="32" fillId="0" borderId="60" xfId="0" applyFont="1" applyFill="1" applyBorder="1" applyAlignment="1">
      <alignment horizontal="center"/>
    </xf>
    <xf numFmtId="165" fontId="49" fillId="0" borderId="22" xfId="0" applyNumberFormat="1" applyFont="1" applyBorder="1" applyAlignment="1">
      <alignment horizontal="right"/>
    </xf>
    <xf numFmtId="0" fontId="29" fillId="0" borderId="17" xfId="0" applyFont="1" applyBorder="1" applyAlignment="1">
      <alignment horizontal="left"/>
    </xf>
    <xf numFmtId="0" fontId="29" fillId="0" borderId="76" xfId="0" applyFont="1" applyBorder="1" applyAlignment="1">
      <alignment horizontal="left"/>
    </xf>
    <xf numFmtId="171" fontId="29" fillId="0" borderId="22" xfId="0" applyNumberFormat="1" applyFont="1" applyBorder="1" applyAlignment="1">
      <alignment horizontal="right"/>
    </xf>
    <xf numFmtId="167" fontId="29" fillId="0" borderId="49" xfId="1" applyNumberFormat="1" applyFont="1" applyBorder="1"/>
    <xf numFmtId="167" fontId="29" fillId="0" borderId="4" xfId="1" applyNumberFormat="1" applyFont="1" applyBorder="1"/>
    <xf numFmtId="169" fontId="29" fillId="0" borderId="52" xfId="0" applyNumberFormat="1" applyFont="1" applyFill="1" applyBorder="1" applyAlignment="1">
      <alignment horizontal="left"/>
    </xf>
    <xf numFmtId="0" fontId="29" fillId="0" borderId="22" xfId="0" applyFont="1" applyBorder="1"/>
    <xf numFmtId="0" fontId="29" fillId="0" borderId="76" xfId="0" applyFont="1" applyBorder="1"/>
    <xf numFmtId="14" fontId="29" fillId="0" borderId="76" xfId="0" applyNumberFormat="1" applyFont="1" applyBorder="1"/>
    <xf numFmtId="167" fontId="29" fillId="0" borderId="50" xfId="1" applyNumberFormat="1" applyFont="1" applyBorder="1"/>
    <xf numFmtId="167" fontId="29" fillId="0" borderId="49" xfId="0" applyNumberFormat="1" applyFont="1" applyBorder="1"/>
    <xf numFmtId="167" fontId="29" fillId="0" borderId="76" xfId="0" applyNumberFormat="1" applyFont="1" applyBorder="1"/>
    <xf numFmtId="0" fontId="29" fillId="0" borderId="22" xfId="0" applyFont="1" applyBorder="1" applyAlignment="1">
      <alignment horizontal="left"/>
    </xf>
    <xf numFmtId="165" fontId="29" fillId="0" borderId="52" xfId="0" applyNumberFormat="1" applyFont="1" applyBorder="1" applyAlignment="1">
      <alignment horizontal="left"/>
    </xf>
    <xf numFmtId="0" fontId="29" fillId="0" borderId="17" xfId="0" applyFont="1" applyBorder="1"/>
    <xf numFmtId="167" fontId="29" fillId="0" borderId="76" xfId="7" applyNumberFormat="1" applyFont="1" applyFill="1" applyBorder="1"/>
    <xf numFmtId="169" fontId="29" fillId="0" borderId="72" xfId="0" applyNumberFormat="1" applyFont="1" applyFill="1" applyBorder="1" applyAlignment="1">
      <alignment horizontal="left"/>
    </xf>
    <xf numFmtId="167" fontId="29" fillId="0" borderId="50" xfId="0" applyNumberFormat="1" applyFont="1" applyBorder="1"/>
    <xf numFmtId="167" fontId="29" fillId="0" borderId="76" xfId="1" applyNumberFormat="1" applyFont="1" applyBorder="1" applyAlignment="1">
      <alignment horizontal="right"/>
    </xf>
    <xf numFmtId="165" fontId="29" fillId="0" borderId="72" xfId="0" applyNumberFormat="1" applyFont="1" applyBorder="1" applyAlignment="1">
      <alignment horizontal="left"/>
    </xf>
    <xf numFmtId="16" fontId="29" fillId="0" borderId="76" xfId="0" applyNumberFormat="1" applyFont="1" applyBorder="1"/>
    <xf numFmtId="167" fontId="29" fillId="0" borderId="67" xfId="1" applyNumberFormat="1" applyFont="1" applyBorder="1"/>
    <xf numFmtId="167" fontId="29" fillId="0" borderId="75" xfId="1" applyNumberFormat="1" applyFont="1" applyBorder="1"/>
    <xf numFmtId="167" fontId="29" fillId="0" borderId="80" xfId="1" applyNumberFormat="1" applyFont="1" applyBorder="1"/>
    <xf numFmtId="167" fontId="29" fillId="0" borderId="80" xfId="7" applyNumberFormat="1" applyFont="1" applyFill="1" applyBorder="1"/>
    <xf numFmtId="167" fontId="29" fillId="0" borderId="75" xfId="7" applyNumberFormat="1" applyFont="1" applyFill="1" applyBorder="1"/>
    <xf numFmtId="169" fontId="29" fillId="0" borderId="74" xfId="0" applyNumberFormat="1" applyFont="1" applyFill="1" applyBorder="1" applyAlignment="1">
      <alignment horizontal="left"/>
    </xf>
    <xf numFmtId="167" fontId="29" fillId="0" borderId="75" xfId="1" applyNumberFormat="1" applyFont="1" applyBorder="1" applyAlignment="1">
      <alignment horizontal="right"/>
    </xf>
    <xf numFmtId="0" fontId="29" fillId="0" borderId="72" xfId="0" applyFont="1" applyBorder="1"/>
    <xf numFmtId="167" fontId="29" fillId="0" borderId="50" xfId="0" applyNumberFormat="1" applyFont="1" applyFill="1" applyBorder="1"/>
    <xf numFmtId="167" fontId="29" fillId="0" borderId="76" xfId="0" applyNumberFormat="1" applyFont="1" applyFill="1" applyBorder="1"/>
    <xf numFmtId="167" fontId="29" fillId="0" borderId="24" xfId="0" applyNumberFormat="1" applyFont="1" applyFill="1" applyBorder="1"/>
    <xf numFmtId="0" fontId="29" fillId="0" borderId="23" xfId="0" applyFont="1" applyBorder="1"/>
    <xf numFmtId="0" fontId="29" fillId="0" borderId="62" xfId="0" applyFont="1" applyBorder="1"/>
    <xf numFmtId="165" fontId="29" fillId="0" borderId="51" xfId="0" applyNumberFormat="1" applyFont="1" applyBorder="1" applyAlignment="1">
      <alignment horizontal="right"/>
    </xf>
    <xf numFmtId="165" fontId="29" fillId="0" borderId="23" xfId="0" applyNumberFormat="1" applyFont="1" applyBorder="1"/>
    <xf numFmtId="167" fontId="29" fillId="0" borderId="41" xfId="1" applyNumberFormat="1" applyFont="1" applyBorder="1"/>
    <xf numFmtId="0" fontId="29" fillId="0" borderId="0" xfId="0" applyFont="1" applyFill="1" applyBorder="1"/>
    <xf numFmtId="164" fontId="29" fillId="0" borderId="0" xfId="0" applyNumberFormat="1" applyFont="1" applyFill="1" applyBorder="1"/>
    <xf numFmtId="14" fontId="27" fillId="0" borderId="19" xfId="0" applyNumberFormat="1" applyFont="1" applyBorder="1"/>
    <xf numFmtId="167" fontId="27" fillId="0" borderId="50" xfId="0" applyNumberFormat="1" applyFont="1" applyBorder="1"/>
    <xf numFmtId="167" fontId="27" fillId="0" borderId="24" xfId="0" applyNumberFormat="1" applyFont="1" applyBorder="1"/>
    <xf numFmtId="167" fontId="27" fillId="0" borderId="76" xfId="0" applyNumberFormat="1" applyFont="1" applyBorder="1"/>
    <xf numFmtId="167" fontId="27" fillId="0" borderId="61" xfId="0" applyNumberFormat="1" applyFont="1" applyBorder="1"/>
    <xf numFmtId="167" fontId="27" fillId="0" borderId="26" xfId="0" applyNumberFormat="1" applyFont="1" applyBorder="1"/>
    <xf numFmtId="167" fontId="27" fillId="0" borderId="16" xfId="0" applyNumberFormat="1" applyFont="1" applyBorder="1"/>
    <xf numFmtId="0" fontId="7" fillId="0" borderId="18" xfId="0" applyFont="1" applyBorder="1"/>
    <xf numFmtId="167" fontId="27" fillId="0" borderId="48" xfId="0" applyNumberFormat="1" applyFont="1" applyBorder="1"/>
    <xf numFmtId="167" fontId="7" fillId="0" borderId="62" xfId="0" applyNumberFormat="1" applyFont="1" applyBorder="1"/>
    <xf numFmtId="167" fontId="27" fillId="0" borderId="41" xfId="0" applyNumberFormat="1" applyFont="1" applyBorder="1"/>
    <xf numFmtId="167" fontId="27" fillId="0" borderId="62" xfId="0" applyNumberFormat="1" applyFont="1" applyBorder="1"/>
    <xf numFmtId="167" fontId="29" fillId="0" borderId="62" xfId="1" applyNumberFormat="1" applyFont="1" applyBorder="1" applyAlignment="1">
      <alignment horizontal="right"/>
    </xf>
    <xf numFmtId="14" fontId="27" fillId="0" borderId="51" xfId="0" applyNumberFormat="1" applyFont="1" applyBorder="1"/>
    <xf numFmtId="14" fontId="29" fillId="0" borderId="72" xfId="0" applyNumberFormat="1" applyFont="1" applyFill="1" applyBorder="1" applyAlignment="1">
      <alignment horizontal="left"/>
    </xf>
    <xf numFmtId="0" fontId="5" fillId="0" borderId="24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33" xfId="0" applyFont="1" applyBorder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Border="1" applyAlignment="1">
      <alignment horizontal="left"/>
    </xf>
    <xf numFmtId="0" fontId="29" fillId="0" borderId="64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33" xfId="0" applyFont="1" applyFill="1" applyBorder="1" applyAlignment="1">
      <alignment horizontal="center"/>
    </xf>
    <xf numFmtId="0" fontId="29" fillId="0" borderId="31" xfId="0" applyFont="1" applyFill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29" fillId="0" borderId="71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19" fillId="0" borderId="64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34" fillId="0" borderId="33" xfId="0" applyFont="1" applyFill="1" applyBorder="1" applyAlignment="1">
      <alignment horizontal="center"/>
    </xf>
    <xf numFmtId="0" fontId="34" fillId="0" borderId="70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31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65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30" xfId="0" applyFont="1" applyFill="1" applyBorder="1" applyAlignment="1">
      <alignment horizontal="center"/>
    </xf>
    <xf numFmtId="0" fontId="19" fillId="0" borderId="31" xfId="0" applyFont="1" applyFill="1" applyBorder="1" applyAlignment="1">
      <alignment horizontal="center"/>
    </xf>
  </cellXfs>
  <cellStyles count="8">
    <cellStyle name="Comma" xfId="1" builtinId="3"/>
    <cellStyle name="Comma 2" xfId="2"/>
    <cellStyle name="Comma 3" xfId="3"/>
    <cellStyle name="Comma 4" xfId="4"/>
    <cellStyle name="Comma 5" xfId="5"/>
    <cellStyle name="Comma 6" xfId="6"/>
    <cellStyle name="Comma 7" xfId="7"/>
    <cellStyle name="Normal" xfId="0" builtinId="0"/>
  </cellStyles>
  <dxfs count="0"/>
  <tableStyles count="0" defaultTableStyle="TableStyleMedium9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0"/>
  <sheetViews>
    <sheetView workbookViewId="0">
      <selection activeCell="D23" sqref="D23"/>
    </sheetView>
  </sheetViews>
  <sheetFormatPr defaultRowHeight="15" x14ac:dyDescent="0.25"/>
  <cols>
    <col min="1" max="1" width="14.42578125" customWidth="1"/>
    <col min="2" max="2" width="14.140625" customWidth="1"/>
    <col min="3" max="3" width="16.140625" customWidth="1"/>
    <col min="4" max="4" width="18.85546875" customWidth="1"/>
    <col min="5" max="5" width="14" customWidth="1"/>
    <col min="6" max="6" width="12.140625" customWidth="1"/>
    <col min="7" max="7" width="14.140625" customWidth="1"/>
    <col min="8" max="8" width="13.42578125" customWidth="1"/>
    <col min="9" max="9" width="12.5703125" customWidth="1"/>
    <col min="12" max="12" width="24.85546875" customWidth="1"/>
  </cols>
  <sheetData>
    <row r="1" spans="1:9" ht="23.25" x14ac:dyDescent="0.35">
      <c r="A1" s="68" t="s">
        <v>388</v>
      </c>
    </row>
    <row r="2" spans="1:9" ht="18.75" x14ac:dyDescent="0.3">
      <c r="A2" s="69" t="s">
        <v>389</v>
      </c>
    </row>
    <row r="3" spans="1:9" ht="15.75" thickBot="1" x14ac:dyDescent="0.3"/>
    <row r="4" spans="1:9" x14ac:dyDescent="0.25">
      <c r="A4" s="11"/>
      <c r="B4" s="1329" t="s">
        <v>123</v>
      </c>
      <c r="C4" s="1329"/>
      <c r="D4" s="1330"/>
      <c r="E4" s="1331" t="s">
        <v>99</v>
      </c>
      <c r="F4" s="1329"/>
      <c r="G4" s="1330"/>
      <c r="H4" s="21"/>
      <c r="I4" s="10" t="s">
        <v>112</v>
      </c>
    </row>
    <row r="5" spans="1:9" x14ac:dyDescent="0.25">
      <c r="A5" s="4"/>
      <c r="B5" s="59" t="s">
        <v>113</v>
      </c>
      <c r="C5" s="10" t="s">
        <v>114</v>
      </c>
      <c r="D5" s="10" t="s">
        <v>115</v>
      </c>
      <c r="E5" s="10" t="s">
        <v>116</v>
      </c>
      <c r="F5" s="10" t="s">
        <v>114</v>
      </c>
      <c r="G5" s="10" t="s">
        <v>115</v>
      </c>
      <c r="H5" s="43" t="s">
        <v>80</v>
      </c>
      <c r="I5" s="18" t="s">
        <v>117</v>
      </c>
    </row>
    <row r="6" spans="1:9" x14ac:dyDescent="0.25">
      <c r="A6" s="6"/>
      <c r="B6" s="60" t="s">
        <v>7</v>
      </c>
      <c r="C6" s="40" t="s">
        <v>118</v>
      </c>
      <c r="D6" s="41">
        <v>41333</v>
      </c>
      <c r="E6" s="40" t="s">
        <v>7</v>
      </c>
      <c r="F6" s="41" t="s">
        <v>118</v>
      </c>
      <c r="G6" s="41">
        <v>41333</v>
      </c>
      <c r="H6" s="44" t="s">
        <v>119</v>
      </c>
      <c r="I6" s="42" t="s">
        <v>124</v>
      </c>
    </row>
    <row r="7" spans="1:9" x14ac:dyDescent="0.25">
      <c r="A7" s="4" t="s">
        <v>382</v>
      </c>
      <c r="B7" s="61">
        <f>+'CURRENT ACCOUNTS-07-31-15'!G374</f>
        <v>9313300</v>
      </c>
      <c r="C7" s="881">
        <v>518245</v>
      </c>
      <c r="D7" s="54">
        <f>+'CURRENT ACCOUNTS-07-31-15'!I374</f>
        <v>8363052</v>
      </c>
      <c r="E7" s="48">
        <f>+'CURRENT ACCOUNTS-07-31-15'!K374</f>
        <v>1930051</v>
      </c>
      <c r="F7" s="882">
        <v>203132</v>
      </c>
      <c r="G7" s="46">
        <f>+'CURRENT ACCOUNTS-07-31-15'!N374</f>
        <v>10293103</v>
      </c>
      <c r="H7" s="882">
        <v>7900</v>
      </c>
      <c r="I7" s="880">
        <f>C7+F7+H7</f>
        <v>729277</v>
      </c>
    </row>
    <row r="8" spans="1:9" x14ac:dyDescent="0.25">
      <c r="A8" s="4" t="s">
        <v>383</v>
      </c>
      <c r="B8" s="62"/>
      <c r="C8" s="47"/>
      <c r="D8" s="57"/>
      <c r="E8" s="48"/>
      <c r="F8" s="57"/>
      <c r="G8" s="46"/>
      <c r="H8" s="57"/>
      <c r="I8" s="58"/>
    </row>
    <row r="9" spans="1:9" x14ac:dyDescent="0.25">
      <c r="A9" s="13">
        <v>2014</v>
      </c>
      <c r="B9" s="62"/>
      <c r="C9" s="47"/>
      <c r="D9" s="57"/>
      <c r="E9" s="48"/>
      <c r="F9" s="57"/>
      <c r="G9" s="46"/>
      <c r="H9" s="57"/>
      <c r="I9" s="58"/>
    </row>
    <row r="10" spans="1:9" x14ac:dyDescent="0.25">
      <c r="A10" s="13">
        <v>2013</v>
      </c>
      <c r="B10" s="61">
        <f>+'CURRENT ACCOUNTS-07-31-15'!G376</f>
        <v>0</v>
      </c>
      <c r="C10" s="47"/>
      <c r="D10" s="57"/>
      <c r="E10" s="48"/>
      <c r="F10" s="57"/>
      <c r="G10" s="46"/>
      <c r="H10" s="57"/>
      <c r="I10" s="58"/>
    </row>
    <row r="11" spans="1:9" x14ac:dyDescent="0.25">
      <c r="A11" s="13">
        <v>2012</v>
      </c>
      <c r="B11" s="62"/>
      <c r="C11" s="47"/>
      <c r="D11" s="57"/>
      <c r="E11" s="48"/>
      <c r="F11" s="57"/>
      <c r="G11" s="46"/>
      <c r="H11" s="57"/>
      <c r="I11" s="58"/>
    </row>
    <row r="12" spans="1:9" x14ac:dyDescent="0.25">
      <c r="A12" s="13">
        <v>2011</v>
      </c>
      <c r="B12" s="62"/>
      <c r="C12" s="47"/>
      <c r="D12" s="57"/>
      <c r="E12" s="48"/>
      <c r="F12" s="57"/>
      <c r="G12" s="46"/>
      <c r="H12" s="57"/>
      <c r="I12" s="58"/>
    </row>
    <row r="13" spans="1:9" x14ac:dyDescent="0.25">
      <c r="A13" s="13">
        <v>2010</v>
      </c>
      <c r="B13" s="62"/>
      <c r="C13" s="47"/>
      <c r="D13" s="57"/>
      <c r="E13" s="48"/>
      <c r="F13" s="57"/>
      <c r="G13" s="46"/>
      <c r="H13" s="57"/>
      <c r="I13" s="58"/>
    </row>
    <row r="14" spans="1:9" x14ac:dyDescent="0.25">
      <c r="A14" s="13">
        <v>2009</v>
      </c>
      <c r="B14" s="63" t="e">
        <f>+'P.D. RELEASED JAN-DEC.. 2009'!#REF!</f>
        <v>#REF!</v>
      </c>
      <c r="C14" s="45" t="e">
        <f>+'P.D. RELEASED JAN-DEC.. 2009'!#REF!</f>
        <v>#REF!</v>
      </c>
      <c r="D14" s="55" t="e">
        <f>+'P.D. RELEASED JAN-DEC.. 2009'!#REF!</f>
        <v>#REF!</v>
      </c>
      <c r="E14" s="45" t="e">
        <f>+'P.D. RELEASED JAN-DEC.. 2009'!#REF!</f>
        <v>#REF!</v>
      </c>
      <c r="F14" s="55" t="e">
        <f>+'P.D. RELEASED JAN-DEC.. 2009'!#REF!</f>
        <v>#REF!</v>
      </c>
      <c r="G14" s="45" t="e">
        <f>+'P.D. RELEASED JAN-DEC.. 2009'!#REF!</f>
        <v>#REF!</v>
      </c>
      <c r="H14" s="55" t="e">
        <f>+'P.D. RELEASED JAN-DEC.. 2009'!#REF!</f>
        <v>#REF!</v>
      </c>
      <c r="I14" s="55" t="e">
        <f>+'P.D. RELEASED JAN-DEC.. 2009'!#REF!</f>
        <v>#REF!</v>
      </c>
    </row>
    <row r="15" spans="1:9" x14ac:dyDescent="0.25">
      <c r="A15" s="13">
        <v>2008</v>
      </c>
      <c r="B15" s="64">
        <f>+'P.D.-RELEASED JAN-DEC 2008'!H35</f>
        <v>0</v>
      </c>
      <c r="C15" s="9">
        <f>+'P.D.-RELEASED JAN-DEC 2008'!J35</f>
        <v>0</v>
      </c>
      <c r="D15" s="56">
        <f>+'P.D.-RELEASED JAN-DEC 2008'!L35</f>
        <v>0</v>
      </c>
      <c r="E15" s="9">
        <f>+'P.D.-RELEASED JAN-DEC 2008'!N35</f>
        <v>0</v>
      </c>
      <c r="F15" s="56">
        <f>+'P.D.-RELEASED JAN-DEC 2008'!O35</f>
        <v>0</v>
      </c>
      <c r="G15" s="9">
        <f>+'P.D.-RELEASED JAN-DEC 2008'!P35</f>
        <v>0</v>
      </c>
      <c r="H15" s="56">
        <f>+'P.D.-RELEASED JAN-DEC 2008'!R35</f>
        <v>0</v>
      </c>
      <c r="I15" s="56">
        <f>+'P.D.-RELEASED JAN-DEC 2008'!S35</f>
        <v>0</v>
      </c>
    </row>
    <row r="16" spans="1:9" x14ac:dyDescent="0.25">
      <c r="A16" s="13">
        <v>2007</v>
      </c>
      <c r="B16" s="64" t="e">
        <f>+'P.D. RELEASED JAN-DEC. 2007'!#REF!</f>
        <v>#REF!</v>
      </c>
      <c r="C16" s="9" t="e">
        <f>+'P.D. RELEASED JAN-DEC. 2007'!#REF!</f>
        <v>#REF!</v>
      </c>
      <c r="D16" s="56" t="e">
        <f>+'P.D. RELEASED JAN-DEC. 2007'!#REF!</f>
        <v>#REF!</v>
      </c>
      <c r="E16" s="9" t="e">
        <f>+'P.D. RELEASED JAN-DEC. 2007'!#REF!</f>
        <v>#REF!</v>
      </c>
      <c r="F16" s="56" t="e">
        <f>+'P.D. RELEASED JAN-DEC. 2007'!#REF!</f>
        <v>#REF!</v>
      </c>
      <c r="G16" s="9" t="e">
        <f>+'P.D. RELEASED JAN-DEC. 2007'!#REF!</f>
        <v>#REF!</v>
      </c>
      <c r="H16" s="56" t="e">
        <f>+'P.D. RELEASED JAN-DEC. 2007'!#REF!</f>
        <v>#REF!</v>
      </c>
      <c r="I16" s="56" t="e">
        <f>+'P.D. RELEASED JAN-DEC. 2007'!#REF!</f>
        <v>#REF!</v>
      </c>
    </row>
    <row r="17" spans="1:9" x14ac:dyDescent="0.25">
      <c r="A17" s="13">
        <v>2006</v>
      </c>
      <c r="B17" s="64">
        <f>+'P.D. RELEASED JAN-DEC. 2006'!G39</f>
        <v>0</v>
      </c>
      <c r="C17" s="9">
        <f>+'P.D. RELEASED JAN-DEC. 2006'!I39</f>
        <v>0</v>
      </c>
      <c r="D17" s="56">
        <f>+'P.D. RELEASED JAN-DEC. 2006'!K39</f>
        <v>0</v>
      </c>
      <c r="E17" s="9">
        <f>+'P.D. RELEASED JAN-DEC. 2006'!M39</f>
        <v>0</v>
      </c>
      <c r="F17" s="56">
        <f>+'P.D. RELEASED JAN-DEC. 2006'!N39</f>
        <v>0</v>
      </c>
      <c r="G17" s="9">
        <f>+'P.D. RELEASED JAN-DEC. 2006'!O39</f>
        <v>0</v>
      </c>
      <c r="H17" s="56">
        <f>+'P.D. RELEASED JAN-DEC. 2006'!Q39</f>
        <v>0</v>
      </c>
      <c r="I17" s="56">
        <f>+'P.D. RELEASED JAN-DEC. 2006'!R39</f>
        <v>0</v>
      </c>
    </row>
    <row r="18" spans="1:9" x14ac:dyDescent="0.25">
      <c r="A18" s="13">
        <v>2005</v>
      </c>
      <c r="B18" s="64" t="e">
        <f>+'P.D. RELEASED JAN-DEC. 2006'!#REF!</f>
        <v>#REF!</v>
      </c>
      <c r="C18" s="9" t="e">
        <f>+'P.D. RELEASED JAN-DEC. 2006'!#REF!</f>
        <v>#REF!</v>
      </c>
      <c r="D18" s="56" t="e">
        <f>+'P.D. RELEASED JAN-DEC. 2006'!#REF!</f>
        <v>#REF!</v>
      </c>
      <c r="E18" s="9" t="e">
        <f>+'P.D. RELEASED JAN-DEC. 2006'!#REF!</f>
        <v>#REF!</v>
      </c>
      <c r="F18" s="56" t="e">
        <f>+'P.D. RELEASED JAN-DEC. 2006'!#REF!</f>
        <v>#REF!</v>
      </c>
      <c r="G18" s="9" t="e">
        <f>+'P.D. RELEASED JAN-DEC. 2006'!#REF!</f>
        <v>#REF!</v>
      </c>
      <c r="H18" s="56" t="e">
        <f>+'P.D. RELEASED JAN-DEC. 2006'!#REF!</f>
        <v>#REF!</v>
      </c>
      <c r="I18" s="56" t="e">
        <f>+'P.D. RELEASED JAN-DEC. 2006'!#REF!</f>
        <v>#REF!</v>
      </c>
    </row>
    <row r="19" spans="1:9" x14ac:dyDescent="0.25">
      <c r="A19" s="13">
        <v>2004</v>
      </c>
      <c r="B19" s="64" t="e">
        <f>+'MISSING CLIENTS'!#REF!</f>
        <v>#REF!</v>
      </c>
      <c r="C19" s="9" t="e">
        <f>+'MISSING CLIENTS'!#REF!</f>
        <v>#REF!</v>
      </c>
      <c r="D19" s="56" t="e">
        <f>+'MISSING CLIENTS'!#REF!</f>
        <v>#REF!</v>
      </c>
      <c r="E19" s="9" t="e">
        <f>+'MISSING CLIENTS'!#REF!</f>
        <v>#REF!</v>
      </c>
      <c r="F19" s="56" t="e">
        <f>+'MISSING CLIENTS'!#REF!</f>
        <v>#REF!</v>
      </c>
      <c r="G19" s="9" t="e">
        <f>+'MISSING CLIENTS'!R22</f>
        <v>#REF!</v>
      </c>
      <c r="H19" s="56" t="e">
        <f>+'P.D. RELEASED JAN-DEC. 2004'!#REF!</f>
        <v>#REF!</v>
      </c>
      <c r="I19" s="56" t="e">
        <f>+'P.D. RELEASED JAN-DEC. 2004'!#REF!</f>
        <v>#REF!</v>
      </c>
    </row>
    <row r="20" spans="1:9" x14ac:dyDescent="0.25">
      <c r="A20" s="13">
        <v>2003</v>
      </c>
      <c r="B20" s="64" t="e">
        <f>+'P.D. RELEASED JAN-DEC. 2004'!#REF!</f>
        <v>#REF!</v>
      </c>
      <c r="C20" s="9" t="e">
        <f>+'P.D. RELEASED JAN-DEC. 2004'!#REF!</f>
        <v>#REF!</v>
      </c>
      <c r="D20" s="56" t="e">
        <f>+'P.D. RELEASED JAN-DEC. 2004'!#REF!</f>
        <v>#REF!</v>
      </c>
      <c r="E20" s="9" t="e">
        <f>+'P.D. RELEASED JAN-DEC. 2004'!#REF!</f>
        <v>#REF!</v>
      </c>
      <c r="F20" s="56" t="e">
        <f>+'P.D. RELEASED JAN-DEC. 2004'!#REF!</f>
        <v>#REF!</v>
      </c>
      <c r="G20" s="9" t="e">
        <f>+'P.D. RELEASED JAN-DEC. 2004'!#REF!</f>
        <v>#REF!</v>
      </c>
      <c r="H20" s="56" t="e">
        <f>+'P.D. RELEASED JAN-DEC. 2004'!#REF!</f>
        <v>#REF!</v>
      </c>
      <c r="I20" s="56" t="e">
        <f>+'P.D. RELEASED JAN-DEC. 2004'!#REF!</f>
        <v>#REF!</v>
      </c>
    </row>
    <row r="21" spans="1:9" x14ac:dyDescent="0.25">
      <c r="A21" s="13">
        <v>2002</v>
      </c>
      <c r="B21" s="65" t="e">
        <f>+'P.D. RELEASED JAN-DEC. 2002'!#REF!</f>
        <v>#REF!</v>
      </c>
      <c r="C21" s="9" t="e">
        <f>+'P.D. RELEASED JAN-DEC. 2002'!#REF!</f>
        <v>#REF!</v>
      </c>
      <c r="D21" s="8" t="e">
        <f>+'P.D. RELEASED JAN-DEC. 2002'!#REF!</f>
        <v>#REF!</v>
      </c>
      <c r="E21" s="9" t="e">
        <f>+'P.D. RELEASED JAN-DEC. 2002'!#REF!</f>
        <v>#REF!</v>
      </c>
      <c r="F21" s="8" t="e">
        <f>+'P.D. RELEASED JAN-DEC. 2002'!#REF!</f>
        <v>#REF!</v>
      </c>
      <c r="G21" s="9" t="e">
        <f>+'P.D. RELEASED JAN-DEC. 2002'!#REF!</f>
        <v>#REF!</v>
      </c>
      <c r="H21" s="8" t="e">
        <f>+'P.D. RELEASED JAN-DEC. 2002'!#REF!</f>
        <v>#REF!</v>
      </c>
      <c r="I21" s="8" t="e">
        <f>+'P.D. RELEASED JAN-DEC. 2002'!#REF!</f>
        <v>#REF!</v>
      </c>
    </row>
    <row r="22" spans="1:9" ht="15.75" thickBot="1" x14ac:dyDescent="0.3">
      <c r="A22" s="5" t="s">
        <v>384</v>
      </c>
      <c r="B22" s="49" t="e">
        <f t="shared" ref="B22:I22" si="0">SUM(B10:B21)</f>
        <v>#REF!</v>
      </c>
      <c r="C22" s="7" t="e">
        <f t="shared" si="0"/>
        <v>#REF!</v>
      </c>
      <c r="D22" s="883" t="e">
        <f t="shared" si="0"/>
        <v>#REF!</v>
      </c>
      <c r="E22" s="7" t="e">
        <f t="shared" si="0"/>
        <v>#REF!</v>
      </c>
      <c r="F22" s="883" t="e">
        <f t="shared" si="0"/>
        <v>#REF!</v>
      </c>
      <c r="G22" s="7" t="e">
        <f t="shared" si="0"/>
        <v>#REF!</v>
      </c>
      <c r="H22" s="883" t="e">
        <f t="shared" si="0"/>
        <v>#REF!</v>
      </c>
      <c r="I22" s="884" t="e">
        <f t="shared" si="0"/>
        <v>#REF!</v>
      </c>
    </row>
    <row r="23" spans="1:9" x14ac:dyDescent="0.25">
      <c r="A23" s="66"/>
      <c r="B23" s="51"/>
      <c r="C23" s="66"/>
      <c r="D23" s="51"/>
      <c r="E23" s="66"/>
      <c r="F23" s="51"/>
      <c r="G23" s="66"/>
      <c r="H23" s="51"/>
      <c r="I23" s="66"/>
    </row>
    <row r="24" spans="1:9" ht="15.75" thickBot="1" x14ac:dyDescent="0.3">
      <c r="A24" s="67" t="s">
        <v>385</v>
      </c>
      <c r="B24" s="52" t="s">
        <v>89</v>
      </c>
      <c r="C24" s="50"/>
      <c r="D24" s="53" t="e">
        <f>+D7+D22</f>
        <v>#REF!</v>
      </c>
      <c r="E24" s="50"/>
      <c r="F24" s="50"/>
      <c r="G24" s="50"/>
      <c r="H24" s="50"/>
      <c r="I24" s="50"/>
    </row>
    <row r="25" spans="1:9" ht="15.75" thickTop="1" x14ac:dyDescent="0.25"/>
    <row r="26" spans="1:9" x14ac:dyDescent="0.25">
      <c r="A26" t="s">
        <v>386</v>
      </c>
      <c r="D26" s="12">
        <v>6811529.5</v>
      </c>
    </row>
    <row r="27" spans="1:9" x14ac:dyDescent="0.25">
      <c r="D27" s="12"/>
    </row>
    <row r="28" spans="1:9" x14ac:dyDescent="0.25">
      <c r="A28" t="s">
        <v>387</v>
      </c>
      <c r="D28" s="2" t="e">
        <f>+D26-D24</f>
        <v>#REF!</v>
      </c>
    </row>
    <row r="29" spans="1:9" x14ac:dyDescent="0.25">
      <c r="D29" s="12"/>
    </row>
    <row r="30" spans="1:9" x14ac:dyDescent="0.25">
      <c r="D30" s="12"/>
    </row>
  </sheetData>
  <mergeCells count="2">
    <mergeCell ref="B4:D4"/>
    <mergeCell ref="E4:G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38"/>
  <sheetViews>
    <sheetView topLeftCell="A13" workbookViewId="0">
      <selection activeCell="I9" sqref="I9"/>
    </sheetView>
  </sheetViews>
  <sheetFormatPr defaultRowHeight="15" x14ac:dyDescent="0.25"/>
  <cols>
    <col min="1" max="1" width="20.42578125" customWidth="1"/>
    <col min="2" max="2" width="15.140625" customWidth="1"/>
    <col min="3" max="3" width="9.140625" customWidth="1"/>
    <col min="4" max="4" width="8" customWidth="1"/>
    <col min="5" max="5" width="9.140625" hidden="1" customWidth="1"/>
    <col min="6" max="6" width="11.140625" customWidth="1"/>
    <col min="7" max="7" width="9.28515625" customWidth="1"/>
    <col min="8" max="8" width="11.42578125" customWidth="1"/>
    <col min="9" max="9" width="9.28515625" customWidth="1"/>
    <col min="10" max="10" width="12.7109375" customWidth="1"/>
    <col min="11" max="11" width="9.42578125" customWidth="1"/>
    <col min="12" max="12" width="10.42578125" customWidth="1"/>
    <col min="13" max="13" width="11.28515625" customWidth="1"/>
    <col min="14" max="14" width="13" customWidth="1"/>
    <col min="15" max="15" width="10.5703125" style="971" customWidth="1"/>
    <col min="16" max="16" width="8.42578125" customWidth="1"/>
    <col min="17" max="17" width="11.85546875" customWidth="1"/>
    <col min="19" max="19" width="10.42578125" customWidth="1"/>
    <col min="20" max="20" width="11.28515625" customWidth="1"/>
    <col min="23" max="23" width="10.28515625" customWidth="1"/>
  </cols>
  <sheetData>
    <row r="1" spans="1:23" ht="15.75" x14ac:dyDescent="0.25">
      <c r="A1" s="1356" t="s">
        <v>87</v>
      </c>
      <c r="B1" s="1356"/>
      <c r="C1" s="1356"/>
      <c r="D1" s="1356"/>
      <c r="E1" s="1356"/>
      <c r="F1" s="1356"/>
      <c r="G1" s="1356"/>
      <c r="H1" s="1356"/>
      <c r="I1" s="1356"/>
      <c r="J1" s="1356"/>
      <c r="K1" s="1356"/>
      <c r="L1" s="1356"/>
      <c r="M1" s="1356"/>
      <c r="N1" s="1356"/>
      <c r="O1" s="1356"/>
      <c r="P1" s="227"/>
      <c r="Q1" s="134"/>
      <c r="R1" s="134"/>
      <c r="S1" s="134"/>
      <c r="T1" s="134"/>
      <c r="U1" s="121"/>
      <c r="V1" s="121"/>
      <c r="W1" s="121"/>
    </row>
    <row r="2" spans="1:23" ht="15.75" x14ac:dyDescent="0.25">
      <c r="A2" s="1356" t="s">
        <v>88</v>
      </c>
      <c r="B2" s="1356"/>
      <c r="C2" s="1356"/>
      <c r="D2" s="1356"/>
      <c r="E2" s="1356"/>
      <c r="F2" s="1356"/>
      <c r="G2" s="1356"/>
      <c r="H2" s="1356"/>
      <c r="I2" s="1356"/>
      <c r="J2" s="1356"/>
      <c r="K2" s="1356"/>
      <c r="L2" s="1356"/>
      <c r="M2" s="1356"/>
      <c r="N2" s="1356"/>
      <c r="O2" s="1356"/>
      <c r="P2" s="227"/>
      <c r="Q2" s="134"/>
      <c r="R2" s="134"/>
      <c r="S2" s="134"/>
      <c r="T2" s="134"/>
      <c r="U2" s="135"/>
      <c r="V2" s="121"/>
      <c r="W2" s="121"/>
    </row>
    <row r="3" spans="1:23" ht="15.75" x14ac:dyDescent="0.25">
      <c r="A3" s="1356" t="s">
        <v>1441</v>
      </c>
      <c r="B3" s="1356"/>
      <c r="C3" s="1356"/>
      <c r="D3" s="1356"/>
      <c r="E3" s="1356"/>
      <c r="F3" s="1356"/>
      <c r="G3" s="1356"/>
      <c r="H3" s="1356"/>
      <c r="I3" s="1356"/>
      <c r="J3" s="1356"/>
      <c r="K3" s="1356"/>
      <c r="L3" s="1356"/>
      <c r="M3" s="1356"/>
      <c r="N3" s="1356"/>
      <c r="O3" s="1356"/>
      <c r="P3" s="227"/>
      <c r="Q3" s="134"/>
      <c r="R3" s="134"/>
      <c r="S3" s="134"/>
      <c r="T3" s="134"/>
      <c r="U3" s="135"/>
      <c r="V3" s="121"/>
      <c r="W3" s="121"/>
    </row>
    <row r="4" spans="1:23" ht="15.75" thickBot="1" x14ac:dyDescent="0.3">
      <c r="A4" s="228" t="s">
        <v>420</v>
      </c>
      <c r="B4" s="228"/>
      <c r="C4" s="229"/>
      <c r="D4" s="230"/>
      <c r="E4" s="230"/>
      <c r="F4" s="230"/>
      <c r="G4" s="230"/>
      <c r="H4" s="231"/>
      <c r="I4" s="231"/>
      <c r="J4" s="231"/>
      <c r="K4" s="231"/>
      <c r="L4" s="231"/>
      <c r="M4" s="231"/>
      <c r="N4" s="231"/>
      <c r="O4" s="230"/>
      <c r="P4" s="231"/>
      <c r="Q4" s="111"/>
      <c r="R4" s="111"/>
      <c r="S4" s="111"/>
      <c r="T4" s="111"/>
      <c r="U4" s="135"/>
      <c r="V4" s="121"/>
      <c r="W4" s="121"/>
    </row>
    <row r="5" spans="1:23" ht="15.75" thickBot="1" x14ac:dyDescent="0.3">
      <c r="A5" s="232"/>
      <c r="B5" s="233"/>
      <c r="C5" s="179"/>
      <c r="D5" s="179"/>
      <c r="E5" s="234" t="s">
        <v>95</v>
      </c>
      <c r="F5" s="235"/>
      <c r="G5" s="236"/>
      <c r="H5" s="1374" t="s">
        <v>1442</v>
      </c>
      <c r="I5" s="1375"/>
      <c r="J5" s="1375"/>
      <c r="K5" s="1375"/>
      <c r="L5" s="1375"/>
      <c r="M5" s="1375"/>
      <c r="N5" s="1376"/>
      <c r="O5" s="1009"/>
      <c r="P5" s="237"/>
      <c r="Q5" s="117"/>
      <c r="R5" s="123"/>
      <c r="S5" s="124"/>
      <c r="T5" s="125"/>
      <c r="U5" s="118"/>
      <c r="V5" s="121"/>
      <c r="W5" s="121"/>
    </row>
    <row r="6" spans="1:23" ht="15.75" thickBot="1" x14ac:dyDescent="0.3">
      <c r="A6" s="238" t="s">
        <v>2</v>
      </c>
      <c r="B6" s="239" t="s">
        <v>3</v>
      </c>
      <c r="C6" s="239" t="s">
        <v>4</v>
      </c>
      <c r="D6" s="239" t="s">
        <v>5</v>
      </c>
      <c r="E6" s="240" t="s">
        <v>96</v>
      </c>
      <c r="F6" s="239" t="s">
        <v>406</v>
      </c>
      <c r="G6" s="241" t="s">
        <v>454</v>
      </c>
      <c r="H6" s="242" t="s">
        <v>406</v>
      </c>
      <c r="I6" s="241" t="s">
        <v>455</v>
      </c>
      <c r="J6" s="243" t="s">
        <v>19</v>
      </c>
      <c r="K6" s="241" t="s">
        <v>456</v>
      </c>
      <c r="L6" s="243" t="s">
        <v>80</v>
      </c>
      <c r="M6" s="241" t="s">
        <v>457</v>
      </c>
      <c r="N6" s="941" t="s">
        <v>400</v>
      </c>
      <c r="O6" s="942" t="s">
        <v>79</v>
      </c>
      <c r="P6" s="943" t="s">
        <v>418</v>
      </c>
      <c r="Q6" s="136"/>
      <c r="R6" s="127"/>
      <c r="S6" s="124"/>
      <c r="T6" s="129"/>
      <c r="U6" s="121"/>
      <c r="V6" s="121"/>
      <c r="W6" s="121"/>
    </row>
    <row r="7" spans="1:23" ht="15.75" thickBot="1" x14ac:dyDescent="0.3">
      <c r="A7" s="244"/>
      <c r="B7" s="245"/>
      <c r="C7" s="245"/>
      <c r="D7" s="245"/>
      <c r="E7" s="245"/>
      <c r="F7" s="246"/>
      <c r="G7" s="247" t="s">
        <v>438</v>
      </c>
      <c r="H7" s="248"/>
      <c r="I7" s="247" t="s">
        <v>438</v>
      </c>
      <c r="J7" s="249"/>
      <c r="K7" s="247" t="s">
        <v>438</v>
      </c>
      <c r="L7" s="249"/>
      <c r="M7" s="324" t="s">
        <v>452</v>
      </c>
      <c r="N7" s="945"/>
      <c r="O7" s="1010"/>
      <c r="P7" s="946"/>
      <c r="Q7" s="136"/>
      <c r="R7" s="127"/>
      <c r="S7" s="124"/>
      <c r="T7" s="125"/>
      <c r="U7" s="121"/>
      <c r="V7" s="121"/>
      <c r="W7" s="121"/>
    </row>
    <row r="8" spans="1:23" x14ac:dyDescent="0.25">
      <c r="A8" s="250" t="s">
        <v>65</v>
      </c>
      <c r="B8" s="251" t="s">
        <v>54</v>
      </c>
      <c r="C8" s="252">
        <v>39493</v>
      </c>
      <c r="D8" s="253">
        <v>39553</v>
      </c>
      <c r="E8" s="254">
        <v>-121</v>
      </c>
      <c r="F8" s="461">
        <v>10000</v>
      </c>
      <c r="G8" s="255"/>
      <c r="H8" s="255">
        <v>4535</v>
      </c>
      <c r="I8" s="256"/>
      <c r="J8" s="256">
        <v>5415</v>
      </c>
      <c r="K8" s="255"/>
      <c r="L8" s="255">
        <v>12310</v>
      </c>
      <c r="M8" s="255">
        <f t="shared" ref="M8:M33" si="0">+G8+I8+K8</f>
        <v>0</v>
      </c>
      <c r="N8" s="257">
        <f t="shared" ref="N8:N33" si="1">+H8+J8+L8</f>
        <v>22260</v>
      </c>
      <c r="O8" s="1011">
        <v>41048</v>
      </c>
      <c r="P8" s="944"/>
      <c r="Q8" s="124">
        <v>3925</v>
      </c>
      <c r="R8" s="128">
        <f>3964+339</f>
        <v>4303</v>
      </c>
      <c r="S8" s="138">
        <v>3685</v>
      </c>
      <c r="T8" s="131">
        <v>3520</v>
      </c>
      <c r="U8" s="138">
        <v>4375</v>
      </c>
      <c r="V8" s="138">
        <f>+H8*0.05+U8-120</f>
        <v>4481.75</v>
      </c>
      <c r="W8" s="131">
        <f t="shared" ref="W8:W16" si="2">H8*0.05+V8</f>
        <v>4708.5</v>
      </c>
    </row>
    <row r="9" spans="1:23" x14ac:dyDescent="0.25">
      <c r="A9" s="273" t="s">
        <v>58</v>
      </c>
      <c r="B9" s="196" t="s">
        <v>14</v>
      </c>
      <c r="C9" s="938">
        <v>39687</v>
      </c>
      <c r="D9" s="939">
        <v>39809</v>
      </c>
      <c r="E9" s="254"/>
      <c r="F9" s="940">
        <v>7000</v>
      </c>
      <c r="G9" s="255"/>
      <c r="H9" s="255">
        <v>4083</v>
      </c>
      <c r="I9" s="256"/>
      <c r="J9" s="256">
        <v>1020</v>
      </c>
      <c r="K9" s="255"/>
      <c r="L9" s="255">
        <v>2438</v>
      </c>
      <c r="M9" s="259">
        <f t="shared" ref="M9" si="3">+G9+I9+K9</f>
        <v>0</v>
      </c>
      <c r="N9" s="257">
        <f t="shared" ref="N9" si="4">+H9+J9+L9</f>
        <v>7541</v>
      </c>
      <c r="O9" s="998">
        <v>41261</v>
      </c>
      <c r="P9" s="507"/>
      <c r="Q9" s="124"/>
      <c r="R9" s="128"/>
      <c r="S9" s="138"/>
      <c r="T9" s="131"/>
      <c r="U9" s="138"/>
      <c r="V9" s="138"/>
      <c r="W9" s="131"/>
    </row>
    <row r="10" spans="1:23" x14ac:dyDescent="0.25">
      <c r="A10" s="216" t="s">
        <v>120</v>
      </c>
      <c r="B10" s="188" t="s">
        <v>407</v>
      </c>
      <c r="C10" s="260">
        <v>39541</v>
      </c>
      <c r="D10" s="261">
        <v>39663</v>
      </c>
      <c r="E10" s="254">
        <v>-122</v>
      </c>
      <c r="F10" s="462">
        <v>8000</v>
      </c>
      <c r="G10" s="259"/>
      <c r="H10" s="259">
        <v>4885</v>
      </c>
      <c r="I10" s="263"/>
      <c r="J10" s="263">
        <v>7210</v>
      </c>
      <c r="K10" s="259"/>
      <c r="L10" s="259">
        <f>3760+120+120+120+120+120+120</f>
        <v>4480</v>
      </c>
      <c r="M10" s="259">
        <f t="shared" si="0"/>
        <v>0</v>
      </c>
      <c r="N10" s="257">
        <f t="shared" si="1"/>
        <v>16575</v>
      </c>
      <c r="O10" s="998">
        <v>39920</v>
      </c>
      <c r="P10" s="508"/>
      <c r="Q10" s="124">
        <f>H10*0.05+R10</f>
        <v>4768.5</v>
      </c>
      <c r="R10" s="128">
        <f>4280.25+244</f>
        <v>4524.25</v>
      </c>
      <c r="S10" s="138">
        <f>+H10*0.05+Q10</f>
        <v>5012.75</v>
      </c>
      <c r="T10" s="131">
        <f>H10*0.05+S10</f>
        <v>5257</v>
      </c>
      <c r="U10" s="138">
        <f>+H10*0.05+T10</f>
        <v>5501.25</v>
      </c>
      <c r="V10" s="138">
        <f>+H10*0.05+U10</f>
        <v>5745.5</v>
      </c>
      <c r="W10" s="131">
        <f t="shared" si="2"/>
        <v>5989.75</v>
      </c>
    </row>
    <row r="11" spans="1:23" x14ac:dyDescent="0.25">
      <c r="A11" s="216" t="s">
        <v>624</v>
      </c>
      <c r="B11" s="188" t="s">
        <v>33</v>
      </c>
      <c r="C11" s="260">
        <v>39568</v>
      </c>
      <c r="D11" s="261">
        <v>39721</v>
      </c>
      <c r="E11" s="254"/>
      <c r="F11" s="462">
        <v>10000</v>
      </c>
      <c r="G11" s="259"/>
      <c r="H11" s="259">
        <v>1136</v>
      </c>
      <c r="I11" s="263"/>
      <c r="J11" s="263">
        <v>1226</v>
      </c>
      <c r="K11" s="259"/>
      <c r="L11" s="259">
        <v>300</v>
      </c>
      <c r="M11" s="259">
        <f t="shared" si="0"/>
        <v>0</v>
      </c>
      <c r="N11" s="257">
        <f t="shared" si="1"/>
        <v>2662</v>
      </c>
      <c r="O11" s="998">
        <v>41304</v>
      </c>
      <c r="P11" s="527"/>
      <c r="Q11" s="124"/>
      <c r="R11" s="128"/>
      <c r="S11" s="138"/>
      <c r="T11" s="131"/>
      <c r="U11" s="138"/>
      <c r="V11" s="138"/>
      <c r="W11" s="131"/>
    </row>
    <row r="12" spans="1:23" x14ac:dyDescent="0.25">
      <c r="A12" s="216" t="s">
        <v>51</v>
      </c>
      <c r="B12" s="188" t="s">
        <v>32</v>
      </c>
      <c r="C12" s="260">
        <v>39686</v>
      </c>
      <c r="D12" s="261">
        <v>39808</v>
      </c>
      <c r="E12" s="254">
        <v>-122</v>
      </c>
      <c r="F12" s="462">
        <v>5000</v>
      </c>
      <c r="G12" s="259"/>
      <c r="H12" s="259">
        <v>5000</v>
      </c>
      <c r="I12" s="263"/>
      <c r="J12" s="263">
        <v>15750</v>
      </c>
      <c r="K12" s="259"/>
      <c r="L12" s="259">
        <v>7085</v>
      </c>
      <c r="M12" s="259">
        <f t="shared" si="0"/>
        <v>0</v>
      </c>
      <c r="N12" s="257">
        <f t="shared" si="1"/>
        <v>27835</v>
      </c>
      <c r="O12" s="998">
        <v>40595</v>
      </c>
      <c r="P12" s="508"/>
      <c r="Q12" s="124">
        <f>H12*0.05+R12</f>
        <v>4750</v>
      </c>
      <c r="R12" s="128">
        <f>4250+250</f>
        <v>4500</v>
      </c>
      <c r="S12" s="138">
        <f>+H12*0.05+Q12</f>
        <v>5000</v>
      </c>
      <c r="T12" s="131">
        <f>H12*0.05+S12</f>
        <v>5250</v>
      </c>
      <c r="U12" s="138">
        <f>+H12*0.05+T12</f>
        <v>5500</v>
      </c>
      <c r="V12" s="138">
        <f>+H12*0.05+U12</f>
        <v>5750</v>
      </c>
      <c r="W12" s="131">
        <f t="shared" si="2"/>
        <v>6000</v>
      </c>
    </row>
    <row r="13" spans="1:23" x14ac:dyDescent="0.25">
      <c r="A13" s="680" t="s">
        <v>143</v>
      </c>
      <c r="B13" s="81" t="s">
        <v>11</v>
      </c>
      <c r="C13" s="265">
        <v>39392</v>
      </c>
      <c r="D13" s="266">
        <v>39583</v>
      </c>
      <c r="E13" s="267">
        <v>5210</v>
      </c>
      <c r="F13" s="276">
        <v>5210</v>
      </c>
      <c r="G13" s="268"/>
      <c r="H13" s="263">
        <v>1014</v>
      </c>
      <c r="I13" s="263"/>
      <c r="J13" s="268">
        <v>1691</v>
      </c>
      <c r="K13" s="268"/>
      <c r="L13" s="268">
        <v>599</v>
      </c>
      <c r="M13" s="259">
        <f t="shared" si="0"/>
        <v>0</v>
      </c>
      <c r="N13" s="257">
        <f t="shared" si="1"/>
        <v>3304</v>
      </c>
      <c r="O13" s="998">
        <v>41155</v>
      </c>
      <c r="P13" s="509"/>
      <c r="Q13" s="124"/>
      <c r="R13" s="128"/>
      <c r="S13" s="138"/>
      <c r="T13" s="131"/>
      <c r="U13" s="138"/>
      <c r="V13" s="138"/>
      <c r="W13" s="131"/>
    </row>
    <row r="14" spans="1:23" x14ac:dyDescent="0.25">
      <c r="A14" s="680" t="s">
        <v>1128</v>
      </c>
      <c r="B14" s="81" t="s">
        <v>1129</v>
      </c>
      <c r="C14" s="265">
        <v>39366</v>
      </c>
      <c r="D14" s="266">
        <v>39458</v>
      </c>
      <c r="E14" s="270"/>
      <c r="F14" s="276">
        <v>15000</v>
      </c>
      <c r="G14" s="268"/>
      <c r="H14" s="263">
        <v>15000</v>
      </c>
      <c r="I14" s="263"/>
      <c r="J14" s="268">
        <v>41250</v>
      </c>
      <c r="K14" s="268"/>
      <c r="L14" s="268">
        <v>15869</v>
      </c>
      <c r="M14" s="259">
        <f t="shared" si="0"/>
        <v>0</v>
      </c>
      <c r="N14" s="257">
        <f t="shared" si="1"/>
        <v>72119</v>
      </c>
      <c r="O14" s="1012" t="s">
        <v>76</v>
      </c>
      <c r="P14" s="511"/>
      <c r="Q14" s="124"/>
      <c r="R14" s="128"/>
      <c r="S14" s="138"/>
      <c r="T14" s="131"/>
      <c r="U14" s="138"/>
      <c r="V14" s="138"/>
      <c r="W14" s="131"/>
    </row>
    <row r="15" spans="1:23" x14ac:dyDescent="0.25">
      <c r="A15" s="680" t="s">
        <v>1130</v>
      </c>
      <c r="B15" s="81" t="s">
        <v>54</v>
      </c>
      <c r="C15" s="265">
        <v>39398</v>
      </c>
      <c r="D15" s="266">
        <v>39519</v>
      </c>
      <c r="E15" s="270"/>
      <c r="F15" s="276">
        <v>3000</v>
      </c>
      <c r="G15" s="268"/>
      <c r="H15" s="263">
        <v>2975</v>
      </c>
      <c r="I15" s="263"/>
      <c r="J15" s="268">
        <v>8028</v>
      </c>
      <c r="K15" s="268"/>
      <c r="L15" s="268">
        <v>2059</v>
      </c>
      <c r="M15" s="259"/>
      <c r="N15" s="257">
        <f t="shared" si="1"/>
        <v>13062</v>
      </c>
      <c r="O15" s="1012">
        <v>39737</v>
      </c>
      <c r="P15" s="511"/>
      <c r="Q15" s="124"/>
      <c r="R15" s="128"/>
      <c r="S15" s="138"/>
      <c r="T15" s="131"/>
      <c r="U15" s="138"/>
      <c r="V15" s="138"/>
      <c r="W15" s="131"/>
    </row>
    <row r="16" spans="1:23" x14ac:dyDescent="0.25">
      <c r="A16" s="216" t="s">
        <v>57</v>
      </c>
      <c r="B16" s="188" t="s">
        <v>31</v>
      </c>
      <c r="C16" s="260">
        <v>39667</v>
      </c>
      <c r="D16" s="261">
        <v>39789</v>
      </c>
      <c r="E16" s="254">
        <v>-122</v>
      </c>
      <c r="F16" s="462">
        <v>15000</v>
      </c>
      <c r="G16" s="259"/>
      <c r="H16" s="259">
        <v>7280</v>
      </c>
      <c r="I16" s="263"/>
      <c r="J16" s="263">
        <v>7046</v>
      </c>
      <c r="K16" s="259"/>
      <c r="L16" s="259">
        <v>3650</v>
      </c>
      <c r="M16" s="259">
        <f t="shared" si="0"/>
        <v>0</v>
      </c>
      <c r="N16" s="257">
        <f t="shared" si="1"/>
        <v>17976</v>
      </c>
      <c r="O16" s="998">
        <v>41122</v>
      </c>
      <c r="P16" s="508"/>
      <c r="Q16" s="124">
        <f>H16*0.05+R16</f>
        <v>3134</v>
      </c>
      <c r="R16" s="128">
        <f>2630+140</f>
        <v>2770</v>
      </c>
      <c r="S16" s="138">
        <f>+H16*0.05+Q16</f>
        <v>3498</v>
      </c>
      <c r="T16" s="131">
        <f>H16*0.05+S16</f>
        <v>3862</v>
      </c>
      <c r="U16" s="138">
        <v>2490</v>
      </c>
      <c r="V16" s="138">
        <f>+H16*0.05+U16</f>
        <v>2854</v>
      </c>
      <c r="W16" s="131">
        <f t="shared" si="2"/>
        <v>3218</v>
      </c>
    </row>
    <row r="17" spans="1:23" x14ac:dyDescent="0.25">
      <c r="A17" s="188" t="s">
        <v>608</v>
      </c>
      <c r="B17" s="188" t="s">
        <v>487</v>
      </c>
      <c r="C17" s="189">
        <v>39645</v>
      </c>
      <c r="D17" s="217">
        <v>39768</v>
      </c>
      <c r="E17" s="190">
        <v>2500</v>
      </c>
      <c r="F17" s="191">
        <v>2500</v>
      </c>
      <c r="G17" s="192"/>
      <c r="H17" s="192">
        <v>2010</v>
      </c>
      <c r="I17" s="497"/>
      <c r="J17" s="497">
        <v>2076</v>
      </c>
      <c r="K17" s="192"/>
      <c r="L17" s="192">
        <v>795</v>
      </c>
      <c r="M17" s="192">
        <f>+G17+I17+K17</f>
        <v>0</v>
      </c>
      <c r="N17" s="669">
        <f>+H17+J17+L17</f>
        <v>4881</v>
      </c>
      <c r="O17" s="970">
        <v>40975</v>
      </c>
      <c r="P17" s="758"/>
      <c r="Q17" s="124"/>
      <c r="R17" s="124"/>
      <c r="S17" s="138"/>
      <c r="T17" s="131"/>
      <c r="U17" s="138"/>
      <c r="V17" s="139"/>
      <c r="W17" s="199"/>
    </row>
    <row r="18" spans="1:23" x14ac:dyDescent="0.25">
      <c r="A18" s="188" t="s">
        <v>53</v>
      </c>
      <c r="B18" s="188" t="s">
        <v>54</v>
      </c>
      <c r="C18" s="189">
        <v>39675</v>
      </c>
      <c r="D18" s="670">
        <v>39797</v>
      </c>
      <c r="E18" s="192">
        <v>6000</v>
      </c>
      <c r="F18" s="542">
        <v>6000</v>
      </c>
      <c r="G18" s="532"/>
      <c r="H18" s="192">
        <v>386</v>
      </c>
      <c r="I18" s="497"/>
      <c r="J18" s="497">
        <v>1174</v>
      </c>
      <c r="K18" s="192"/>
      <c r="L18" s="192">
        <v>500</v>
      </c>
      <c r="M18" s="192">
        <f>+G18+I18+K18</f>
        <v>0</v>
      </c>
      <c r="N18" s="669">
        <f>+H18+J18+L18</f>
        <v>2060</v>
      </c>
      <c r="O18" s="970">
        <v>41317</v>
      </c>
      <c r="P18" s="303"/>
      <c r="Q18" s="124"/>
      <c r="R18" s="124"/>
      <c r="S18" s="138"/>
      <c r="T18" s="131"/>
      <c r="U18" s="138"/>
      <c r="V18" s="139"/>
      <c r="W18" s="199"/>
    </row>
    <row r="19" spans="1:23" x14ac:dyDescent="0.25">
      <c r="A19" s="216" t="s">
        <v>60</v>
      </c>
      <c r="B19" s="188" t="s">
        <v>13</v>
      </c>
      <c r="C19" s="260">
        <v>39610</v>
      </c>
      <c r="D19" s="261">
        <v>39732</v>
      </c>
      <c r="E19" s="272">
        <v>-122</v>
      </c>
      <c r="F19" s="462">
        <v>4000</v>
      </c>
      <c r="G19" s="259"/>
      <c r="H19" s="259">
        <v>2392</v>
      </c>
      <c r="I19" s="263"/>
      <c r="J19" s="263">
        <v>3394</v>
      </c>
      <c r="K19" s="259"/>
      <c r="L19" s="259">
        <v>1330</v>
      </c>
      <c r="M19" s="259">
        <f t="shared" si="0"/>
        <v>0</v>
      </c>
      <c r="N19" s="257">
        <f t="shared" si="1"/>
        <v>7116</v>
      </c>
      <c r="O19" s="1013">
        <v>41045</v>
      </c>
      <c r="P19" s="512"/>
      <c r="Q19" s="175">
        <v>3867</v>
      </c>
      <c r="R19" s="175">
        <f>G19*0.05</f>
        <v>0</v>
      </c>
      <c r="S19" s="138">
        <f>+G19*0.05+P19</f>
        <v>0</v>
      </c>
      <c r="T19" s="138">
        <f>G19*0.05+S19</f>
        <v>0</v>
      </c>
      <c r="U19" s="138">
        <f>+G19*0.05+T19</f>
        <v>0</v>
      </c>
      <c r="V19" s="139">
        <f>+G19*0.05+U19</f>
        <v>0</v>
      </c>
      <c r="W19" s="155">
        <f>G19*0.05+V19</f>
        <v>0</v>
      </c>
    </row>
    <row r="20" spans="1:23" x14ac:dyDescent="0.25">
      <c r="A20" s="216" t="s">
        <v>56</v>
      </c>
      <c r="B20" s="188" t="s">
        <v>24</v>
      </c>
      <c r="C20" s="260">
        <v>39577</v>
      </c>
      <c r="D20" s="261">
        <v>39761</v>
      </c>
      <c r="E20" s="254">
        <v>-184</v>
      </c>
      <c r="F20" s="462">
        <v>10000</v>
      </c>
      <c r="G20" s="259">
        <v>200</v>
      </c>
      <c r="H20" s="259">
        <v>5500</v>
      </c>
      <c r="I20" s="263">
        <v>400</v>
      </c>
      <c r="J20" s="263">
        <v>9170</v>
      </c>
      <c r="K20" s="259">
        <v>400</v>
      </c>
      <c r="L20" s="259">
        <v>1916</v>
      </c>
      <c r="M20" s="259">
        <f t="shared" si="0"/>
        <v>1000</v>
      </c>
      <c r="N20" s="257">
        <f t="shared" si="1"/>
        <v>16586</v>
      </c>
      <c r="O20" s="998">
        <v>41410</v>
      </c>
      <c r="P20" s="527"/>
      <c r="Q20" s="124">
        <f>H20*0.05+R20</f>
        <v>63504.5</v>
      </c>
      <c r="R20" s="128">
        <f>60294.5+2935</f>
        <v>63229.5</v>
      </c>
      <c r="S20" s="138">
        <f>+H20*0.05+Q20</f>
        <v>63779.5</v>
      </c>
      <c r="T20" s="131">
        <f>H20*0.05+S20</f>
        <v>64054.5</v>
      </c>
      <c r="U20" s="138">
        <f>+H20*0.05+T20</f>
        <v>64329.5</v>
      </c>
      <c r="V20" s="138">
        <f>+H20*0.05+U20</f>
        <v>64604.5</v>
      </c>
      <c r="W20" s="131">
        <f>H20*0.05+V20</f>
        <v>64879.5</v>
      </c>
    </row>
    <row r="21" spans="1:23" x14ac:dyDescent="0.25">
      <c r="A21" s="273" t="s">
        <v>74</v>
      </c>
      <c r="B21" s="188" t="s">
        <v>18</v>
      </c>
      <c r="C21" s="260">
        <v>39478</v>
      </c>
      <c r="D21" s="261">
        <v>39660</v>
      </c>
      <c r="E21" s="254">
        <v>-182</v>
      </c>
      <c r="F21" s="462">
        <v>7000</v>
      </c>
      <c r="G21" s="259">
        <v>50</v>
      </c>
      <c r="H21" s="259">
        <v>5095</v>
      </c>
      <c r="I21" s="263">
        <v>50</v>
      </c>
      <c r="J21" s="263">
        <v>5666</v>
      </c>
      <c r="K21" s="259"/>
      <c r="L21" s="259">
        <v>5835</v>
      </c>
      <c r="M21" s="259">
        <f t="shared" si="0"/>
        <v>100</v>
      </c>
      <c r="N21" s="257">
        <f t="shared" si="1"/>
        <v>16596</v>
      </c>
      <c r="O21" s="1011">
        <v>41431</v>
      </c>
      <c r="P21" s="509"/>
      <c r="Q21" s="124">
        <f>H21*0.05+R21</f>
        <v>7314.75</v>
      </c>
      <c r="R21" s="128">
        <f>6460+600</f>
        <v>7060</v>
      </c>
      <c r="S21" s="138">
        <f>+H21*0.05+Q21</f>
        <v>7569.5</v>
      </c>
      <c r="T21" s="131">
        <f>H21*0.05+S21-300</f>
        <v>7524.25</v>
      </c>
      <c r="U21" s="138">
        <f>+H21*0.05+T21</f>
        <v>7779</v>
      </c>
      <c r="V21" s="138">
        <f>+H21*0.05+U21-200</f>
        <v>7833.75</v>
      </c>
      <c r="W21" s="131">
        <f>H21*0.05+V21</f>
        <v>8088.5</v>
      </c>
    </row>
    <row r="22" spans="1:23" x14ac:dyDescent="0.25">
      <c r="A22" s="273" t="s">
        <v>52</v>
      </c>
      <c r="B22" s="188" t="s">
        <v>12</v>
      </c>
      <c r="C22" s="260">
        <v>39643</v>
      </c>
      <c r="D22" s="261">
        <v>39796</v>
      </c>
      <c r="E22" s="254">
        <v>-153</v>
      </c>
      <c r="F22" s="462">
        <v>12000</v>
      </c>
      <c r="G22" s="259"/>
      <c r="H22" s="259">
        <v>8500</v>
      </c>
      <c r="I22" s="263"/>
      <c r="J22" s="263">
        <v>17450</v>
      </c>
      <c r="K22" s="259"/>
      <c r="L22" s="259">
        <v>5280</v>
      </c>
      <c r="M22" s="259">
        <f t="shared" si="0"/>
        <v>0</v>
      </c>
      <c r="N22" s="257">
        <f t="shared" si="1"/>
        <v>31230</v>
      </c>
      <c r="O22" s="1011">
        <v>40949</v>
      </c>
      <c r="P22" s="508"/>
      <c r="Q22" s="124">
        <v>350</v>
      </c>
      <c r="R22" s="128">
        <f>2700+175</f>
        <v>2875</v>
      </c>
      <c r="S22" s="138">
        <f>+H22*0.05+Q22</f>
        <v>775</v>
      </c>
      <c r="T22" s="131">
        <f>H22*0.05+S22</f>
        <v>1200</v>
      </c>
      <c r="U22" s="138">
        <f>+H22*0.05+T22</f>
        <v>1625</v>
      </c>
      <c r="V22" s="138">
        <v>2926</v>
      </c>
      <c r="W22" s="131">
        <f>H22*0.05+V22</f>
        <v>3351</v>
      </c>
    </row>
    <row r="23" spans="1:23" x14ac:dyDescent="0.25">
      <c r="A23" s="264" t="s">
        <v>153</v>
      </c>
      <c r="B23" s="81" t="s">
        <v>17</v>
      </c>
      <c r="C23" s="265">
        <v>39429</v>
      </c>
      <c r="D23" s="266">
        <v>39795</v>
      </c>
      <c r="E23" s="267">
        <v>15000</v>
      </c>
      <c r="F23" s="276">
        <v>15000</v>
      </c>
      <c r="G23" s="268"/>
      <c r="H23" s="263">
        <v>13009</v>
      </c>
      <c r="I23" s="263"/>
      <c r="J23" s="268">
        <v>9051</v>
      </c>
      <c r="K23" s="268"/>
      <c r="L23" s="268">
        <v>1142</v>
      </c>
      <c r="M23" s="259">
        <f t="shared" si="0"/>
        <v>0</v>
      </c>
      <c r="N23" s="257">
        <f t="shared" si="1"/>
        <v>23202</v>
      </c>
      <c r="O23" s="1012">
        <v>41286</v>
      </c>
      <c r="P23" s="528"/>
      <c r="Q23" s="124"/>
      <c r="R23" s="128"/>
      <c r="S23" s="138"/>
      <c r="T23" s="131"/>
      <c r="U23" s="138"/>
      <c r="V23" s="138"/>
      <c r="W23" s="131"/>
    </row>
    <row r="24" spans="1:23" x14ac:dyDescent="0.25">
      <c r="A24" s="216" t="s">
        <v>72</v>
      </c>
      <c r="B24" s="188" t="s">
        <v>17</v>
      </c>
      <c r="C24" s="260">
        <v>39534</v>
      </c>
      <c r="D24" s="261">
        <v>39748</v>
      </c>
      <c r="E24" s="272">
        <v>-214</v>
      </c>
      <c r="F24" s="462">
        <v>3500</v>
      </c>
      <c r="G24" s="259"/>
      <c r="H24" s="259">
        <v>3150</v>
      </c>
      <c r="I24" s="263"/>
      <c r="J24" s="263">
        <v>8814</v>
      </c>
      <c r="K24" s="259"/>
      <c r="L24" s="259">
        <v>591</v>
      </c>
      <c r="M24" s="259">
        <f t="shared" si="0"/>
        <v>0</v>
      </c>
      <c r="N24" s="257">
        <f t="shared" si="1"/>
        <v>12555</v>
      </c>
      <c r="O24" s="1013">
        <v>40686</v>
      </c>
      <c r="P24" s="512"/>
      <c r="Q24" s="175">
        <v>13250</v>
      </c>
      <c r="R24" s="175">
        <f>G24*0.05</f>
        <v>0</v>
      </c>
      <c r="S24" s="138">
        <f>+G24*0.05+P24</f>
        <v>0</v>
      </c>
      <c r="T24" s="138">
        <v>12250</v>
      </c>
      <c r="U24" s="138">
        <f>+G24*0.05+T24</f>
        <v>12250</v>
      </c>
      <c r="V24" s="139">
        <f>+G24*0.05+U24-750</f>
        <v>11500</v>
      </c>
      <c r="W24" s="155">
        <f>G24*0.05+V24</f>
        <v>11500</v>
      </c>
    </row>
    <row r="25" spans="1:23" x14ac:dyDescent="0.25">
      <c r="A25" s="188" t="s">
        <v>67</v>
      </c>
      <c r="B25" s="188" t="s">
        <v>18</v>
      </c>
      <c r="C25" s="189">
        <v>39520</v>
      </c>
      <c r="D25" s="217">
        <v>39602</v>
      </c>
      <c r="E25" s="190">
        <v>5000</v>
      </c>
      <c r="F25" s="191">
        <v>5000</v>
      </c>
      <c r="G25" s="192"/>
      <c r="H25" s="192">
        <v>3067</v>
      </c>
      <c r="I25" s="497"/>
      <c r="J25" s="497">
        <v>7675</v>
      </c>
      <c r="K25" s="192"/>
      <c r="L25" s="192">
        <v>785</v>
      </c>
      <c r="M25" s="192">
        <f>+G25+I25+K25</f>
        <v>0</v>
      </c>
      <c r="N25" s="669">
        <f>+H25+J25+L25</f>
        <v>11527</v>
      </c>
      <c r="O25" s="970">
        <v>40960</v>
      </c>
      <c r="P25" s="274"/>
      <c r="Q25" s="175"/>
      <c r="R25" s="175"/>
      <c r="S25" s="138"/>
      <c r="T25" s="138"/>
      <c r="U25" s="138"/>
      <c r="V25" s="139"/>
      <c r="W25" s="155"/>
    </row>
    <row r="26" spans="1:23" x14ac:dyDescent="0.25">
      <c r="A26" s="273" t="s">
        <v>408</v>
      </c>
      <c r="B26" s="188" t="s">
        <v>11</v>
      </c>
      <c r="C26" s="260">
        <v>39532</v>
      </c>
      <c r="D26" s="261">
        <v>39807</v>
      </c>
      <c r="E26" s="254">
        <v>-275</v>
      </c>
      <c r="F26" s="462">
        <v>15000</v>
      </c>
      <c r="G26" s="259"/>
      <c r="H26" s="259">
        <v>5000</v>
      </c>
      <c r="I26" s="263"/>
      <c r="J26" s="263">
        <v>2000</v>
      </c>
      <c r="K26" s="259"/>
      <c r="L26" s="259">
        <v>300</v>
      </c>
      <c r="M26" s="259">
        <f t="shared" si="0"/>
        <v>0</v>
      </c>
      <c r="N26" s="257">
        <f t="shared" si="1"/>
        <v>7300</v>
      </c>
      <c r="O26" s="1011">
        <v>41180</v>
      </c>
      <c r="P26" s="508"/>
      <c r="Q26" s="124">
        <f>H26*0.05+R26</f>
        <v>5390</v>
      </c>
      <c r="R26" s="128">
        <f>4390+750</f>
        <v>5140</v>
      </c>
      <c r="S26" s="138">
        <f>+H26*0.05+Q26</f>
        <v>5640</v>
      </c>
      <c r="T26" s="131">
        <f>H26*0.05+S26</f>
        <v>5890</v>
      </c>
      <c r="U26" s="138">
        <v>750</v>
      </c>
      <c r="V26" s="138">
        <f>+H26*0.05+U26</f>
        <v>1000</v>
      </c>
      <c r="W26" s="131">
        <f>H26*0.05+V26</f>
        <v>1250</v>
      </c>
    </row>
    <row r="27" spans="1:23" x14ac:dyDescent="0.25">
      <c r="A27" s="273" t="s">
        <v>665</v>
      </c>
      <c r="B27" s="188" t="s">
        <v>9</v>
      </c>
      <c r="C27" s="260">
        <v>39595</v>
      </c>
      <c r="D27" s="261">
        <v>39718</v>
      </c>
      <c r="E27" s="254"/>
      <c r="F27" s="462">
        <v>2000</v>
      </c>
      <c r="G27" s="259"/>
      <c r="H27" s="259">
        <v>1720</v>
      </c>
      <c r="I27" s="263"/>
      <c r="J27" s="263">
        <v>4432</v>
      </c>
      <c r="K27" s="259"/>
      <c r="L27" s="259">
        <v>1325</v>
      </c>
      <c r="M27" s="259">
        <f t="shared" si="0"/>
        <v>0</v>
      </c>
      <c r="N27" s="257">
        <f t="shared" si="1"/>
        <v>7477</v>
      </c>
      <c r="O27" s="1011">
        <v>40693</v>
      </c>
      <c r="P27" s="512"/>
      <c r="Q27" s="123"/>
      <c r="R27" s="124"/>
      <c r="S27" s="138"/>
      <c r="T27" s="131"/>
      <c r="U27" s="138"/>
      <c r="V27" s="139"/>
      <c r="W27" s="199"/>
    </row>
    <row r="28" spans="1:23" x14ac:dyDescent="0.25">
      <c r="A28" s="264" t="s">
        <v>157</v>
      </c>
      <c r="B28" s="279" t="s">
        <v>158</v>
      </c>
      <c r="C28" s="265">
        <v>39323</v>
      </c>
      <c r="D28" s="266">
        <v>39689</v>
      </c>
      <c r="E28" s="267">
        <v>12000</v>
      </c>
      <c r="F28" s="276">
        <v>12000</v>
      </c>
      <c r="G28" s="268"/>
      <c r="H28" s="263">
        <v>11300</v>
      </c>
      <c r="I28" s="263"/>
      <c r="J28" s="268">
        <v>23315</v>
      </c>
      <c r="K28" s="268"/>
      <c r="L28" s="268">
        <v>15433</v>
      </c>
      <c r="M28" s="259">
        <f t="shared" si="0"/>
        <v>0</v>
      </c>
      <c r="N28" s="257">
        <f t="shared" si="1"/>
        <v>50048</v>
      </c>
      <c r="O28" s="1014">
        <v>40781</v>
      </c>
      <c r="P28" s="510"/>
      <c r="Q28" s="174">
        <f>4517+179</f>
        <v>4696</v>
      </c>
      <c r="R28" s="175">
        <f>G28*0.05</f>
        <v>0</v>
      </c>
      <c r="S28" s="138">
        <v>4604.3999999999996</v>
      </c>
      <c r="T28" s="138">
        <f>G28*0.05+S28</f>
        <v>4604.3999999999996</v>
      </c>
      <c r="U28" s="138">
        <f>+G28*0.05+T28</f>
        <v>4604.3999999999996</v>
      </c>
      <c r="V28" s="139">
        <f>+G28*0.05+U28-400</f>
        <v>4204.3999999999996</v>
      </c>
      <c r="W28" s="155">
        <f>G28*0.05+V28</f>
        <v>4204.3999999999996</v>
      </c>
    </row>
    <row r="29" spans="1:23" x14ac:dyDescent="0.25">
      <c r="A29" s="264" t="s">
        <v>159</v>
      </c>
      <c r="B29" s="81" t="s">
        <v>13</v>
      </c>
      <c r="C29" s="265">
        <v>39146</v>
      </c>
      <c r="D29" s="266">
        <v>39512</v>
      </c>
      <c r="E29" s="267">
        <v>5000</v>
      </c>
      <c r="F29" s="276">
        <v>5000</v>
      </c>
      <c r="G29" s="268"/>
      <c r="H29" s="263">
        <v>2584</v>
      </c>
      <c r="I29" s="263"/>
      <c r="J29" s="268">
        <v>1970</v>
      </c>
      <c r="K29" s="268"/>
      <c r="L29" s="268">
        <v>8026</v>
      </c>
      <c r="M29" s="259">
        <f t="shared" si="0"/>
        <v>0</v>
      </c>
      <c r="N29" s="257">
        <f t="shared" si="1"/>
        <v>12580</v>
      </c>
      <c r="O29" s="1013">
        <v>41206</v>
      </c>
      <c r="P29" s="529"/>
      <c r="Q29" s="175">
        <v>22000</v>
      </c>
      <c r="R29" s="175">
        <f>G29*0.05</f>
        <v>0</v>
      </c>
      <c r="S29" s="138">
        <f>+G29*0.05+P29</f>
        <v>0</v>
      </c>
      <c r="T29" s="138">
        <f>G29*0.05+S29</f>
        <v>0</v>
      </c>
      <c r="U29" s="138">
        <f>+G29*0.05+T29</f>
        <v>0</v>
      </c>
      <c r="V29" s="139">
        <f>+G29*0.05+U29</f>
        <v>0</v>
      </c>
      <c r="W29" s="155">
        <f>G29*0.05+V29</f>
        <v>0</v>
      </c>
    </row>
    <row r="30" spans="1:23" x14ac:dyDescent="0.25">
      <c r="A30" s="273" t="s">
        <v>55</v>
      </c>
      <c r="B30" s="188" t="s">
        <v>54</v>
      </c>
      <c r="C30" s="260">
        <v>39664</v>
      </c>
      <c r="D30" s="261">
        <v>39786</v>
      </c>
      <c r="E30" s="254">
        <v>-122</v>
      </c>
      <c r="F30" s="462">
        <v>2000</v>
      </c>
      <c r="G30" s="259"/>
      <c r="H30" s="259">
        <v>645</v>
      </c>
      <c r="I30" s="263"/>
      <c r="J30" s="263">
        <v>505</v>
      </c>
      <c r="K30" s="259"/>
      <c r="L30" s="259">
        <v>940</v>
      </c>
      <c r="M30" s="259">
        <f t="shared" si="0"/>
        <v>0</v>
      </c>
      <c r="N30" s="257">
        <f t="shared" si="1"/>
        <v>2090</v>
      </c>
      <c r="O30" s="1011">
        <v>41282</v>
      </c>
      <c r="P30" s="509"/>
      <c r="Q30" s="124">
        <f>H30*0.05+R30-50</f>
        <v>417.75</v>
      </c>
      <c r="R30" s="128">
        <f>388.5+47</f>
        <v>435.5</v>
      </c>
      <c r="S30" s="138">
        <f>+H30*0.05+Q30</f>
        <v>450</v>
      </c>
      <c r="T30" s="131">
        <f>H30*0.05+S30</f>
        <v>482.25</v>
      </c>
      <c r="U30" s="138">
        <v>439</v>
      </c>
      <c r="V30" s="138">
        <f>+H30*0.05+U30</f>
        <v>471.25</v>
      </c>
      <c r="W30" s="131">
        <f>H30*0.05+V30</f>
        <v>503.5</v>
      </c>
    </row>
    <row r="31" spans="1:23" x14ac:dyDescent="0.25">
      <c r="A31" s="273" t="s">
        <v>875</v>
      </c>
      <c r="B31" s="188" t="s">
        <v>9</v>
      </c>
      <c r="C31" s="260">
        <v>39682</v>
      </c>
      <c r="D31" s="261">
        <v>39804</v>
      </c>
      <c r="E31" s="254">
        <v>-122</v>
      </c>
      <c r="F31" s="462">
        <v>4000</v>
      </c>
      <c r="G31" s="259"/>
      <c r="H31" s="259">
        <v>808</v>
      </c>
      <c r="I31" s="263"/>
      <c r="J31" s="263">
        <v>515</v>
      </c>
      <c r="K31" s="259"/>
      <c r="L31" s="259">
        <v>232</v>
      </c>
      <c r="M31" s="259">
        <f t="shared" si="0"/>
        <v>0</v>
      </c>
      <c r="N31" s="257">
        <f t="shared" si="1"/>
        <v>1555</v>
      </c>
      <c r="O31" s="1011">
        <v>41226</v>
      </c>
      <c r="P31" s="509"/>
      <c r="Q31" s="124">
        <f>H31*0.05+R31</f>
        <v>621.4</v>
      </c>
      <c r="R31" s="128">
        <f>479+102</f>
        <v>581</v>
      </c>
      <c r="S31" s="138">
        <v>184</v>
      </c>
      <c r="T31" s="131">
        <v>124</v>
      </c>
      <c r="U31" s="138">
        <v>79</v>
      </c>
      <c r="V31" s="138">
        <f>+H31*0.05+U31</f>
        <v>119.4</v>
      </c>
      <c r="W31" s="131">
        <f>H31*0.05+V31</f>
        <v>159.80000000000001</v>
      </c>
    </row>
    <row r="32" spans="1:23" x14ac:dyDescent="0.25">
      <c r="A32" s="273" t="s">
        <v>61</v>
      </c>
      <c r="B32" s="188" t="s">
        <v>9</v>
      </c>
      <c r="C32" s="260">
        <v>39666</v>
      </c>
      <c r="D32" s="261">
        <v>39788</v>
      </c>
      <c r="E32" s="254">
        <v>-122</v>
      </c>
      <c r="F32" s="462">
        <v>8000</v>
      </c>
      <c r="G32" s="463"/>
      <c r="H32" s="259">
        <v>5085</v>
      </c>
      <c r="I32" s="263"/>
      <c r="J32" s="263">
        <v>10758</v>
      </c>
      <c r="K32" s="259"/>
      <c r="L32" s="259">
        <v>2912</v>
      </c>
      <c r="M32" s="259">
        <f t="shared" si="0"/>
        <v>0</v>
      </c>
      <c r="N32" s="257">
        <f t="shared" si="1"/>
        <v>18755</v>
      </c>
      <c r="O32" s="1011">
        <v>41135</v>
      </c>
      <c r="P32" s="507"/>
      <c r="Q32" s="124" t="e">
        <f>#REF!*0.05+R32</f>
        <v>#REF!</v>
      </c>
      <c r="R32" s="128">
        <f>3285+339</f>
        <v>3624</v>
      </c>
      <c r="S32" s="138">
        <v>1877</v>
      </c>
      <c r="T32" s="131">
        <v>1677</v>
      </c>
      <c r="U32" s="138">
        <v>1617</v>
      </c>
      <c r="V32" s="138" t="e">
        <f>+#REF!*0.05+U32</f>
        <v>#REF!</v>
      </c>
      <c r="W32" s="131" t="e">
        <f>#REF!*0.05+V32</f>
        <v>#REF!</v>
      </c>
    </row>
    <row r="33" spans="1:23" ht="15.75" thickBot="1" x14ac:dyDescent="0.3">
      <c r="A33" s="283" t="s">
        <v>163</v>
      </c>
      <c r="B33" s="284" t="s">
        <v>21</v>
      </c>
      <c r="C33" s="285">
        <v>39345</v>
      </c>
      <c r="D33" s="286">
        <v>39498</v>
      </c>
      <c r="E33" s="287">
        <v>3500</v>
      </c>
      <c r="F33" s="288">
        <v>4000</v>
      </c>
      <c r="G33" s="454">
        <v>100</v>
      </c>
      <c r="H33" s="282">
        <v>1051</v>
      </c>
      <c r="I33" s="282">
        <v>100</v>
      </c>
      <c r="J33" s="455">
        <v>115</v>
      </c>
      <c r="K33" s="456"/>
      <c r="L33" s="455">
        <v>136</v>
      </c>
      <c r="M33" s="281">
        <f t="shared" si="0"/>
        <v>200</v>
      </c>
      <c r="N33" s="457">
        <f t="shared" si="1"/>
        <v>1302</v>
      </c>
      <c r="O33" s="1015">
        <v>41425</v>
      </c>
      <c r="P33" s="513"/>
      <c r="Q33" s="174">
        <v>1740</v>
      </c>
      <c r="R33" s="175">
        <f>G33*0.05</f>
        <v>5</v>
      </c>
      <c r="S33" s="138">
        <f>+G33*0.05+P33</f>
        <v>5</v>
      </c>
      <c r="T33" s="138">
        <f>G33*0.05+S33</f>
        <v>10</v>
      </c>
      <c r="U33" s="138">
        <v>1540</v>
      </c>
      <c r="V33" s="139">
        <f>+G33*0.05+U33</f>
        <v>1545</v>
      </c>
      <c r="W33" s="155">
        <f>G33*0.05+V33</f>
        <v>1550</v>
      </c>
    </row>
    <row r="34" spans="1:23" ht="15.75" thickBot="1" x14ac:dyDescent="0.3">
      <c r="A34" s="501" t="s">
        <v>1132</v>
      </c>
      <c r="B34" s="501"/>
      <c r="C34" s="576"/>
      <c r="D34" s="576"/>
      <c r="E34" s="289"/>
      <c r="F34" s="290">
        <f t="shared" ref="F34:N34" si="5">SUM(F8:F33)</f>
        <v>195210</v>
      </c>
      <c r="G34" s="458">
        <f t="shared" si="5"/>
        <v>350</v>
      </c>
      <c r="H34" s="450">
        <f t="shared" si="5"/>
        <v>117210</v>
      </c>
      <c r="I34" s="450">
        <f t="shared" si="5"/>
        <v>550</v>
      </c>
      <c r="J34" s="450">
        <f t="shared" si="5"/>
        <v>196716</v>
      </c>
      <c r="K34" s="450">
        <f t="shared" si="5"/>
        <v>400</v>
      </c>
      <c r="L34" s="450">
        <f t="shared" si="5"/>
        <v>96268</v>
      </c>
      <c r="M34" s="459">
        <f t="shared" si="5"/>
        <v>1300</v>
      </c>
      <c r="N34" s="460">
        <f t="shared" si="5"/>
        <v>410194</v>
      </c>
      <c r="O34" s="1016"/>
      <c r="P34" s="255"/>
      <c r="Q34" s="124"/>
      <c r="R34" s="124"/>
      <c r="S34" s="124"/>
      <c r="T34" s="125"/>
      <c r="U34" s="140"/>
      <c r="V34" s="121"/>
      <c r="W34" s="121"/>
    </row>
    <row r="35" spans="1:23" x14ac:dyDescent="0.25">
      <c r="A35" s="17"/>
      <c r="B35" s="15"/>
      <c r="C35" s="14"/>
      <c r="D35" s="14"/>
      <c r="E35" s="14"/>
      <c r="F35" s="14"/>
      <c r="G35" s="70"/>
      <c r="H35" s="19"/>
      <c r="I35" s="19"/>
      <c r="J35" s="19"/>
      <c r="K35" s="19"/>
      <c r="L35" s="19"/>
      <c r="M35" s="19"/>
      <c r="N35" s="19"/>
      <c r="O35" s="1017"/>
      <c r="P35" s="19"/>
      <c r="Q35" s="19"/>
      <c r="R35" s="19"/>
      <c r="S35" s="19"/>
      <c r="T35" s="14"/>
    </row>
    <row r="36" spans="1:23" x14ac:dyDescent="0.25">
      <c r="A36" s="15"/>
      <c r="B36" s="15"/>
      <c r="C36" s="19"/>
      <c r="D36" s="20"/>
      <c r="E36" s="20"/>
      <c r="F36" s="20"/>
      <c r="G36" s="20"/>
      <c r="H36" s="14"/>
      <c r="I36" s="70"/>
      <c r="J36" s="14"/>
      <c r="K36" s="70"/>
      <c r="L36" s="14"/>
      <c r="M36" s="70"/>
      <c r="N36" s="14"/>
      <c r="O36" s="1018"/>
      <c r="P36" s="14"/>
      <c r="Q36" s="70"/>
      <c r="R36" s="14"/>
      <c r="S36" s="14"/>
      <c r="T36" s="14"/>
    </row>
    <row r="38" spans="1:23" x14ac:dyDescent="0.25">
      <c r="H38" s="619" t="e">
        <f>+#REF!+#REF!+#REF!+#REF!+#REF!+#REF!</f>
        <v>#REF!</v>
      </c>
    </row>
  </sheetData>
  <sortState ref="A8:P37">
    <sortCondition ref="A8:A37"/>
  </sortState>
  <mergeCells count="4">
    <mergeCell ref="H5:N5"/>
    <mergeCell ref="A1:O1"/>
    <mergeCell ref="A2:O2"/>
    <mergeCell ref="A3:O3"/>
  </mergeCells>
  <pageMargins left="0.7" right="0.7" top="0.75" bottom="0.75" header="0.3" footer="0.3"/>
  <pageSetup paperSize="5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46"/>
  <sheetViews>
    <sheetView topLeftCell="A25" workbookViewId="0">
      <selection activeCell="E6" sqref="E6:M6"/>
    </sheetView>
  </sheetViews>
  <sheetFormatPr defaultRowHeight="15" x14ac:dyDescent="0.25"/>
  <cols>
    <col min="1" max="1" width="23" style="121" customWidth="1"/>
    <col min="2" max="2" width="16" customWidth="1"/>
    <col min="3" max="3" width="8.7109375" customWidth="1"/>
    <col min="4" max="4" width="8.42578125" customWidth="1"/>
    <col min="5" max="5" width="11" customWidth="1"/>
    <col min="6" max="6" width="8.85546875" customWidth="1"/>
    <col min="7" max="7" width="11" customWidth="1"/>
    <col min="8" max="8" width="9.85546875" customWidth="1"/>
    <col min="9" max="9" width="12.5703125" customWidth="1"/>
    <col min="10" max="10" width="10.5703125" customWidth="1"/>
    <col min="11" max="11" width="11.28515625" customWidth="1"/>
    <col min="12" max="12" width="11" customWidth="1"/>
    <col min="13" max="13" width="11.28515625" customWidth="1"/>
    <col min="14" max="14" width="11.28515625" style="971" customWidth="1"/>
    <col min="15" max="16" width="8.85546875" customWidth="1"/>
    <col min="17" max="17" width="11.42578125" customWidth="1"/>
    <col min="19" max="19" width="14.42578125" customWidth="1"/>
    <col min="20" max="20" width="12.42578125" customWidth="1"/>
    <col min="24" max="24" width="10.42578125" customWidth="1"/>
  </cols>
  <sheetData>
    <row r="1" spans="1:24" ht="14.25" customHeight="1" x14ac:dyDescent="0.25">
      <c r="A1" s="1358" t="s">
        <v>87</v>
      </c>
      <c r="B1" s="1358"/>
      <c r="C1" s="1358"/>
      <c r="D1" s="1358"/>
      <c r="E1" s="1358"/>
      <c r="F1" s="1358"/>
      <c r="G1" s="1358"/>
      <c r="H1" s="1358"/>
      <c r="I1" s="1358"/>
      <c r="J1" s="1358"/>
      <c r="K1" s="1358"/>
      <c r="L1" s="1358"/>
      <c r="M1" s="1358"/>
      <c r="N1" s="1358"/>
      <c r="O1" s="349"/>
      <c r="P1" s="349"/>
      <c r="Q1" s="141"/>
      <c r="R1" s="141"/>
      <c r="S1" s="141"/>
      <c r="T1" s="141"/>
      <c r="U1" s="121"/>
      <c r="V1" s="121"/>
      <c r="W1" s="121"/>
      <c r="X1" s="121"/>
    </row>
    <row r="2" spans="1:24" ht="15.75" x14ac:dyDescent="0.25">
      <c r="A2" s="1358" t="s">
        <v>166</v>
      </c>
      <c r="B2" s="1358"/>
      <c r="C2" s="1358"/>
      <c r="D2" s="1358"/>
      <c r="E2" s="1358"/>
      <c r="F2" s="1358"/>
      <c r="G2" s="1358"/>
      <c r="H2" s="1358"/>
      <c r="I2" s="1358"/>
      <c r="J2" s="1358"/>
      <c r="K2" s="1358"/>
      <c r="L2" s="1358"/>
      <c r="M2" s="1358"/>
      <c r="N2" s="1358"/>
      <c r="O2" s="349"/>
      <c r="P2" s="349"/>
      <c r="Q2" s="141"/>
      <c r="R2" s="141"/>
      <c r="S2" s="141"/>
      <c r="T2" s="141"/>
      <c r="U2" s="121"/>
      <c r="V2" s="121"/>
      <c r="W2" s="121"/>
      <c r="X2" s="121"/>
    </row>
    <row r="3" spans="1:24" ht="15.75" x14ac:dyDescent="0.25">
      <c r="A3" s="1359" t="s">
        <v>1435</v>
      </c>
      <c r="B3" s="1359"/>
      <c r="C3" s="1359"/>
      <c r="D3" s="1359"/>
      <c r="E3" s="1359"/>
      <c r="F3" s="1359"/>
      <c r="G3" s="1359"/>
      <c r="H3" s="1359"/>
      <c r="I3" s="1359"/>
      <c r="J3" s="1359"/>
      <c r="K3" s="1359"/>
      <c r="L3" s="1359"/>
      <c r="M3" s="1359"/>
      <c r="N3" s="1359"/>
      <c r="O3" s="349"/>
      <c r="P3" s="349"/>
      <c r="Q3" s="141"/>
      <c r="R3" s="141"/>
      <c r="S3" s="141"/>
      <c r="T3" s="141"/>
      <c r="U3" s="121"/>
      <c r="V3" s="121"/>
      <c r="W3" s="121"/>
      <c r="X3" s="121"/>
    </row>
    <row r="4" spans="1:24" ht="15.75" x14ac:dyDescent="0.25">
      <c r="A4" s="593"/>
      <c r="B4" s="593"/>
      <c r="C4" s="593"/>
      <c r="D4" s="593"/>
      <c r="E4" s="593"/>
      <c r="F4" s="593"/>
      <c r="G4" s="593"/>
      <c r="H4" s="593"/>
      <c r="I4" s="593"/>
      <c r="J4" s="593"/>
      <c r="K4" s="593"/>
      <c r="L4" s="593"/>
      <c r="M4" s="593"/>
      <c r="N4" s="1001"/>
      <c r="O4" s="349"/>
      <c r="P4" s="349"/>
      <c r="Q4" s="141"/>
      <c r="R4" s="141"/>
      <c r="S4" s="141"/>
      <c r="T4" s="141"/>
      <c r="U4" s="121"/>
      <c r="V4" s="121"/>
      <c r="W4" s="121"/>
      <c r="X4" s="121"/>
    </row>
    <row r="5" spans="1:24" ht="16.5" thickBot="1" x14ac:dyDescent="0.3">
      <c r="A5" s="598" t="s">
        <v>767</v>
      </c>
      <c r="B5" s="596"/>
      <c r="C5" s="596"/>
      <c r="D5" s="596"/>
      <c r="E5" s="596"/>
      <c r="F5" s="596"/>
      <c r="G5" s="596"/>
      <c r="H5" s="596"/>
      <c r="I5" s="596"/>
      <c r="J5" s="596"/>
      <c r="K5" s="596"/>
      <c r="L5" s="596"/>
      <c r="M5" s="596"/>
      <c r="N5" s="1002"/>
      <c r="O5" s="349"/>
      <c r="P5" s="349"/>
      <c r="Q5" s="141"/>
      <c r="R5" s="141"/>
      <c r="S5" s="141"/>
      <c r="T5" s="141"/>
      <c r="U5" s="121"/>
      <c r="V5" s="121"/>
      <c r="W5" s="121"/>
      <c r="X5" s="121"/>
    </row>
    <row r="6" spans="1:24" ht="15.75" thickBot="1" x14ac:dyDescent="0.3">
      <c r="A6" s="600"/>
      <c r="B6" s="330"/>
      <c r="C6" s="330" t="s">
        <v>139</v>
      </c>
      <c r="D6" s="594" t="s">
        <v>92</v>
      </c>
      <c r="E6" s="1377" t="s">
        <v>1440</v>
      </c>
      <c r="F6" s="1378"/>
      <c r="G6" s="1378"/>
      <c r="H6" s="1378"/>
      <c r="I6" s="1378"/>
      <c r="J6" s="1378"/>
      <c r="K6" s="1378"/>
      <c r="L6" s="1378"/>
      <c r="M6" s="1379"/>
      <c r="N6" s="1003"/>
      <c r="O6" s="414"/>
      <c r="P6" s="574"/>
      <c r="Q6" s="164"/>
      <c r="R6" s="152"/>
      <c r="S6" s="165"/>
      <c r="T6" s="159"/>
      <c r="U6" s="121"/>
      <c r="V6" s="121"/>
      <c r="W6" s="121"/>
      <c r="X6" s="121"/>
    </row>
    <row r="7" spans="1:24" ht="15.75" thickBot="1" x14ac:dyDescent="0.3">
      <c r="A7" s="321" t="s">
        <v>2</v>
      </c>
      <c r="B7" s="322" t="s">
        <v>3</v>
      </c>
      <c r="C7" s="322" t="s">
        <v>90</v>
      </c>
      <c r="D7" s="323" t="s">
        <v>91</v>
      </c>
      <c r="E7" s="241" t="s">
        <v>406</v>
      </c>
      <c r="F7" s="241" t="s">
        <v>454</v>
      </c>
      <c r="G7" s="399" t="s">
        <v>6</v>
      </c>
      <c r="H7" s="241" t="s">
        <v>455</v>
      </c>
      <c r="I7" s="399" t="s">
        <v>19</v>
      </c>
      <c r="J7" s="241" t="s">
        <v>456</v>
      </c>
      <c r="K7" s="399" t="s">
        <v>80</v>
      </c>
      <c r="L7" s="241" t="s">
        <v>457</v>
      </c>
      <c r="M7" s="374" t="s">
        <v>400</v>
      </c>
      <c r="N7" s="415" t="s">
        <v>79</v>
      </c>
      <c r="O7" s="378" t="s">
        <v>418</v>
      </c>
      <c r="P7" s="574"/>
      <c r="Q7" s="164"/>
      <c r="R7" s="164"/>
      <c r="S7" s="163"/>
      <c r="T7" s="160"/>
      <c r="U7" s="121"/>
      <c r="V7" s="121"/>
      <c r="W7" s="121"/>
      <c r="X7" s="121"/>
    </row>
    <row r="8" spans="1:24" ht="15.75" thickBot="1" x14ac:dyDescent="0.3">
      <c r="A8" s="398"/>
      <c r="B8" s="330"/>
      <c r="C8" s="330"/>
      <c r="D8" s="331"/>
      <c r="E8" s="439"/>
      <c r="F8" s="247" t="s">
        <v>438</v>
      </c>
      <c r="G8" s="247"/>
      <c r="H8" s="247" t="s">
        <v>438</v>
      </c>
      <c r="I8" s="247"/>
      <c r="J8" s="247" t="s">
        <v>438</v>
      </c>
      <c r="K8" s="247"/>
      <c r="L8" s="247" t="s">
        <v>452</v>
      </c>
      <c r="M8" s="356"/>
      <c r="N8" s="1004"/>
      <c r="O8" s="873"/>
      <c r="P8" s="574"/>
      <c r="Q8" s="164"/>
      <c r="R8" s="164"/>
      <c r="S8" s="165"/>
      <c r="T8" s="159"/>
      <c r="U8" s="121"/>
      <c r="V8" s="121"/>
      <c r="W8" s="121"/>
      <c r="X8" s="121"/>
    </row>
    <row r="9" spans="1:24" x14ac:dyDescent="0.25">
      <c r="A9" s="81" t="s">
        <v>140</v>
      </c>
      <c r="B9" s="279" t="s">
        <v>13</v>
      </c>
      <c r="C9" s="265">
        <v>39328</v>
      </c>
      <c r="D9" s="275">
        <v>39357</v>
      </c>
      <c r="E9" s="434">
        <v>20000</v>
      </c>
      <c r="F9" s="440"/>
      <c r="G9" s="441">
        <v>18766.669999999998</v>
      </c>
      <c r="H9" s="256"/>
      <c r="I9" s="256">
        <v>1233</v>
      </c>
      <c r="J9" s="441"/>
      <c r="K9" s="441"/>
      <c r="L9" s="871">
        <f>+F9+H9+J9</f>
        <v>0</v>
      </c>
      <c r="M9" s="872">
        <f>+G9+I9+K9</f>
        <v>19999.669999999998</v>
      </c>
      <c r="N9" s="1005">
        <v>39357</v>
      </c>
      <c r="O9" s="365"/>
      <c r="P9" s="365"/>
      <c r="Q9" s="156"/>
      <c r="R9" s="154"/>
      <c r="S9" s="156"/>
      <c r="T9" s="138"/>
      <c r="U9" s="138"/>
      <c r="V9" s="138"/>
      <c r="W9" s="139"/>
      <c r="X9" s="155"/>
    </row>
    <row r="10" spans="1:24" x14ac:dyDescent="0.25">
      <c r="A10" s="81" t="s">
        <v>167</v>
      </c>
      <c r="B10" s="81" t="s">
        <v>28</v>
      </c>
      <c r="C10" s="265">
        <v>38874</v>
      </c>
      <c r="D10" s="275">
        <v>39239</v>
      </c>
      <c r="E10" s="434">
        <v>5000</v>
      </c>
      <c r="F10" s="431"/>
      <c r="G10" s="432">
        <v>1766</v>
      </c>
      <c r="H10" s="263"/>
      <c r="I10" s="263">
        <v>3813</v>
      </c>
      <c r="J10" s="432"/>
      <c r="K10" s="432">
        <v>611</v>
      </c>
      <c r="L10" s="268">
        <f t="shared" ref="L10:L19" si="0">+F10+H10+J10</f>
        <v>0</v>
      </c>
      <c r="M10" s="453">
        <f t="shared" ref="M10:M45" si="1">+G10+I10+K10</f>
        <v>6190</v>
      </c>
      <c r="N10" s="1006">
        <v>40684</v>
      </c>
      <c r="O10" s="303"/>
      <c r="P10" s="365"/>
      <c r="Q10" s="156">
        <f>G10*0.05+R10+S10</f>
        <v>3680.6000000000004</v>
      </c>
      <c r="R10" s="154">
        <v>3504</v>
      </c>
      <c r="S10" s="156">
        <f>G10*0.05</f>
        <v>88.300000000000011</v>
      </c>
      <c r="T10" s="138">
        <f>+G10*0.05+Q10</f>
        <v>3768.9000000000005</v>
      </c>
      <c r="U10" s="138">
        <f>G10*0.05+T10</f>
        <v>3857.2000000000007</v>
      </c>
      <c r="V10" s="138">
        <f>+G10*0.05+U10</f>
        <v>3945.5000000000009</v>
      </c>
      <c r="W10" s="139">
        <f>+G10*0.05+V10-281</f>
        <v>3752.8000000000011</v>
      </c>
      <c r="X10" s="155">
        <f>G10*0.05+W10</f>
        <v>3841.1000000000013</v>
      </c>
    </row>
    <row r="11" spans="1:24" x14ac:dyDescent="0.25">
      <c r="A11" s="81" t="s">
        <v>633</v>
      </c>
      <c r="B11" s="81" t="s">
        <v>634</v>
      </c>
      <c r="C11" s="265">
        <v>39335</v>
      </c>
      <c r="D11" s="275">
        <v>39426</v>
      </c>
      <c r="E11" s="434">
        <v>5500</v>
      </c>
      <c r="F11" s="431">
        <v>1000</v>
      </c>
      <c r="G11" s="432">
        <v>4200</v>
      </c>
      <c r="H11" s="263">
        <v>3000</v>
      </c>
      <c r="I11" s="263">
        <v>11480</v>
      </c>
      <c r="J11" s="432">
        <v>1000</v>
      </c>
      <c r="K11" s="432">
        <v>3578</v>
      </c>
      <c r="L11" s="268">
        <f>+F11+H11+J11</f>
        <v>5000</v>
      </c>
      <c r="M11" s="453">
        <f t="shared" si="1"/>
        <v>19258</v>
      </c>
      <c r="N11" s="1006">
        <v>41394</v>
      </c>
      <c r="O11" s="365"/>
      <c r="P11" s="365"/>
      <c r="Q11" s="156"/>
      <c r="R11" s="154"/>
      <c r="S11" s="156"/>
      <c r="T11" s="138"/>
      <c r="U11" s="138"/>
      <c r="V11" s="138"/>
      <c r="W11" s="139"/>
      <c r="X11" s="155"/>
    </row>
    <row r="12" spans="1:24" x14ac:dyDescent="0.25">
      <c r="A12" s="81" t="s">
        <v>141</v>
      </c>
      <c r="B12" s="81" t="s">
        <v>12</v>
      </c>
      <c r="C12" s="265">
        <v>39119</v>
      </c>
      <c r="D12" s="275">
        <v>39269</v>
      </c>
      <c r="E12" s="276">
        <v>36000</v>
      </c>
      <c r="F12" s="613"/>
      <c r="G12" s="268">
        <v>6560</v>
      </c>
      <c r="H12" s="263"/>
      <c r="I12" s="263">
        <v>18872</v>
      </c>
      <c r="J12" s="268"/>
      <c r="K12" s="268">
        <v>7625</v>
      </c>
      <c r="L12" s="268">
        <f t="shared" si="0"/>
        <v>0</v>
      </c>
      <c r="M12" s="453">
        <f t="shared" si="1"/>
        <v>33057</v>
      </c>
      <c r="N12" s="1006">
        <v>41169</v>
      </c>
      <c r="O12" s="365"/>
      <c r="P12" s="365"/>
      <c r="Q12" s="175">
        <v>24474</v>
      </c>
      <c r="R12" s="175">
        <v>24874</v>
      </c>
      <c r="S12" s="175">
        <f t="shared" ref="S12:S45" si="2">G12*0.05</f>
        <v>328</v>
      </c>
      <c r="T12" s="138">
        <v>24474</v>
      </c>
      <c r="U12" s="138">
        <v>23934</v>
      </c>
      <c r="V12" s="138">
        <f>+G12*0.05+U12</f>
        <v>24262</v>
      </c>
      <c r="W12" s="138">
        <f>+G12*0.05+V12</f>
        <v>24590</v>
      </c>
      <c r="X12" s="131">
        <f>G12*0.05+W12</f>
        <v>24918</v>
      </c>
    </row>
    <row r="13" spans="1:24" x14ac:dyDescent="0.25">
      <c r="A13" s="81" t="s">
        <v>144</v>
      </c>
      <c r="B13" s="81" t="s">
        <v>9</v>
      </c>
      <c r="C13" s="265">
        <v>39141</v>
      </c>
      <c r="D13" s="275">
        <v>39322</v>
      </c>
      <c r="E13" s="276">
        <v>3000</v>
      </c>
      <c r="F13" s="277"/>
      <c r="G13" s="268">
        <v>2110</v>
      </c>
      <c r="H13" s="263"/>
      <c r="I13" s="263">
        <f>G13*0.05+X13</f>
        <v>3098</v>
      </c>
      <c r="J13" s="268"/>
      <c r="K13" s="268">
        <v>1729</v>
      </c>
      <c r="L13" s="268">
        <f t="shared" si="0"/>
        <v>0</v>
      </c>
      <c r="M13" s="453">
        <f t="shared" si="1"/>
        <v>6937</v>
      </c>
      <c r="N13" s="1006">
        <v>40100</v>
      </c>
      <c r="O13" s="365"/>
      <c r="P13" s="365"/>
      <c r="Q13" s="175">
        <f>G13*0.05+R13+S13</f>
        <v>2465</v>
      </c>
      <c r="R13" s="175">
        <v>2254</v>
      </c>
      <c r="S13" s="175">
        <f t="shared" si="2"/>
        <v>105.5</v>
      </c>
      <c r="T13" s="138">
        <f>+G13*0.05+Q13</f>
        <v>2570.5</v>
      </c>
      <c r="U13" s="138">
        <f>G13*0.05+T13</f>
        <v>2676</v>
      </c>
      <c r="V13" s="138">
        <f>+G13*0.05+U13</f>
        <v>2781.5</v>
      </c>
      <c r="W13" s="138">
        <f>+G13*0.05+V13</f>
        <v>2887</v>
      </c>
      <c r="X13" s="131">
        <f>G13*0.05+W13</f>
        <v>2992.5</v>
      </c>
    </row>
    <row r="14" spans="1:24" x14ac:dyDescent="0.25">
      <c r="A14" s="588" t="s">
        <v>782</v>
      </c>
      <c r="B14" s="81" t="s">
        <v>472</v>
      </c>
      <c r="C14" s="265">
        <v>38935</v>
      </c>
      <c r="D14" s="275">
        <v>39242</v>
      </c>
      <c r="E14" s="434">
        <v>7000</v>
      </c>
      <c r="F14" s="431"/>
      <c r="G14" s="432">
        <v>5128</v>
      </c>
      <c r="H14" s="263"/>
      <c r="I14" s="263">
        <v>9963</v>
      </c>
      <c r="J14" s="432"/>
      <c r="K14" s="432">
        <v>411</v>
      </c>
      <c r="L14" s="268">
        <f t="shared" si="0"/>
        <v>0</v>
      </c>
      <c r="M14" s="453">
        <f t="shared" si="1"/>
        <v>15502</v>
      </c>
      <c r="N14" s="1006">
        <v>41015</v>
      </c>
      <c r="O14" s="278"/>
      <c r="P14" s="278"/>
      <c r="Q14" s="156"/>
      <c r="R14" s="154"/>
      <c r="S14" s="156">
        <f t="shared" si="2"/>
        <v>256.40000000000003</v>
      </c>
      <c r="T14" s="138"/>
      <c r="U14" s="138"/>
      <c r="V14" s="138"/>
      <c r="W14" s="138"/>
      <c r="X14" s="131"/>
    </row>
    <row r="15" spans="1:24" x14ac:dyDescent="0.25">
      <c r="A15" s="81" t="s">
        <v>145</v>
      </c>
      <c r="B15" s="81" t="s">
        <v>13</v>
      </c>
      <c r="C15" s="265">
        <v>39098</v>
      </c>
      <c r="D15" s="275">
        <v>39217</v>
      </c>
      <c r="E15" s="276">
        <v>3000</v>
      </c>
      <c r="F15" s="277"/>
      <c r="G15" s="268">
        <v>1700</v>
      </c>
      <c r="H15" s="263"/>
      <c r="I15" s="263">
        <v>1220</v>
      </c>
      <c r="J15" s="268"/>
      <c r="K15" s="268">
        <v>382</v>
      </c>
      <c r="L15" s="268">
        <f t="shared" si="0"/>
        <v>0</v>
      </c>
      <c r="M15" s="453">
        <f t="shared" si="1"/>
        <v>3302</v>
      </c>
      <c r="N15" s="1006">
        <v>41333</v>
      </c>
      <c r="O15" s="365"/>
      <c r="P15" s="365"/>
      <c r="Q15" s="175">
        <f>G15*0.05+R15+S15</f>
        <v>2250</v>
      </c>
      <c r="R15" s="175">
        <v>2080</v>
      </c>
      <c r="S15" s="175">
        <f t="shared" si="2"/>
        <v>85</v>
      </c>
      <c r="T15" s="138">
        <f>+G15*0.05+Q15</f>
        <v>2335</v>
      </c>
      <c r="U15" s="138">
        <f>G15*0.05+T15</f>
        <v>2420</v>
      </c>
      <c r="V15" s="138">
        <f>+G15*0.05+U15</f>
        <v>2505</v>
      </c>
      <c r="W15" s="138">
        <f>+G15*0.05+V15</f>
        <v>2590</v>
      </c>
      <c r="X15" s="131">
        <f>G15*0.05+W15</f>
        <v>2675</v>
      </c>
    </row>
    <row r="16" spans="1:24" x14ac:dyDescent="0.25">
      <c r="A16" s="81" t="s">
        <v>147</v>
      </c>
      <c r="B16" s="81" t="s">
        <v>27</v>
      </c>
      <c r="C16" s="265">
        <v>39315</v>
      </c>
      <c r="D16" s="275">
        <v>39437</v>
      </c>
      <c r="E16" s="276">
        <v>35000</v>
      </c>
      <c r="F16" s="277"/>
      <c r="G16" s="268">
        <v>23685</v>
      </c>
      <c r="H16" s="263"/>
      <c r="I16" s="263">
        <v>24255</v>
      </c>
      <c r="J16" s="268"/>
      <c r="K16" s="268">
        <v>9170</v>
      </c>
      <c r="L16" s="268">
        <f t="shared" si="0"/>
        <v>0</v>
      </c>
      <c r="M16" s="453">
        <f t="shared" si="1"/>
        <v>57110</v>
      </c>
      <c r="N16" s="1006">
        <v>40961</v>
      </c>
      <c r="O16" s="365"/>
      <c r="P16" s="365"/>
      <c r="Q16" s="175">
        <f>G16*0.05+R16+S16-100</f>
        <v>32743.5</v>
      </c>
      <c r="R16" s="175">
        <v>30475</v>
      </c>
      <c r="S16" s="175">
        <f t="shared" si="2"/>
        <v>1184.25</v>
      </c>
      <c r="T16" s="138">
        <v>32893.5</v>
      </c>
      <c r="U16" s="138">
        <v>12490</v>
      </c>
      <c r="V16" s="138">
        <f>+G16*0.05+U16-110</f>
        <v>13564.25</v>
      </c>
      <c r="W16" s="138">
        <f>+G16*0.05+V16-90</f>
        <v>14658.5</v>
      </c>
      <c r="X16" s="131">
        <f>G16*0.05+W16</f>
        <v>15842.75</v>
      </c>
    </row>
    <row r="17" spans="1:24" x14ac:dyDescent="0.25">
      <c r="A17" s="81" t="s">
        <v>168</v>
      </c>
      <c r="B17" s="81" t="s">
        <v>13</v>
      </c>
      <c r="C17" s="265">
        <v>39070</v>
      </c>
      <c r="D17" s="275">
        <v>39191</v>
      </c>
      <c r="E17" s="434">
        <v>5000</v>
      </c>
      <c r="F17" s="431"/>
      <c r="G17" s="432">
        <v>2220</v>
      </c>
      <c r="H17" s="263"/>
      <c r="I17" s="263">
        <v>3430</v>
      </c>
      <c r="J17" s="432"/>
      <c r="K17" s="432">
        <v>1787</v>
      </c>
      <c r="L17" s="268">
        <f t="shared" si="0"/>
        <v>0</v>
      </c>
      <c r="M17" s="453">
        <f t="shared" si="1"/>
        <v>7437</v>
      </c>
      <c r="N17" s="1006">
        <v>41055</v>
      </c>
      <c r="O17" s="278"/>
      <c r="P17" s="278"/>
      <c r="Q17" s="156">
        <f>G17*0.05+R17+S17</f>
        <v>4288</v>
      </c>
      <c r="R17" s="154">
        <f>3930+136</f>
        <v>4066</v>
      </c>
      <c r="S17" s="156">
        <f t="shared" si="2"/>
        <v>111</v>
      </c>
      <c r="T17" s="138">
        <f>+G17*0.05+Q17</f>
        <v>4399</v>
      </c>
      <c r="U17" s="138">
        <v>3730</v>
      </c>
      <c r="V17" s="138">
        <v>3620</v>
      </c>
      <c r="W17" s="138">
        <f>+G17*0.05+V17</f>
        <v>3731</v>
      </c>
      <c r="X17" s="131">
        <f>G17*0.05+W17</f>
        <v>3842</v>
      </c>
    </row>
    <row r="18" spans="1:24" x14ac:dyDescent="0.25">
      <c r="A18" s="81" t="s">
        <v>170</v>
      </c>
      <c r="B18" s="81" t="s">
        <v>9</v>
      </c>
      <c r="C18" s="265">
        <v>38938</v>
      </c>
      <c r="D18" s="275">
        <v>39303</v>
      </c>
      <c r="E18" s="434">
        <v>35000</v>
      </c>
      <c r="F18" s="431"/>
      <c r="G18" s="432">
        <v>13375</v>
      </c>
      <c r="H18" s="263"/>
      <c r="I18" s="263">
        <v>72191</v>
      </c>
      <c r="J18" s="432"/>
      <c r="K18" s="432">
        <v>12361</v>
      </c>
      <c r="L18" s="268">
        <f t="shared" si="0"/>
        <v>0</v>
      </c>
      <c r="M18" s="453">
        <f t="shared" si="1"/>
        <v>97927</v>
      </c>
      <c r="N18" s="1006">
        <v>40253</v>
      </c>
      <c r="O18" s="303"/>
      <c r="P18" s="365"/>
      <c r="Q18" s="156">
        <f>G18*0.05+R18+S18</f>
        <v>27128.5</v>
      </c>
      <c r="R18" s="154">
        <v>25791</v>
      </c>
      <c r="S18" s="156">
        <f t="shared" si="2"/>
        <v>668.75</v>
      </c>
      <c r="T18" s="138">
        <f>+G18*0.05+Q18</f>
        <v>27797.25</v>
      </c>
      <c r="U18" s="138">
        <f>G18*0.05+T18</f>
        <v>28466</v>
      </c>
      <c r="V18" s="138">
        <f>+G18*0.05+U18</f>
        <v>29134.75</v>
      </c>
      <c r="W18" s="139">
        <f>+G18*0.05+V18</f>
        <v>29803.5</v>
      </c>
      <c r="X18" s="155">
        <f>G18*0.05+W18</f>
        <v>30472.25</v>
      </c>
    </row>
    <row r="19" spans="1:24" x14ac:dyDescent="0.25">
      <c r="A19" s="387" t="s">
        <v>171</v>
      </c>
      <c r="B19" s="387" t="s">
        <v>22</v>
      </c>
      <c r="C19" s="409">
        <v>38936</v>
      </c>
      <c r="D19" s="410">
        <v>39120</v>
      </c>
      <c r="E19" s="434">
        <v>3000</v>
      </c>
      <c r="F19" s="431"/>
      <c r="G19" s="432">
        <v>2700</v>
      </c>
      <c r="H19" s="263"/>
      <c r="I19" s="263">
        <v>6185</v>
      </c>
      <c r="J19" s="432"/>
      <c r="K19" s="432">
        <v>2460</v>
      </c>
      <c r="L19" s="268">
        <f t="shared" si="0"/>
        <v>0</v>
      </c>
      <c r="M19" s="453">
        <f t="shared" si="1"/>
        <v>11345</v>
      </c>
      <c r="N19" s="1007">
        <v>40941</v>
      </c>
      <c r="O19" s="278"/>
      <c r="P19" s="278"/>
      <c r="Q19" s="156">
        <f>G19*0.05+R19+S19</f>
        <v>5300</v>
      </c>
      <c r="R19" s="154">
        <v>5030</v>
      </c>
      <c r="S19" s="156">
        <f t="shared" si="2"/>
        <v>135</v>
      </c>
      <c r="T19" s="138">
        <f>+G19*0.05+Q19</f>
        <v>5435</v>
      </c>
      <c r="U19" s="138">
        <f>G19*0.05+T19</f>
        <v>5570</v>
      </c>
      <c r="V19" s="138">
        <f>+G19*0.05+U19</f>
        <v>5705</v>
      </c>
      <c r="W19" s="138">
        <f>+G19*0.05+V19</f>
        <v>5840</v>
      </c>
      <c r="X19" s="131">
        <f>G19*0.05+W19</f>
        <v>5975</v>
      </c>
    </row>
    <row r="20" spans="1:24" x14ac:dyDescent="0.25">
      <c r="A20" s="387" t="s">
        <v>629</v>
      </c>
      <c r="B20" s="306" t="s">
        <v>564</v>
      </c>
      <c r="C20" s="409">
        <v>38868</v>
      </c>
      <c r="D20" s="410">
        <v>39232</v>
      </c>
      <c r="E20" s="434">
        <v>10000</v>
      </c>
      <c r="F20" s="431">
        <v>100</v>
      </c>
      <c r="G20" s="432">
        <v>8900</v>
      </c>
      <c r="H20" s="263">
        <v>100</v>
      </c>
      <c r="I20" s="263">
        <v>13950</v>
      </c>
      <c r="J20" s="432">
        <v>100</v>
      </c>
      <c r="K20" s="432">
        <v>357</v>
      </c>
      <c r="L20" s="268">
        <f>+F20+H20+J20</f>
        <v>300</v>
      </c>
      <c r="M20" s="453">
        <f t="shared" si="1"/>
        <v>23207</v>
      </c>
      <c r="N20" s="1007">
        <v>41346</v>
      </c>
      <c r="O20" s="365"/>
      <c r="P20" s="365"/>
      <c r="Q20" s="156"/>
      <c r="R20" s="154"/>
      <c r="S20" s="156">
        <f t="shared" si="2"/>
        <v>445</v>
      </c>
      <c r="T20" s="138"/>
      <c r="U20" s="138"/>
      <c r="V20" s="138"/>
      <c r="W20" s="138"/>
      <c r="X20" s="131"/>
    </row>
    <row r="21" spans="1:24" x14ac:dyDescent="0.25">
      <c r="A21" s="81" t="s">
        <v>1147</v>
      </c>
      <c r="B21" s="81" t="s">
        <v>12</v>
      </c>
      <c r="C21" s="265">
        <v>38968</v>
      </c>
      <c r="D21" s="275">
        <v>39090</v>
      </c>
      <c r="E21" s="434">
        <v>4000</v>
      </c>
      <c r="F21" s="431"/>
      <c r="G21" s="432">
        <v>3204</v>
      </c>
      <c r="H21" s="263"/>
      <c r="I21" s="263">
        <v>5116</v>
      </c>
      <c r="J21" s="432"/>
      <c r="K21" s="432">
        <v>1246</v>
      </c>
      <c r="L21" s="268">
        <f>+F21+H21+J21</f>
        <v>0</v>
      </c>
      <c r="M21" s="453">
        <f t="shared" si="1"/>
        <v>9566</v>
      </c>
      <c r="N21" s="1006">
        <v>39459</v>
      </c>
      <c r="O21" s="365"/>
      <c r="P21" s="365"/>
      <c r="Q21" s="156">
        <f>G21*0.05+R21+S21</f>
        <v>5436.4</v>
      </c>
      <c r="R21" s="154">
        <v>5116</v>
      </c>
      <c r="S21" s="156">
        <f t="shared" si="2"/>
        <v>160.20000000000002</v>
      </c>
      <c r="T21" s="138">
        <f>+G21*0.05+Q21</f>
        <v>5596.5999999999995</v>
      </c>
      <c r="U21" s="138">
        <f>G21*0.05+T21</f>
        <v>5756.7999999999993</v>
      </c>
      <c r="V21" s="138">
        <f>+G21*0.05+U21</f>
        <v>5916.9999999999991</v>
      </c>
      <c r="W21" s="138">
        <f>+G21*0.05+V21</f>
        <v>6077.1999999999989</v>
      </c>
      <c r="X21" s="131">
        <f>G21*0.05+W21</f>
        <v>6237.3999999999987</v>
      </c>
    </row>
    <row r="22" spans="1:24" x14ac:dyDescent="0.25">
      <c r="A22" s="81" t="s">
        <v>667</v>
      </c>
      <c r="B22" s="81" t="s">
        <v>487</v>
      </c>
      <c r="C22" s="265">
        <v>39044</v>
      </c>
      <c r="D22" s="275">
        <v>39225</v>
      </c>
      <c r="E22" s="434">
        <v>6000</v>
      </c>
      <c r="F22" s="431"/>
      <c r="G22" s="432">
        <v>415</v>
      </c>
      <c r="H22" s="263"/>
      <c r="I22" s="263">
        <v>795</v>
      </c>
      <c r="J22" s="432"/>
      <c r="K22" s="432">
        <v>794</v>
      </c>
      <c r="L22" s="268">
        <f t="shared" ref="L22" si="3">+F22+H22+J22</f>
        <v>0</v>
      </c>
      <c r="M22" s="453">
        <f t="shared" ref="M22" si="4">+G22+I22+K22</f>
        <v>2004</v>
      </c>
      <c r="N22" s="1006">
        <v>40975</v>
      </c>
      <c r="O22" s="365"/>
      <c r="P22" s="365"/>
      <c r="Q22" s="156"/>
      <c r="R22" s="154"/>
      <c r="S22" s="156">
        <f t="shared" si="2"/>
        <v>20.75</v>
      </c>
      <c r="T22" s="138"/>
      <c r="U22" s="138"/>
      <c r="V22" s="138"/>
      <c r="W22" s="138"/>
      <c r="X22" s="131"/>
    </row>
    <row r="23" spans="1:24" x14ac:dyDescent="0.25">
      <c r="A23" s="81" t="s">
        <v>685</v>
      </c>
      <c r="B23" s="81" t="s">
        <v>27</v>
      </c>
      <c r="C23" s="265">
        <v>39296</v>
      </c>
      <c r="D23" s="275">
        <v>39447</v>
      </c>
      <c r="E23" s="434">
        <v>3000</v>
      </c>
      <c r="F23" s="431"/>
      <c r="G23" s="432">
        <v>690</v>
      </c>
      <c r="H23" s="263"/>
      <c r="I23" s="263">
        <v>640</v>
      </c>
      <c r="J23" s="432"/>
      <c r="K23" s="432"/>
      <c r="L23" s="268">
        <f t="shared" ref="L23" si="5">+F23+H23+J23</f>
        <v>0</v>
      </c>
      <c r="M23" s="453">
        <f t="shared" ref="M23" si="6">+G23+I23+K23</f>
        <v>1330</v>
      </c>
      <c r="N23" s="1006">
        <v>41134</v>
      </c>
      <c r="O23" s="278"/>
      <c r="P23" s="278"/>
      <c r="Q23" s="156"/>
      <c r="R23" s="154"/>
      <c r="S23" s="156">
        <f t="shared" si="2"/>
        <v>34.5</v>
      </c>
      <c r="T23" s="138"/>
      <c r="U23" s="138"/>
      <c r="V23" s="138"/>
      <c r="W23" s="138"/>
      <c r="X23" s="131"/>
    </row>
    <row r="24" spans="1:24" x14ac:dyDescent="0.25">
      <c r="A24" s="81" t="s">
        <v>149</v>
      </c>
      <c r="B24" s="81" t="s">
        <v>18</v>
      </c>
      <c r="C24" s="265">
        <v>39163</v>
      </c>
      <c r="D24" s="275">
        <v>39347</v>
      </c>
      <c r="E24" s="276">
        <v>3132</v>
      </c>
      <c r="F24" s="277"/>
      <c r="G24" s="268">
        <f>3132-300</f>
        <v>2832</v>
      </c>
      <c r="H24" s="263"/>
      <c r="I24" s="263">
        <f>G24*0.05+X24</f>
        <v>4947.800000000002</v>
      </c>
      <c r="J24" s="268"/>
      <c r="K24" s="268">
        <f>848-100</f>
        <v>748</v>
      </c>
      <c r="L24" s="268">
        <f t="shared" ref="L24:L45" si="7">+F24+H24+J24</f>
        <v>0</v>
      </c>
      <c r="M24" s="453">
        <f t="shared" si="1"/>
        <v>8527.8000000000029</v>
      </c>
      <c r="N24" s="1006">
        <v>40375</v>
      </c>
      <c r="O24" s="365"/>
      <c r="P24" s="365"/>
      <c r="Q24" s="175">
        <f>G24*0.05+R24+S24</f>
        <v>4198.2</v>
      </c>
      <c r="R24" s="175">
        <v>3915</v>
      </c>
      <c r="S24" s="175">
        <f t="shared" si="2"/>
        <v>141.6</v>
      </c>
      <c r="T24" s="138">
        <f>+G24*0.05+Q24</f>
        <v>4339.8</v>
      </c>
      <c r="U24" s="138">
        <f>G24*0.05+T24</f>
        <v>4481.4000000000005</v>
      </c>
      <c r="V24" s="138">
        <f>+G24*0.05+U24</f>
        <v>4623.0000000000009</v>
      </c>
      <c r="W24" s="138">
        <f>+G24*0.05+V24-100</f>
        <v>4664.6000000000013</v>
      </c>
      <c r="X24" s="131">
        <f t="shared" ref="X24:X45" si="8">G24*0.05+W24</f>
        <v>4806.2000000000016</v>
      </c>
    </row>
    <row r="25" spans="1:24" x14ac:dyDescent="0.25">
      <c r="A25" s="81" t="s">
        <v>175</v>
      </c>
      <c r="B25" s="81" t="s">
        <v>32</v>
      </c>
      <c r="C25" s="265">
        <v>39013</v>
      </c>
      <c r="D25" s="275">
        <v>39202</v>
      </c>
      <c r="E25" s="434">
        <v>3000</v>
      </c>
      <c r="F25" s="431">
        <v>100</v>
      </c>
      <c r="G25" s="432">
        <v>620</v>
      </c>
      <c r="H25" s="263">
        <v>100</v>
      </c>
      <c r="I25" s="263">
        <v>920</v>
      </c>
      <c r="J25" s="432"/>
      <c r="K25" s="432">
        <v>316</v>
      </c>
      <c r="L25" s="268">
        <f t="shared" si="7"/>
        <v>200</v>
      </c>
      <c r="M25" s="453">
        <f t="shared" si="1"/>
        <v>1856</v>
      </c>
      <c r="N25" s="1006">
        <v>41417</v>
      </c>
      <c r="O25" s="365"/>
      <c r="P25" s="365"/>
      <c r="Q25" s="156">
        <f>G25*0.05+R25+S25-200</f>
        <v>2672</v>
      </c>
      <c r="R25" s="154">
        <v>2810</v>
      </c>
      <c r="S25" s="156">
        <f t="shared" si="2"/>
        <v>31</v>
      </c>
      <c r="T25" s="138">
        <v>2777</v>
      </c>
      <c r="U25" s="138">
        <v>2510</v>
      </c>
      <c r="V25" s="138">
        <f>+G25*0.05+U25</f>
        <v>2541</v>
      </c>
      <c r="W25" s="138">
        <f>+G25*0.05+V25-150</f>
        <v>2422</v>
      </c>
      <c r="X25" s="131">
        <f t="shared" si="8"/>
        <v>2453</v>
      </c>
    </row>
    <row r="26" spans="1:24" x14ac:dyDescent="0.25">
      <c r="A26" s="387" t="s">
        <v>178</v>
      </c>
      <c r="B26" s="81" t="s">
        <v>179</v>
      </c>
      <c r="C26" s="265">
        <v>38730</v>
      </c>
      <c r="D26" s="275">
        <v>39095</v>
      </c>
      <c r="E26" s="434">
        <v>8000</v>
      </c>
      <c r="F26" s="431"/>
      <c r="G26" s="432">
        <v>10849</v>
      </c>
      <c r="H26" s="263"/>
      <c r="I26" s="263">
        <v>16244</v>
      </c>
      <c r="J26" s="432"/>
      <c r="K26" s="432">
        <v>271</v>
      </c>
      <c r="L26" s="268">
        <f t="shared" si="7"/>
        <v>0</v>
      </c>
      <c r="M26" s="453">
        <f t="shared" si="1"/>
        <v>27364</v>
      </c>
      <c r="N26" s="1006">
        <v>41232</v>
      </c>
      <c r="O26" s="365"/>
      <c r="P26" s="365"/>
      <c r="Q26" s="156">
        <f>G26*0.05+R26+S26-300</f>
        <v>19018.900000000001</v>
      </c>
      <c r="R26" s="154">
        <v>18234</v>
      </c>
      <c r="S26" s="156">
        <f t="shared" si="2"/>
        <v>542.45000000000005</v>
      </c>
      <c r="T26" s="138">
        <v>19160.900000000001</v>
      </c>
      <c r="U26" s="138">
        <v>17734</v>
      </c>
      <c r="V26" s="138">
        <f>+G26*0.05+U26</f>
        <v>18276.45</v>
      </c>
      <c r="W26" s="138">
        <f>+G26*0.05+V26-40</f>
        <v>18778.900000000001</v>
      </c>
      <c r="X26" s="131">
        <f t="shared" si="8"/>
        <v>19321.350000000002</v>
      </c>
    </row>
    <row r="27" spans="1:24" x14ac:dyDescent="0.25">
      <c r="A27" s="81" t="s">
        <v>180</v>
      </c>
      <c r="B27" s="81" t="s">
        <v>11</v>
      </c>
      <c r="C27" s="265">
        <v>38916</v>
      </c>
      <c r="D27" s="275">
        <v>39100</v>
      </c>
      <c r="E27" s="434">
        <v>10000</v>
      </c>
      <c r="F27" s="431"/>
      <c r="G27" s="432">
        <v>4353</v>
      </c>
      <c r="H27" s="263"/>
      <c r="I27" s="263">
        <f>+G27*0.05+X27</f>
        <v>7472.9499999999989</v>
      </c>
      <c r="J27" s="432"/>
      <c r="K27" s="432">
        <v>4327</v>
      </c>
      <c r="L27" s="268">
        <f t="shared" si="7"/>
        <v>0</v>
      </c>
      <c r="M27" s="453">
        <f t="shared" si="1"/>
        <v>16152.949999999999</v>
      </c>
      <c r="N27" s="1007">
        <v>40351</v>
      </c>
      <c r="O27" s="365"/>
      <c r="P27" s="365"/>
      <c r="Q27" s="156">
        <f>G27*0.05+R27+S27</f>
        <v>7405.2999999999993</v>
      </c>
      <c r="R27" s="154">
        <v>6970</v>
      </c>
      <c r="S27" s="156">
        <f t="shared" si="2"/>
        <v>217.65</v>
      </c>
      <c r="T27" s="138">
        <f>+G27*0.05+Q27</f>
        <v>7622.9499999999989</v>
      </c>
      <c r="U27" s="138">
        <f t="shared" ref="U27:U32" si="9">G27*0.05+T27</f>
        <v>7840.5999999999985</v>
      </c>
      <c r="V27" s="138">
        <v>6820</v>
      </c>
      <c r="W27" s="138">
        <f>+G27*0.05+V27</f>
        <v>7037.65</v>
      </c>
      <c r="X27" s="131">
        <f t="shared" si="8"/>
        <v>7255.2999999999993</v>
      </c>
    </row>
    <row r="28" spans="1:24" x14ac:dyDescent="0.25">
      <c r="A28" s="81" t="s">
        <v>150</v>
      </c>
      <c r="B28" s="81" t="s">
        <v>32</v>
      </c>
      <c r="C28" s="265">
        <v>39170</v>
      </c>
      <c r="D28" s="275">
        <v>39354</v>
      </c>
      <c r="E28" s="276">
        <v>4000</v>
      </c>
      <c r="F28" s="277"/>
      <c r="G28" s="268">
        <v>3230</v>
      </c>
      <c r="H28" s="263"/>
      <c r="I28" s="263">
        <v>4360</v>
      </c>
      <c r="J28" s="268"/>
      <c r="K28" s="268">
        <v>696</v>
      </c>
      <c r="L28" s="268">
        <f t="shared" si="7"/>
        <v>0</v>
      </c>
      <c r="M28" s="453">
        <f t="shared" si="1"/>
        <v>8286</v>
      </c>
      <c r="N28" s="1006">
        <v>41122</v>
      </c>
      <c r="O28" s="365"/>
      <c r="P28" s="365"/>
      <c r="Q28" s="175">
        <f>G28*0.05+R28+S28</f>
        <v>6123</v>
      </c>
      <c r="R28" s="175">
        <v>5800</v>
      </c>
      <c r="S28" s="175">
        <f t="shared" si="2"/>
        <v>161.5</v>
      </c>
      <c r="T28" s="138">
        <f>+G28*0.05+Q28</f>
        <v>6284.5</v>
      </c>
      <c r="U28" s="138">
        <f t="shared" si="9"/>
        <v>6446</v>
      </c>
      <c r="V28" s="138">
        <f>+G28*0.05+U28</f>
        <v>6607.5</v>
      </c>
      <c r="W28" s="138">
        <f>+G28*0.05+V28</f>
        <v>6769</v>
      </c>
      <c r="X28" s="131">
        <f t="shared" si="8"/>
        <v>6930.5</v>
      </c>
    </row>
    <row r="29" spans="1:24" x14ac:dyDescent="0.25">
      <c r="A29" s="387" t="s">
        <v>151</v>
      </c>
      <c r="B29" s="81" t="s">
        <v>152</v>
      </c>
      <c r="C29" s="265">
        <v>39148</v>
      </c>
      <c r="D29" s="275">
        <v>39332</v>
      </c>
      <c r="E29" s="276">
        <v>5000</v>
      </c>
      <c r="F29" s="277"/>
      <c r="G29" s="268">
        <v>5000</v>
      </c>
      <c r="H29" s="263"/>
      <c r="I29" s="263">
        <f>G29*0.05+X29</f>
        <v>9950</v>
      </c>
      <c r="J29" s="268"/>
      <c r="K29" s="268">
        <v>5206</v>
      </c>
      <c r="L29" s="268">
        <f t="shared" si="7"/>
        <v>0</v>
      </c>
      <c r="M29" s="453">
        <f t="shared" si="1"/>
        <v>20156</v>
      </c>
      <c r="N29" s="1006" t="s">
        <v>76</v>
      </c>
      <c r="O29" s="365"/>
      <c r="P29" s="365"/>
      <c r="Q29" s="175">
        <f>G29*0.05+R29+S29</f>
        <v>8450</v>
      </c>
      <c r="R29" s="175">
        <v>7950</v>
      </c>
      <c r="S29" s="175">
        <f t="shared" si="2"/>
        <v>250</v>
      </c>
      <c r="T29" s="138">
        <f>+G29*0.05+Q29</f>
        <v>8700</v>
      </c>
      <c r="U29" s="138">
        <f t="shared" si="9"/>
        <v>8950</v>
      </c>
      <c r="V29" s="138">
        <f>+G29*0.05+U29</f>
        <v>9200</v>
      </c>
      <c r="W29" s="138">
        <f>+G29*0.05+V29</f>
        <v>9450</v>
      </c>
      <c r="X29" s="131">
        <f t="shared" si="8"/>
        <v>9700</v>
      </c>
    </row>
    <row r="30" spans="1:24" x14ac:dyDescent="0.25">
      <c r="A30" s="81" t="s">
        <v>185</v>
      </c>
      <c r="B30" s="81" t="s">
        <v>11</v>
      </c>
      <c r="C30" s="265">
        <v>38965</v>
      </c>
      <c r="D30" s="275">
        <v>39268</v>
      </c>
      <c r="E30" s="434">
        <v>5000</v>
      </c>
      <c r="F30" s="431">
        <v>100</v>
      </c>
      <c r="G30" s="432">
        <v>946</v>
      </c>
      <c r="H30" s="263">
        <v>200</v>
      </c>
      <c r="I30" s="263">
        <v>172</v>
      </c>
      <c r="J30" s="432"/>
      <c r="K30" s="432">
        <v>839</v>
      </c>
      <c r="L30" s="268">
        <f t="shared" si="7"/>
        <v>300</v>
      </c>
      <c r="M30" s="453">
        <f t="shared" si="1"/>
        <v>1957</v>
      </c>
      <c r="N30" s="1007">
        <v>41410</v>
      </c>
      <c r="O30" s="365"/>
      <c r="P30" s="365"/>
      <c r="Q30" s="156">
        <f>G30*0.05+R30+S30</f>
        <v>4714.6000000000004</v>
      </c>
      <c r="R30" s="154">
        <v>4620</v>
      </c>
      <c r="S30" s="156">
        <f t="shared" si="2"/>
        <v>47.300000000000004</v>
      </c>
      <c r="T30" s="138">
        <f>+G30*0.05+Q30</f>
        <v>4761.9000000000005</v>
      </c>
      <c r="U30" s="138">
        <f t="shared" si="9"/>
        <v>4809.2000000000007</v>
      </c>
      <c r="V30" s="138">
        <f>+G30*0.05+U30</f>
        <v>4856.5000000000009</v>
      </c>
      <c r="W30" s="138">
        <f>+G30*0.05+V30</f>
        <v>4903.8000000000011</v>
      </c>
      <c r="X30" s="131">
        <f t="shared" si="8"/>
        <v>4951.1000000000013</v>
      </c>
    </row>
    <row r="31" spans="1:24" x14ac:dyDescent="0.25">
      <c r="A31" s="81" t="s">
        <v>186</v>
      </c>
      <c r="B31" s="81" t="s">
        <v>11</v>
      </c>
      <c r="C31" s="265">
        <v>38965</v>
      </c>
      <c r="D31" s="275">
        <v>39118</v>
      </c>
      <c r="E31" s="434">
        <v>4000</v>
      </c>
      <c r="F31" s="431"/>
      <c r="G31" s="432">
        <v>2220</v>
      </c>
      <c r="H31" s="263"/>
      <c r="I31" s="263">
        <v>5393</v>
      </c>
      <c r="J31" s="432"/>
      <c r="K31" s="432">
        <v>810</v>
      </c>
      <c r="L31" s="268">
        <f t="shared" si="7"/>
        <v>0</v>
      </c>
      <c r="M31" s="453">
        <f t="shared" si="1"/>
        <v>8423</v>
      </c>
      <c r="N31" s="1007">
        <v>41062</v>
      </c>
      <c r="O31" s="365"/>
      <c r="P31" s="365"/>
      <c r="Q31" s="156">
        <f>G31*0.05+R31+S31-200-200</f>
        <v>5823</v>
      </c>
      <c r="R31" s="154">
        <v>6001</v>
      </c>
      <c r="S31" s="156">
        <f t="shared" si="2"/>
        <v>111</v>
      </c>
      <c r="T31" s="138">
        <v>5956</v>
      </c>
      <c r="U31" s="138">
        <f t="shared" si="9"/>
        <v>6067</v>
      </c>
      <c r="V31" s="138">
        <f>+G31*0.05+U31</f>
        <v>6178</v>
      </c>
      <c r="W31" s="138">
        <f>+G31*0.05+V31</f>
        <v>6289</v>
      </c>
      <c r="X31" s="131">
        <f t="shared" si="8"/>
        <v>6400</v>
      </c>
    </row>
    <row r="32" spans="1:24" x14ac:dyDescent="0.25">
      <c r="A32" s="81" t="s">
        <v>187</v>
      </c>
      <c r="B32" s="81" t="s">
        <v>16</v>
      </c>
      <c r="C32" s="265">
        <v>38869</v>
      </c>
      <c r="D32" s="275">
        <v>39234</v>
      </c>
      <c r="E32" s="434">
        <v>4000</v>
      </c>
      <c r="F32" s="431"/>
      <c r="G32" s="432">
        <v>1334</v>
      </c>
      <c r="H32" s="263"/>
      <c r="I32" s="263">
        <v>2195</v>
      </c>
      <c r="J32" s="432"/>
      <c r="K32" s="432">
        <v>1660</v>
      </c>
      <c r="L32" s="268">
        <f t="shared" si="7"/>
        <v>0</v>
      </c>
      <c r="M32" s="453">
        <f t="shared" si="1"/>
        <v>5189</v>
      </c>
      <c r="N32" s="1006">
        <v>40814</v>
      </c>
      <c r="O32" s="365"/>
      <c r="P32" s="365"/>
      <c r="Q32" s="156">
        <f t="shared" ref="Q32:Q40" si="10">G32*0.05+R32+S32</f>
        <v>3528.3999999999996</v>
      </c>
      <c r="R32" s="154">
        <v>3395</v>
      </c>
      <c r="S32" s="156">
        <f t="shared" si="2"/>
        <v>66.7</v>
      </c>
      <c r="T32" s="138">
        <f>+G32*0.05+Q32</f>
        <v>3595.0999999999995</v>
      </c>
      <c r="U32" s="138">
        <f t="shared" si="9"/>
        <v>3661.7999999999993</v>
      </c>
      <c r="V32" s="138">
        <f>+G32*0.05+U32-500</f>
        <v>3228.4999999999991</v>
      </c>
      <c r="W32" s="138">
        <f>+G32*0.05+V32-500</f>
        <v>2795.1999999999989</v>
      </c>
      <c r="X32" s="131">
        <f t="shared" si="8"/>
        <v>2861.8999999999987</v>
      </c>
    </row>
    <row r="33" spans="1:24" x14ac:dyDescent="0.25">
      <c r="A33" s="81" t="s">
        <v>188</v>
      </c>
      <c r="B33" s="81" t="s">
        <v>11</v>
      </c>
      <c r="C33" s="265">
        <v>38887</v>
      </c>
      <c r="D33" s="275">
        <v>39132</v>
      </c>
      <c r="E33" s="434">
        <v>3000</v>
      </c>
      <c r="F33" s="431"/>
      <c r="G33" s="432">
        <v>2750</v>
      </c>
      <c r="H33" s="263"/>
      <c r="I33" s="263">
        <v>4712</v>
      </c>
      <c r="J33" s="432"/>
      <c r="K33" s="432">
        <v>2600</v>
      </c>
      <c r="L33" s="268">
        <f t="shared" ref="L33" si="11">+F33+H33+J33</f>
        <v>0</v>
      </c>
      <c r="M33" s="453">
        <f t="shared" ref="M33" si="12">+G33+I33+K33</f>
        <v>10062</v>
      </c>
      <c r="N33" s="1007">
        <v>41166</v>
      </c>
      <c r="O33" s="278"/>
      <c r="P33" s="278"/>
      <c r="Q33" s="156">
        <f t="shared" si="10"/>
        <v>5650</v>
      </c>
      <c r="R33" s="154">
        <v>5375</v>
      </c>
      <c r="S33" s="156">
        <f t="shared" si="2"/>
        <v>137.5</v>
      </c>
      <c r="T33" s="138">
        <f>+G33*0.05+Q33</f>
        <v>5787.5</v>
      </c>
      <c r="U33" s="138">
        <v>5075</v>
      </c>
      <c r="V33" s="138">
        <f>+G33*0.05+U33</f>
        <v>5212.5</v>
      </c>
      <c r="W33" s="138">
        <f>+G33*0.05+V33</f>
        <v>5350</v>
      </c>
      <c r="X33" s="131">
        <f t="shared" si="8"/>
        <v>5487.5</v>
      </c>
    </row>
    <row r="34" spans="1:24" x14ac:dyDescent="0.25">
      <c r="A34" s="81" t="s">
        <v>155</v>
      </c>
      <c r="B34" s="81" t="s">
        <v>9</v>
      </c>
      <c r="C34" s="265">
        <v>39304</v>
      </c>
      <c r="D34" s="275">
        <v>39426</v>
      </c>
      <c r="E34" s="276">
        <v>5000</v>
      </c>
      <c r="F34" s="277"/>
      <c r="G34" s="268">
        <v>685</v>
      </c>
      <c r="H34" s="263"/>
      <c r="I34" s="263">
        <v>2124</v>
      </c>
      <c r="J34" s="268"/>
      <c r="K34" s="268">
        <v>1425</v>
      </c>
      <c r="L34" s="268">
        <f t="shared" si="7"/>
        <v>0</v>
      </c>
      <c r="M34" s="453">
        <f t="shared" si="1"/>
        <v>4234</v>
      </c>
      <c r="N34" s="1006">
        <v>41269</v>
      </c>
      <c r="O34" s="365"/>
      <c r="P34" s="365"/>
      <c r="Q34" s="175">
        <f t="shared" si="10"/>
        <v>2369.5</v>
      </c>
      <c r="R34" s="175">
        <v>2301</v>
      </c>
      <c r="S34" s="175">
        <f t="shared" si="2"/>
        <v>34.25</v>
      </c>
      <c r="T34" s="138">
        <v>2424</v>
      </c>
      <c r="U34" s="138">
        <v>2176</v>
      </c>
      <c r="V34" s="138">
        <v>2126</v>
      </c>
      <c r="W34" s="138">
        <f>+G34*0.05+V34</f>
        <v>2160.25</v>
      </c>
      <c r="X34" s="131">
        <f t="shared" si="8"/>
        <v>2194.5</v>
      </c>
    </row>
    <row r="35" spans="1:24" x14ac:dyDescent="0.25">
      <c r="A35" s="81" t="s">
        <v>195</v>
      </c>
      <c r="B35" s="81" t="s">
        <v>13</v>
      </c>
      <c r="C35" s="265">
        <v>38902</v>
      </c>
      <c r="D35" s="275">
        <v>39086</v>
      </c>
      <c r="E35" s="434">
        <v>6000</v>
      </c>
      <c r="F35" s="431"/>
      <c r="G35" s="432">
        <v>1620</v>
      </c>
      <c r="H35" s="263"/>
      <c r="I35" s="263">
        <v>3886</v>
      </c>
      <c r="J35" s="432"/>
      <c r="K35" s="432">
        <v>1511</v>
      </c>
      <c r="L35" s="268">
        <f t="shared" ref="L35:L38" si="13">+F35+H35+J35</f>
        <v>0</v>
      </c>
      <c r="M35" s="453">
        <f t="shared" ref="M35:M38" si="14">+G35+I35+K35</f>
        <v>7017</v>
      </c>
      <c r="N35" s="1006">
        <v>41321</v>
      </c>
      <c r="O35" s="365"/>
      <c r="P35" s="365"/>
      <c r="Q35" s="156">
        <f t="shared" si="10"/>
        <v>10130</v>
      </c>
      <c r="R35" s="154">
        <f>9680+288</f>
        <v>9968</v>
      </c>
      <c r="S35" s="156">
        <f t="shared" si="2"/>
        <v>81</v>
      </c>
      <c r="T35" s="138">
        <f t="shared" ref="T35:T39" si="15">+G35*0.05+Q35</f>
        <v>10211</v>
      </c>
      <c r="U35" s="138">
        <f>G35*0.05+T35-200</f>
        <v>10092</v>
      </c>
      <c r="V35" s="138">
        <v>9280</v>
      </c>
      <c r="W35" s="138">
        <f>+G35*0.05+V35-300</f>
        <v>9061</v>
      </c>
      <c r="X35" s="131">
        <f t="shared" si="8"/>
        <v>9142</v>
      </c>
    </row>
    <row r="36" spans="1:24" x14ac:dyDescent="0.25">
      <c r="A36" s="81" t="s">
        <v>198</v>
      </c>
      <c r="B36" s="81" t="s">
        <v>460</v>
      </c>
      <c r="C36" s="265">
        <v>39051</v>
      </c>
      <c r="D36" s="275">
        <v>39416</v>
      </c>
      <c r="E36" s="434">
        <v>15000</v>
      </c>
      <c r="F36" s="431"/>
      <c r="G36" s="432">
        <v>350</v>
      </c>
      <c r="H36" s="263"/>
      <c r="I36" s="263">
        <v>147</v>
      </c>
      <c r="J36" s="432"/>
      <c r="K36" s="432">
        <v>5142</v>
      </c>
      <c r="L36" s="268">
        <f t="shared" si="13"/>
        <v>0</v>
      </c>
      <c r="M36" s="453">
        <f t="shared" si="14"/>
        <v>5639</v>
      </c>
      <c r="N36" s="1006">
        <v>40716</v>
      </c>
      <c r="O36" s="365"/>
      <c r="P36" s="365"/>
      <c r="Q36" s="156">
        <f t="shared" si="10"/>
        <v>2135</v>
      </c>
      <c r="R36" s="154">
        <v>2100</v>
      </c>
      <c r="S36" s="156">
        <f t="shared" si="2"/>
        <v>17.5</v>
      </c>
      <c r="T36" s="138">
        <f t="shared" si="15"/>
        <v>2152.5</v>
      </c>
      <c r="U36" s="138">
        <f>G36*0.05+T36</f>
        <v>2170</v>
      </c>
      <c r="V36" s="138">
        <v>2497</v>
      </c>
      <c r="W36" s="138">
        <f>+G36*0.05+V36-100</f>
        <v>2414.5</v>
      </c>
      <c r="X36" s="131">
        <f t="shared" si="8"/>
        <v>2432</v>
      </c>
    </row>
    <row r="37" spans="1:24" x14ac:dyDescent="0.25">
      <c r="A37" s="81" t="s">
        <v>199</v>
      </c>
      <c r="B37" s="81" t="s">
        <v>32</v>
      </c>
      <c r="C37" s="265">
        <v>39070</v>
      </c>
      <c r="D37" s="275">
        <v>39248</v>
      </c>
      <c r="E37" s="434">
        <v>4000</v>
      </c>
      <c r="F37" s="431"/>
      <c r="G37" s="432">
        <v>2284</v>
      </c>
      <c r="H37" s="263"/>
      <c r="I37" s="263">
        <v>4149</v>
      </c>
      <c r="J37" s="432"/>
      <c r="K37" s="432">
        <v>1868</v>
      </c>
      <c r="L37" s="268">
        <f t="shared" si="13"/>
        <v>0</v>
      </c>
      <c r="M37" s="453">
        <f t="shared" si="14"/>
        <v>8301</v>
      </c>
      <c r="N37" s="1006">
        <v>41260</v>
      </c>
      <c r="O37" s="303"/>
      <c r="P37" s="365"/>
      <c r="Q37" s="156">
        <f t="shared" si="10"/>
        <v>4277.3999999999996</v>
      </c>
      <c r="R37" s="154">
        <v>4049</v>
      </c>
      <c r="S37" s="156">
        <f t="shared" si="2"/>
        <v>114.2</v>
      </c>
      <c r="T37" s="138">
        <f t="shared" si="15"/>
        <v>4391.5999999999995</v>
      </c>
      <c r="U37" s="138">
        <f>G37*0.05+T37</f>
        <v>4505.7999999999993</v>
      </c>
      <c r="V37" s="138">
        <f>+G37*0.05+U37</f>
        <v>4619.9999999999991</v>
      </c>
      <c r="W37" s="139">
        <f>+G37*0.05+V37-100</f>
        <v>4634.1999999999989</v>
      </c>
      <c r="X37" s="155">
        <f t="shared" si="8"/>
        <v>4748.3999999999987</v>
      </c>
    </row>
    <row r="38" spans="1:24" x14ac:dyDescent="0.25">
      <c r="A38" s="81" t="s">
        <v>160</v>
      </c>
      <c r="B38" s="81" t="s">
        <v>13</v>
      </c>
      <c r="C38" s="265">
        <v>39121</v>
      </c>
      <c r="D38" s="275">
        <v>39241</v>
      </c>
      <c r="E38" s="276">
        <v>2500</v>
      </c>
      <c r="F38" s="277"/>
      <c r="G38" s="268">
        <v>1875</v>
      </c>
      <c r="H38" s="263"/>
      <c r="I38" s="263">
        <f>G38*0.05+X38</f>
        <v>4031</v>
      </c>
      <c r="J38" s="268"/>
      <c r="K38" s="268">
        <v>2110</v>
      </c>
      <c r="L38" s="268">
        <f t="shared" si="13"/>
        <v>0</v>
      </c>
      <c r="M38" s="453">
        <f t="shared" si="14"/>
        <v>8016</v>
      </c>
      <c r="N38" s="1006">
        <v>39150</v>
      </c>
      <c r="O38" s="298"/>
      <c r="P38" s="575"/>
      <c r="Q38" s="175">
        <f t="shared" si="10"/>
        <v>3468.5</v>
      </c>
      <c r="R38" s="175">
        <v>3281</v>
      </c>
      <c r="S38" s="175">
        <f t="shared" si="2"/>
        <v>93.75</v>
      </c>
      <c r="T38" s="138">
        <f t="shared" si="15"/>
        <v>3562.25</v>
      </c>
      <c r="U38" s="138">
        <f>G38*0.05+T38</f>
        <v>3656</v>
      </c>
      <c r="V38" s="138">
        <f>+G38*0.05+U38</f>
        <v>3749.75</v>
      </c>
      <c r="W38" s="139">
        <f>+G38*0.05+V38</f>
        <v>3843.5</v>
      </c>
      <c r="X38" s="155">
        <f t="shared" si="8"/>
        <v>3937.25</v>
      </c>
    </row>
    <row r="39" spans="1:24" x14ac:dyDescent="0.25">
      <c r="A39" s="81" t="s">
        <v>161</v>
      </c>
      <c r="B39" s="81" t="s">
        <v>29</v>
      </c>
      <c r="C39" s="265">
        <v>39277</v>
      </c>
      <c r="D39" s="275">
        <v>39430</v>
      </c>
      <c r="E39" s="276">
        <v>8000</v>
      </c>
      <c r="F39" s="277"/>
      <c r="G39" s="268">
        <v>1873</v>
      </c>
      <c r="H39" s="263"/>
      <c r="I39" s="263">
        <v>6135</v>
      </c>
      <c r="J39" s="268"/>
      <c r="K39" s="268">
        <v>1020</v>
      </c>
      <c r="L39" s="268">
        <f t="shared" si="7"/>
        <v>0</v>
      </c>
      <c r="M39" s="453">
        <f t="shared" si="1"/>
        <v>9028</v>
      </c>
      <c r="N39" s="1006">
        <v>40938</v>
      </c>
      <c r="O39" s="298"/>
      <c r="P39" s="575"/>
      <c r="Q39" s="175">
        <f t="shared" si="10"/>
        <v>5594.2999999999993</v>
      </c>
      <c r="R39" s="175">
        <v>5407</v>
      </c>
      <c r="S39" s="175">
        <f t="shared" si="2"/>
        <v>93.65</v>
      </c>
      <c r="T39" s="138">
        <f t="shared" si="15"/>
        <v>5687.9499999999989</v>
      </c>
      <c r="U39" s="138">
        <f>G39*0.05+T39</f>
        <v>5781.5999999999985</v>
      </c>
      <c r="V39" s="138">
        <v>3907</v>
      </c>
      <c r="W39" s="139">
        <f>+G39*0.05+V39</f>
        <v>4000.65</v>
      </c>
      <c r="X39" s="155">
        <f t="shared" si="8"/>
        <v>4094.3</v>
      </c>
    </row>
    <row r="40" spans="1:24" x14ac:dyDescent="0.25">
      <c r="A40" s="81" t="s">
        <v>204</v>
      </c>
      <c r="B40" s="81" t="s">
        <v>174</v>
      </c>
      <c r="C40" s="265">
        <v>39031</v>
      </c>
      <c r="D40" s="275">
        <v>39212</v>
      </c>
      <c r="E40" s="434">
        <v>6000</v>
      </c>
      <c r="F40" s="431"/>
      <c r="G40" s="432">
        <v>4675</v>
      </c>
      <c r="H40" s="263"/>
      <c r="I40" s="263">
        <v>10199</v>
      </c>
      <c r="J40" s="432"/>
      <c r="K40" s="432">
        <v>8906</v>
      </c>
      <c r="L40" s="268">
        <f t="shared" si="7"/>
        <v>0</v>
      </c>
      <c r="M40" s="453">
        <f t="shared" si="1"/>
        <v>23780</v>
      </c>
      <c r="N40" s="1006">
        <v>41101</v>
      </c>
      <c r="O40" s="269"/>
      <c r="P40" s="278"/>
      <c r="Q40" s="156">
        <f t="shared" si="10"/>
        <v>11568.5</v>
      </c>
      <c r="R40" s="154">
        <v>11101</v>
      </c>
      <c r="S40" s="156">
        <f t="shared" si="2"/>
        <v>233.75</v>
      </c>
      <c r="T40" s="138">
        <v>11666.5</v>
      </c>
      <c r="U40" s="138">
        <f>G40*0.05+T40-300</f>
        <v>11600.25</v>
      </c>
      <c r="V40" s="138">
        <v>10731</v>
      </c>
      <c r="W40" s="139">
        <f>+G40*0.05+V40-50</f>
        <v>10914.75</v>
      </c>
      <c r="X40" s="155">
        <f t="shared" si="8"/>
        <v>11148.5</v>
      </c>
    </row>
    <row r="41" spans="1:24" x14ac:dyDescent="0.25">
      <c r="A41" s="81" t="s">
        <v>205</v>
      </c>
      <c r="B41" s="81" t="s">
        <v>142</v>
      </c>
      <c r="C41" s="265">
        <v>39020</v>
      </c>
      <c r="D41" s="275">
        <v>39385</v>
      </c>
      <c r="E41" s="434">
        <v>10000</v>
      </c>
      <c r="F41" s="431"/>
      <c r="G41" s="432">
        <v>7935</v>
      </c>
      <c r="H41" s="263"/>
      <c r="I41" s="263">
        <v>4165</v>
      </c>
      <c r="J41" s="432"/>
      <c r="K41" s="432">
        <v>3915</v>
      </c>
      <c r="L41" s="268">
        <f t="shared" si="7"/>
        <v>0</v>
      </c>
      <c r="M41" s="453">
        <f t="shared" si="1"/>
        <v>16015</v>
      </c>
      <c r="N41" s="1006">
        <v>40396</v>
      </c>
      <c r="O41" s="303"/>
      <c r="P41" s="365"/>
      <c r="Q41" s="156">
        <v>1525</v>
      </c>
      <c r="R41" s="154">
        <v>1995</v>
      </c>
      <c r="S41" s="156">
        <f t="shared" si="2"/>
        <v>396.75</v>
      </c>
      <c r="T41" s="138">
        <v>1525</v>
      </c>
      <c r="U41" s="138">
        <v>4430</v>
      </c>
      <c r="V41" s="138">
        <v>4285</v>
      </c>
      <c r="W41" s="139">
        <f>+G41*0.05+V41-100</f>
        <v>4581.75</v>
      </c>
      <c r="X41" s="155">
        <f t="shared" si="8"/>
        <v>4978.5</v>
      </c>
    </row>
    <row r="42" spans="1:24" x14ac:dyDescent="0.25">
      <c r="A42" s="81" t="s">
        <v>206</v>
      </c>
      <c r="B42" s="81" t="s">
        <v>154</v>
      </c>
      <c r="C42" s="265">
        <v>39064</v>
      </c>
      <c r="D42" s="275">
        <v>39247</v>
      </c>
      <c r="E42" s="434">
        <v>11000</v>
      </c>
      <c r="F42" s="431"/>
      <c r="G42" s="432">
        <v>10850</v>
      </c>
      <c r="H42" s="263"/>
      <c r="I42" s="263">
        <f>+G42*0.05+X42</f>
        <v>22137</v>
      </c>
      <c r="J42" s="432"/>
      <c r="K42" s="432">
        <v>3695</v>
      </c>
      <c r="L42" s="268">
        <f t="shared" si="7"/>
        <v>0</v>
      </c>
      <c r="M42" s="453">
        <f t="shared" si="1"/>
        <v>36682</v>
      </c>
      <c r="N42" s="1006">
        <v>40205</v>
      </c>
      <c r="O42" s="303"/>
      <c r="P42" s="365"/>
      <c r="Q42" s="156">
        <f>G42*0.05+R42+S42</f>
        <v>18882</v>
      </c>
      <c r="R42" s="154">
        <v>17797</v>
      </c>
      <c r="S42" s="156">
        <f t="shared" si="2"/>
        <v>542.5</v>
      </c>
      <c r="T42" s="138">
        <f>+G42*0.05+Q42</f>
        <v>19424.5</v>
      </c>
      <c r="U42" s="138">
        <f>G42*0.05+T42</f>
        <v>19967</v>
      </c>
      <c r="V42" s="138">
        <f>+G42*0.05+U42</f>
        <v>20509.5</v>
      </c>
      <c r="W42" s="139">
        <f>+G42*0.05+V42</f>
        <v>21052</v>
      </c>
      <c r="X42" s="155">
        <f t="shared" si="8"/>
        <v>21594.5</v>
      </c>
    </row>
    <row r="43" spans="1:24" x14ac:dyDescent="0.25">
      <c r="A43" s="81" t="s">
        <v>162</v>
      </c>
      <c r="B43" s="81" t="s">
        <v>459</v>
      </c>
      <c r="C43" s="265">
        <v>39142</v>
      </c>
      <c r="D43" s="275">
        <v>39264</v>
      </c>
      <c r="E43" s="276">
        <v>4000</v>
      </c>
      <c r="F43" s="277"/>
      <c r="G43" s="268">
        <v>2610</v>
      </c>
      <c r="H43" s="263"/>
      <c r="I43" s="263">
        <f>G43*0.05+X43</f>
        <v>5780</v>
      </c>
      <c r="J43" s="268"/>
      <c r="K43" s="268">
        <v>8960</v>
      </c>
      <c r="L43" s="268">
        <f t="shared" si="7"/>
        <v>0</v>
      </c>
      <c r="M43" s="453">
        <f t="shared" si="1"/>
        <v>17350</v>
      </c>
      <c r="N43" s="1006">
        <v>39203</v>
      </c>
      <c r="O43" s="298"/>
      <c r="P43" s="575"/>
      <c r="Q43" s="175">
        <f>G43*0.05+R43+S43</f>
        <v>4997</v>
      </c>
      <c r="R43" s="175">
        <v>4736</v>
      </c>
      <c r="S43" s="175">
        <f t="shared" si="2"/>
        <v>130.5</v>
      </c>
      <c r="T43" s="138">
        <f>+G43*0.05+Q43</f>
        <v>5127.5</v>
      </c>
      <c r="U43" s="138">
        <f>G43*0.05+T43</f>
        <v>5258</v>
      </c>
      <c r="V43" s="138">
        <f>+G43*0.05+U43</f>
        <v>5388.5</v>
      </c>
      <c r="W43" s="139">
        <f>+G43*0.05+V43</f>
        <v>5519</v>
      </c>
      <c r="X43" s="155">
        <f t="shared" si="8"/>
        <v>5649.5</v>
      </c>
    </row>
    <row r="44" spans="1:24" x14ac:dyDescent="0.25">
      <c r="A44" s="81" t="s">
        <v>164</v>
      </c>
      <c r="B44" s="81" t="s">
        <v>12</v>
      </c>
      <c r="C44" s="265">
        <v>39106</v>
      </c>
      <c r="D44" s="275">
        <v>39410</v>
      </c>
      <c r="E44" s="276">
        <v>10000</v>
      </c>
      <c r="F44" s="277">
        <v>200</v>
      </c>
      <c r="G44" s="268">
        <v>4940</v>
      </c>
      <c r="H44" s="263">
        <v>200</v>
      </c>
      <c r="I44" s="263">
        <v>3775</v>
      </c>
      <c r="J44" s="268">
        <v>100</v>
      </c>
      <c r="K44" s="268">
        <v>4562</v>
      </c>
      <c r="L44" s="268">
        <f t="shared" si="7"/>
        <v>500</v>
      </c>
      <c r="M44" s="453">
        <f t="shared" si="1"/>
        <v>13277</v>
      </c>
      <c r="N44" s="1006">
        <v>41403</v>
      </c>
      <c r="O44" s="298"/>
      <c r="P44" s="575"/>
      <c r="Q44" s="175">
        <f>G44*0.05+R44+S44</f>
        <v>12994</v>
      </c>
      <c r="R44" s="174">
        <v>12500</v>
      </c>
      <c r="S44" s="175">
        <f t="shared" si="2"/>
        <v>247</v>
      </c>
      <c r="T44" s="138">
        <f>+G44*0.05+Q44</f>
        <v>13241</v>
      </c>
      <c r="U44" s="138">
        <f>G44*0.05+T44</f>
        <v>13488</v>
      </c>
      <c r="V44" s="138">
        <f>+G44*0.05+U44</f>
        <v>13735</v>
      </c>
      <c r="W44" s="139">
        <f>+G44*0.05+V44-500</f>
        <v>13482</v>
      </c>
      <c r="X44" s="155">
        <f t="shared" si="8"/>
        <v>13729</v>
      </c>
    </row>
    <row r="45" spans="1:24" ht="15.75" thickBot="1" x14ac:dyDescent="0.3">
      <c r="A45" s="284" t="s">
        <v>165</v>
      </c>
      <c r="B45" s="284" t="s">
        <v>27</v>
      </c>
      <c r="C45" s="285">
        <v>39223</v>
      </c>
      <c r="D45" s="286">
        <v>39407</v>
      </c>
      <c r="E45" s="288">
        <v>4000</v>
      </c>
      <c r="F45" s="277"/>
      <c r="G45" s="268">
        <v>3500</v>
      </c>
      <c r="H45" s="263"/>
      <c r="I45" s="263">
        <v>5100</v>
      </c>
      <c r="J45" s="268"/>
      <c r="K45" s="268">
        <v>219</v>
      </c>
      <c r="L45" s="268">
        <f t="shared" si="7"/>
        <v>0</v>
      </c>
      <c r="M45" s="453">
        <f t="shared" si="1"/>
        <v>8819</v>
      </c>
      <c r="N45" s="1006">
        <v>40394</v>
      </c>
      <c r="O45" s="298"/>
      <c r="P45" s="575"/>
      <c r="Q45" s="175">
        <f>G45*0.05+R45+S45</f>
        <v>4850</v>
      </c>
      <c r="R45" s="174">
        <v>4500</v>
      </c>
      <c r="S45" s="175">
        <f t="shared" si="2"/>
        <v>175</v>
      </c>
      <c r="T45" s="138">
        <f>+G45*0.05+Q45</f>
        <v>5025</v>
      </c>
      <c r="U45" s="138">
        <f>G45*0.05+T45</f>
        <v>5200</v>
      </c>
      <c r="V45" s="138">
        <f>+G45*0.05+U45-500</f>
        <v>4875</v>
      </c>
      <c r="W45" s="139">
        <f>+G45*0.05+V45-200</f>
        <v>4850</v>
      </c>
      <c r="X45" s="155">
        <f t="shared" si="8"/>
        <v>5025</v>
      </c>
    </row>
    <row r="46" spans="1:24" ht="15.75" thickBot="1" x14ac:dyDescent="0.3">
      <c r="A46" s="633" t="s">
        <v>1061</v>
      </c>
      <c r="B46" s="633"/>
      <c r="C46" s="634"/>
      <c r="D46" s="634"/>
      <c r="E46" s="466">
        <f t="shared" ref="E46:M46" si="16">SUM(E9:E45)</f>
        <v>315132</v>
      </c>
      <c r="F46" s="446">
        <f t="shared" si="16"/>
        <v>1500</v>
      </c>
      <c r="G46" s="447">
        <f t="shared" si="16"/>
        <v>172750.66999999998</v>
      </c>
      <c r="H46" s="447">
        <f t="shared" si="16"/>
        <v>3600</v>
      </c>
      <c r="I46" s="447">
        <f t="shared" si="16"/>
        <v>304235.75</v>
      </c>
      <c r="J46" s="447">
        <f t="shared" si="16"/>
        <v>1200</v>
      </c>
      <c r="K46" s="447">
        <f t="shared" si="16"/>
        <v>103317</v>
      </c>
      <c r="L46" s="514">
        <f t="shared" si="16"/>
        <v>6300</v>
      </c>
      <c r="M46" s="466">
        <f t="shared" si="16"/>
        <v>580303.41999999993</v>
      </c>
      <c r="N46" s="1008"/>
      <c r="O46" s="298"/>
      <c r="P46" s="576"/>
      <c r="Q46" s="118"/>
      <c r="R46" s="121"/>
      <c r="S46" s="121"/>
      <c r="T46" s="121"/>
      <c r="U46" s="121"/>
      <c r="V46" s="121"/>
      <c r="W46" s="121"/>
      <c r="X46" s="121"/>
    </row>
  </sheetData>
  <sortState ref="A7:W59">
    <sortCondition ref="A7:A59"/>
  </sortState>
  <mergeCells count="4">
    <mergeCell ref="A1:N1"/>
    <mergeCell ref="A2:N2"/>
    <mergeCell ref="A3:N3"/>
    <mergeCell ref="E6:M6"/>
  </mergeCells>
  <pageMargins left="0.5" right="0.5" top="0.75" bottom="0.75" header="0.3" footer="0.3"/>
  <pageSetup paperSize="5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44"/>
  <sheetViews>
    <sheetView topLeftCell="A16" workbookViewId="0">
      <selection activeCell="G17" sqref="G17"/>
    </sheetView>
  </sheetViews>
  <sheetFormatPr defaultRowHeight="15" x14ac:dyDescent="0.25"/>
  <cols>
    <col min="1" max="1" width="20.42578125" customWidth="1"/>
    <col min="2" max="2" width="18.5703125" customWidth="1"/>
    <col min="3" max="3" width="8.7109375" customWidth="1"/>
    <col min="4" max="4" width="8.42578125" customWidth="1"/>
    <col min="5" max="5" width="12.140625" customWidth="1"/>
    <col min="6" max="6" width="10" customWidth="1"/>
    <col min="7" max="7" width="11.42578125" customWidth="1"/>
    <col min="8" max="8" width="9.7109375" customWidth="1"/>
    <col min="9" max="9" width="11.85546875" customWidth="1"/>
    <col min="10" max="10" width="8.85546875" customWidth="1"/>
    <col min="11" max="11" width="10.7109375" customWidth="1"/>
    <col min="12" max="12" width="11.5703125" customWidth="1"/>
    <col min="13" max="13" width="11.7109375" customWidth="1"/>
    <col min="14" max="14" width="11" style="971" customWidth="1"/>
    <col min="15" max="15" width="8.7109375" customWidth="1"/>
    <col min="16" max="16" width="12.42578125" customWidth="1"/>
    <col min="18" max="18" width="14.85546875" customWidth="1"/>
    <col min="19" max="19" width="12.28515625" customWidth="1"/>
    <col min="23" max="23" width="10.85546875" customWidth="1"/>
  </cols>
  <sheetData>
    <row r="1" spans="1:23" ht="15.75" x14ac:dyDescent="0.25">
      <c r="A1" s="1358" t="s">
        <v>87</v>
      </c>
      <c r="B1" s="1358"/>
      <c r="C1" s="1358"/>
      <c r="D1" s="1358"/>
      <c r="E1" s="1358"/>
      <c r="F1" s="1358"/>
      <c r="G1" s="1358"/>
      <c r="H1" s="1358"/>
      <c r="I1" s="1358"/>
      <c r="J1" s="1358"/>
      <c r="K1" s="1358"/>
      <c r="L1" s="1358"/>
      <c r="M1" s="1358"/>
      <c r="N1" s="1358"/>
      <c r="O1" s="349"/>
      <c r="P1" s="141"/>
      <c r="Q1" s="141"/>
      <c r="R1" s="141"/>
      <c r="S1" s="141"/>
      <c r="T1" s="121"/>
      <c r="U1" s="121"/>
      <c r="V1" s="121"/>
      <c r="W1" s="121"/>
    </row>
    <row r="2" spans="1:23" ht="15.75" x14ac:dyDescent="0.25">
      <c r="A2" s="1359" t="s">
        <v>212</v>
      </c>
      <c r="B2" s="1359"/>
      <c r="C2" s="1359"/>
      <c r="D2" s="1359"/>
      <c r="E2" s="1359"/>
      <c r="F2" s="1359"/>
      <c r="G2" s="1359"/>
      <c r="H2" s="1359"/>
      <c r="I2" s="1359"/>
      <c r="J2" s="1359"/>
      <c r="K2" s="1359"/>
      <c r="L2" s="1359"/>
      <c r="M2" s="1359"/>
      <c r="N2" s="1359"/>
      <c r="O2" s="350"/>
      <c r="P2" s="142"/>
      <c r="Q2" s="142"/>
      <c r="R2" s="142"/>
      <c r="S2" s="142"/>
      <c r="T2" s="121"/>
      <c r="U2" s="121"/>
      <c r="V2" s="121"/>
      <c r="W2" s="121"/>
    </row>
    <row r="3" spans="1:23" ht="16.5" thickBot="1" x14ac:dyDescent="0.3">
      <c r="A3" s="1380" t="str">
        <f>+'CURRENT ACCOUNTS-07-31-15'!A4:O4</f>
        <v>AS OF AUGUST 31, 2015</v>
      </c>
      <c r="B3" s="1380"/>
      <c r="C3" s="1380"/>
      <c r="D3" s="1380"/>
      <c r="E3" s="1359"/>
      <c r="F3" s="1359"/>
      <c r="G3" s="1359"/>
      <c r="H3" s="1359"/>
      <c r="I3" s="1359"/>
      <c r="J3" s="1359"/>
      <c r="K3" s="1359"/>
      <c r="L3" s="1359"/>
      <c r="M3" s="1359"/>
      <c r="N3" s="1359"/>
      <c r="O3" s="349"/>
      <c r="P3" s="141"/>
      <c r="Q3" s="141"/>
      <c r="R3" s="141"/>
      <c r="S3" s="141"/>
      <c r="T3" s="121"/>
      <c r="U3" s="121"/>
      <c r="V3" s="121"/>
      <c r="W3" s="121"/>
    </row>
    <row r="4" spans="1:23" ht="15.75" thickBot="1" x14ac:dyDescent="0.3">
      <c r="A4" s="315"/>
      <c r="B4" s="316"/>
      <c r="C4" s="316" t="s">
        <v>139</v>
      </c>
      <c r="D4" s="317" t="s">
        <v>92</v>
      </c>
      <c r="E4" s="318"/>
      <c r="F4" s="1381" t="s">
        <v>1436</v>
      </c>
      <c r="G4" s="1369"/>
      <c r="H4" s="1369"/>
      <c r="I4" s="1369"/>
      <c r="J4" s="1369"/>
      <c r="K4" s="1369"/>
      <c r="L4" s="1369"/>
      <c r="M4" s="1370"/>
      <c r="N4" s="1041"/>
      <c r="O4" s="424"/>
      <c r="P4" s="145"/>
      <c r="Q4" s="143"/>
      <c r="R4" s="146"/>
      <c r="S4" s="147"/>
      <c r="T4" s="121"/>
      <c r="U4" s="121"/>
      <c r="V4" s="121"/>
      <c r="W4" s="121"/>
    </row>
    <row r="5" spans="1:23" ht="15.75" thickBot="1" x14ac:dyDescent="0.3">
      <c r="A5" s="321" t="s">
        <v>2</v>
      </c>
      <c r="B5" s="322" t="s">
        <v>3</v>
      </c>
      <c r="C5" s="322" t="s">
        <v>90</v>
      </c>
      <c r="D5" s="323" t="s">
        <v>91</v>
      </c>
      <c r="E5" s="376" t="s">
        <v>406</v>
      </c>
      <c r="F5" s="241" t="s">
        <v>454</v>
      </c>
      <c r="G5" s="377" t="s">
        <v>6</v>
      </c>
      <c r="H5" s="241" t="s">
        <v>455</v>
      </c>
      <c r="I5" s="297" t="s">
        <v>19</v>
      </c>
      <c r="J5" s="241" t="s">
        <v>456</v>
      </c>
      <c r="K5" s="355" t="s">
        <v>80</v>
      </c>
      <c r="L5" s="241" t="s">
        <v>457</v>
      </c>
      <c r="M5" s="396" t="s">
        <v>400</v>
      </c>
      <c r="N5" s="356" t="s">
        <v>79</v>
      </c>
      <c r="O5" s="425" t="s">
        <v>419</v>
      </c>
      <c r="P5" s="148"/>
      <c r="Q5" s="149"/>
      <c r="R5" s="146"/>
      <c r="S5" s="150"/>
      <c r="T5" s="121"/>
      <c r="U5" s="121"/>
      <c r="V5" s="121"/>
      <c r="W5" s="121"/>
    </row>
    <row r="6" spans="1:23" ht="15.75" thickBot="1" x14ac:dyDescent="0.3">
      <c r="A6" s="398"/>
      <c r="B6" s="330"/>
      <c r="C6" s="330"/>
      <c r="D6" s="331"/>
      <c r="E6" s="399"/>
      <c r="F6" s="360" t="s">
        <v>438</v>
      </c>
      <c r="G6" s="426"/>
      <c r="H6" s="360" t="s">
        <v>438</v>
      </c>
      <c r="I6" s="361"/>
      <c r="J6" s="360" t="s">
        <v>438</v>
      </c>
      <c r="K6" s="296"/>
      <c r="L6" s="427" t="s">
        <v>452</v>
      </c>
      <c r="M6" s="427"/>
      <c r="N6" s="1003"/>
      <c r="O6" s="428"/>
      <c r="P6" s="151"/>
      <c r="Q6" s="152"/>
      <c r="R6" s="153"/>
      <c r="S6" s="150"/>
      <c r="T6" s="121"/>
      <c r="U6" s="121"/>
      <c r="V6" s="121"/>
      <c r="W6" s="121"/>
    </row>
    <row r="7" spans="1:23" x14ac:dyDescent="0.25">
      <c r="A7" s="81" t="s">
        <v>213</v>
      </c>
      <c r="B7" s="81" t="s">
        <v>8</v>
      </c>
      <c r="C7" s="265">
        <v>38712</v>
      </c>
      <c r="D7" s="275">
        <v>39077</v>
      </c>
      <c r="E7" s="894">
        <v>50000</v>
      </c>
      <c r="F7" s="889">
        <v>210</v>
      </c>
      <c r="G7" s="429">
        <v>45520</v>
      </c>
      <c r="H7" s="364">
        <v>200</v>
      </c>
      <c r="I7" s="364">
        <v>84782</v>
      </c>
      <c r="J7" s="429">
        <v>200</v>
      </c>
      <c r="K7" s="417">
        <v>3257</v>
      </c>
      <c r="L7" s="383">
        <f t="shared" ref="L7:L36" si="0">+F7+H7+J7</f>
        <v>610</v>
      </c>
      <c r="M7" s="603">
        <f t="shared" ref="M7:M36" si="1">+G7+I7+K7</f>
        <v>133559</v>
      </c>
      <c r="N7" s="1043">
        <v>41634</v>
      </c>
      <c r="O7" s="278" t="s">
        <v>666</v>
      </c>
      <c r="P7" s="168">
        <f>G7*0.05+Q7</f>
        <v>93793</v>
      </c>
      <c r="Q7" s="168">
        <v>91517</v>
      </c>
      <c r="R7" s="165">
        <f>P7-Q7</f>
        <v>2276</v>
      </c>
      <c r="S7" s="131">
        <f>+G7*0.05+P7</f>
        <v>96069</v>
      </c>
      <c r="T7" s="138">
        <f>G7*0.05+S7-200</f>
        <v>98145</v>
      </c>
      <c r="U7" s="138">
        <f>+G7*0.05+T7</f>
        <v>100421</v>
      </c>
      <c r="V7" s="138">
        <f>+G7*0.05+U7-100</f>
        <v>102597</v>
      </c>
      <c r="W7" s="131">
        <f>G7*0.05+V7</f>
        <v>104873</v>
      </c>
    </row>
    <row r="8" spans="1:23" x14ac:dyDescent="0.25">
      <c r="A8" s="81" t="s">
        <v>227</v>
      </c>
      <c r="B8" s="81" t="s">
        <v>461</v>
      </c>
      <c r="C8" s="265">
        <v>38605</v>
      </c>
      <c r="D8" s="275">
        <v>38909</v>
      </c>
      <c r="E8" s="956">
        <v>10000</v>
      </c>
      <c r="F8" s="957"/>
      <c r="G8" s="958">
        <v>7920</v>
      </c>
      <c r="H8" s="256"/>
      <c r="I8" s="256">
        <v>21858</v>
      </c>
      <c r="J8" s="958"/>
      <c r="K8" s="417">
        <v>952</v>
      </c>
      <c r="L8" s="383">
        <f t="shared" ref="L8" si="2">+F8+H8+J8</f>
        <v>0</v>
      </c>
      <c r="M8" s="433">
        <f t="shared" ref="M8" si="3">+G8+I8+K8</f>
        <v>30730</v>
      </c>
      <c r="N8" s="1006">
        <v>40148</v>
      </c>
      <c r="O8" s="278"/>
      <c r="P8" s="168"/>
      <c r="Q8" s="167"/>
      <c r="R8" s="165"/>
      <c r="S8" s="131"/>
      <c r="T8" s="138"/>
      <c r="U8" s="138"/>
      <c r="V8" s="139"/>
      <c r="W8" s="131"/>
    </row>
    <row r="9" spans="1:23" x14ac:dyDescent="0.25">
      <c r="A9" s="81" t="s">
        <v>234</v>
      </c>
      <c r="B9" s="81" t="s">
        <v>32</v>
      </c>
      <c r="C9" s="265">
        <v>38489</v>
      </c>
      <c r="D9" s="275">
        <v>38854</v>
      </c>
      <c r="E9" s="442">
        <v>10000</v>
      </c>
      <c r="F9" s="423"/>
      <c r="G9" s="417">
        <v>5801</v>
      </c>
      <c r="H9" s="263">
        <v>400</v>
      </c>
      <c r="I9" s="263">
        <v>15790</v>
      </c>
      <c r="J9" s="417">
        <v>100</v>
      </c>
      <c r="K9" s="417">
        <v>136</v>
      </c>
      <c r="L9" s="383">
        <f t="shared" si="0"/>
        <v>500</v>
      </c>
      <c r="M9" s="433">
        <f t="shared" si="1"/>
        <v>21727</v>
      </c>
      <c r="N9" s="1006">
        <v>41388</v>
      </c>
      <c r="O9" s="303"/>
      <c r="P9" s="168">
        <f>G9*0.05+Q9-1000</f>
        <v>14795.05</v>
      </c>
      <c r="Q9" s="167">
        <v>15505</v>
      </c>
      <c r="R9" s="163">
        <f>P9-Q9</f>
        <v>-709.95000000000073</v>
      </c>
      <c r="S9" s="131">
        <f>+G9*0.05+P9</f>
        <v>15085.099999999999</v>
      </c>
      <c r="T9" s="138">
        <f>G9*0.05+S9</f>
        <v>15375.149999999998</v>
      </c>
      <c r="U9" s="138">
        <f>+G9*0.05+T9-500</f>
        <v>15165.199999999997</v>
      </c>
      <c r="V9" s="139">
        <f>+G9*0.05+U9</f>
        <v>15455.249999999996</v>
      </c>
      <c r="W9" s="131">
        <f>G9*0.05+V9</f>
        <v>15745.299999999996</v>
      </c>
    </row>
    <row r="10" spans="1:23" x14ac:dyDescent="0.25">
      <c r="A10" s="556" t="s">
        <v>239</v>
      </c>
      <c r="B10" s="556" t="s">
        <v>13</v>
      </c>
      <c r="C10" s="557">
        <v>38673</v>
      </c>
      <c r="D10" s="558">
        <v>38735</v>
      </c>
      <c r="E10" s="682">
        <v>3500</v>
      </c>
      <c r="F10" s="863"/>
      <c r="G10" s="655">
        <v>432</v>
      </c>
      <c r="H10" s="497"/>
      <c r="I10" s="497">
        <v>697</v>
      </c>
      <c r="J10" s="655"/>
      <c r="K10" s="655">
        <v>3679</v>
      </c>
      <c r="L10" s="215">
        <f>+F10+H10+J10</f>
        <v>0</v>
      </c>
      <c r="M10" s="668">
        <f>+G10+I10+K10</f>
        <v>4808</v>
      </c>
      <c r="N10" s="1036">
        <v>41115</v>
      </c>
      <c r="O10" s="303"/>
      <c r="P10" s="168"/>
      <c r="Q10" s="167"/>
      <c r="R10" s="163"/>
      <c r="S10" s="131"/>
      <c r="T10" s="138"/>
      <c r="U10" s="138"/>
      <c r="V10" s="139"/>
      <c r="W10" s="131"/>
    </row>
    <row r="11" spans="1:23" x14ac:dyDescent="0.25">
      <c r="A11" s="556" t="s">
        <v>173</v>
      </c>
      <c r="B11" s="556" t="s">
        <v>9</v>
      </c>
      <c r="C11" s="557">
        <v>38762</v>
      </c>
      <c r="D11" s="558">
        <v>38883</v>
      </c>
      <c r="E11" s="895">
        <v>8000</v>
      </c>
      <c r="F11" s="890">
        <v>50</v>
      </c>
      <c r="G11" s="671">
        <v>1310</v>
      </c>
      <c r="H11" s="497">
        <v>50</v>
      </c>
      <c r="I11" s="497">
        <v>2204</v>
      </c>
      <c r="J11" s="671"/>
      <c r="K11" s="671">
        <v>420</v>
      </c>
      <c r="L11" s="215">
        <f t="shared" ref="L11:M11" si="4">+F11+H11+J11</f>
        <v>100</v>
      </c>
      <c r="M11" s="662">
        <f t="shared" si="4"/>
        <v>3934</v>
      </c>
      <c r="N11" s="1044">
        <v>41432</v>
      </c>
      <c r="O11" s="303"/>
      <c r="P11" s="168"/>
      <c r="Q11" s="167"/>
      <c r="R11" s="163"/>
      <c r="S11" s="131"/>
      <c r="T11" s="138"/>
      <c r="U11" s="138"/>
      <c r="V11" s="139"/>
      <c r="W11" s="131"/>
    </row>
    <row r="12" spans="1:23" x14ac:dyDescent="0.25">
      <c r="A12" s="387" t="s">
        <v>181</v>
      </c>
      <c r="B12" s="81" t="s">
        <v>13</v>
      </c>
      <c r="C12" s="265">
        <v>38784</v>
      </c>
      <c r="D12" s="275">
        <v>38968</v>
      </c>
      <c r="E12" s="896">
        <v>5000</v>
      </c>
      <c r="F12" s="891"/>
      <c r="G12" s="432">
        <v>1343</v>
      </c>
      <c r="H12" s="263"/>
      <c r="I12" s="263">
        <v>5509</v>
      </c>
      <c r="J12" s="432"/>
      <c r="K12" s="432">
        <v>2885</v>
      </c>
      <c r="L12" s="383">
        <f t="shared" si="0"/>
        <v>0</v>
      </c>
      <c r="M12" s="433">
        <f t="shared" si="1"/>
        <v>9737</v>
      </c>
      <c r="N12" s="1006">
        <v>41297</v>
      </c>
      <c r="O12" s="303"/>
      <c r="P12" s="156">
        <f>G12*0.05+Q12+R12</f>
        <v>3359.3</v>
      </c>
      <c r="Q12" s="200">
        <f>3156+69</f>
        <v>3225</v>
      </c>
      <c r="R12" s="158">
        <f>G12*0.05</f>
        <v>67.150000000000006</v>
      </c>
      <c r="S12" s="138">
        <f>+G12*0.05+P12</f>
        <v>3426.4500000000003</v>
      </c>
      <c r="T12" s="138">
        <v>3136</v>
      </c>
      <c r="U12" s="138">
        <v>3316</v>
      </c>
      <c r="V12" s="139">
        <f>+G12*0.05+U12</f>
        <v>3383.15</v>
      </c>
      <c r="W12" s="131">
        <f>G12*0.05+V12</f>
        <v>3450.3</v>
      </c>
    </row>
    <row r="13" spans="1:23" x14ac:dyDescent="0.25">
      <c r="A13" s="81" t="s">
        <v>242</v>
      </c>
      <c r="B13" s="81" t="s">
        <v>152</v>
      </c>
      <c r="C13" s="265">
        <v>38622</v>
      </c>
      <c r="D13" s="275">
        <v>38776</v>
      </c>
      <c r="E13" s="442">
        <v>5000</v>
      </c>
      <c r="F13" s="423"/>
      <c r="G13" s="417">
        <v>4300</v>
      </c>
      <c r="H13" s="263"/>
      <c r="I13" s="263">
        <v>14240</v>
      </c>
      <c r="J13" s="417"/>
      <c r="K13" s="417">
        <v>1294</v>
      </c>
      <c r="L13" s="383">
        <f t="shared" si="0"/>
        <v>0</v>
      </c>
      <c r="M13" s="433">
        <f t="shared" si="1"/>
        <v>19834</v>
      </c>
      <c r="N13" s="1006">
        <v>40456</v>
      </c>
      <c r="O13" s="303" t="s">
        <v>884</v>
      </c>
      <c r="P13" s="168">
        <f>G13*0.05+Q13</f>
        <v>13115</v>
      </c>
      <c r="Q13" s="167">
        <v>12900</v>
      </c>
      <c r="R13" s="163">
        <f>P13-Q13</f>
        <v>215</v>
      </c>
      <c r="S13" s="131">
        <f>+G13*0.05+P13</f>
        <v>13330</v>
      </c>
      <c r="T13" s="138">
        <v>12900</v>
      </c>
      <c r="U13" s="138">
        <f>+G13*0.05+T13</f>
        <v>13115</v>
      </c>
      <c r="V13" s="139">
        <f>+G13*0.05+U13-1300</f>
        <v>12030</v>
      </c>
      <c r="W13" s="131">
        <f>G13*0.05+V13</f>
        <v>12245</v>
      </c>
    </row>
    <row r="14" spans="1:23" x14ac:dyDescent="0.25">
      <c r="A14" s="81" t="s">
        <v>151</v>
      </c>
      <c r="B14" s="81" t="s">
        <v>1139</v>
      </c>
      <c r="C14" s="265">
        <v>39148</v>
      </c>
      <c r="D14" s="275">
        <v>39332</v>
      </c>
      <c r="E14" s="442">
        <v>5000</v>
      </c>
      <c r="F14" s="423"/>
      <c r="G14" s="417">
        <v>5000</v>
      </c>
      <c r="H14" s="263"/>
      <c r="I14" s="263">
        <v>17200</v>
      </c>
      <c r="J14" s="417"/>
      <c r="K14" s="417">
        <v>5206</v>
      </c>
      <c r="L14" s="383">
        <f t="shared" si="0"/>
        <v>0</v>
      </c>
      <c r="M14" s="433">
        <f t="shared" si="1"/>
        <v>27406</v>
      </c>
      <c r="N14" s="1006" t="s">
        <v>76</v>
      </c>
      <c r="O14" s="303"/>
      <c r="P14" s="168"/>
      <c r="Q14" s="167"/>
      <c r="R14" s="163"/>
      <c r="S14" s="131"/>
      <c r="T14" s="138"/>
      <c r="U14" s="138"/>
      <c r="V14" s="139"/>
      <c r="W14" s="131"/>
    </row>
    <row r="15" spans="1:23" x14ac:dyDescent="0.25">
      <c r="A15" s="81" t="s">
        <v>244</v>
      </c>
      <c r="B15" s="81" t="s">
        <v>9</v>
      </c>
      <c r="C15" s="265">
        <v>38629</v>
      </c>
      <c r="D15" s="275">
        <v>38995</v>
      </c>
      <c r="E15" s="442">
        <v>13000</v>
      </c>
      <c r="F15" s="423"/>
      <c r="G15" s="417">
        <v>5687</v>
      </c>
      <c r="H15" s="263"/>
      <c r="I15" s="263">
        <v>15807</v>
      </c>
      <c r="J15" s="417"/>
      <c r="K15" s="417">
        <v>1254</v>
      </c>
      <c r="L15" s="383">
        <f t="shared" si="0"/>
        <v>0</v>
      </c>
      <c r="M15" s="433">
        <f t="shared" si="1"/>
        <v>22748</v>
      </c>
      <c r="N15" s="1006">
        <v>41204</v>
      </c>
      <c r="O15" s="303"/>
      <c r="P15" s="168">
        <f>G15*0.05+Q15</f>
        <v>14474.35</v>
      </c>
      <c r="Q15" s="167">
        <v>14190</v>
      </c>
      <c r="R15" s="163">
        <f>P15-Q15</f>
        <v>284.35000000000036</v>
      </c>
      <c r="S15" s="131">
        <f>+G15*0.05+P15</f>
        <v>14758.7</v>
      </c>
      <c r="T15" s="138">
        <f>G15*0.05+S15</f>
        <v>15043.050000000001</v>
      </c>
      <c r="U15" s="138">
        <f>+G15*0.05+T15-470</f>
        <v>14857.400000000001</v>
      </c>
      <c r="V15" s="139">
        <f>+G15*0.05+U15</f>
        <v>15141.750000000002</v>
      </c>
      <c r="W15" s="131">
        <f>G15*0.05+V15</f>
        <v>15426.100000000002</v>
      </c>
    </row>
    <row r="16" spans="1:23" x14ac:dyDescent="0.25">
      <c r="A16" s="81" t="s">
        <v>246</v>
      </c>
      <c r="B16" s="81" t="s">
        <v>398</v>
      </c>
      <c r="C16" s="265">
        <v>38569</v>
      </c>
      <c r="D16" s="275">
        <v>38753</v>
      </c>
      <c r="E16" s="442">
        <v>6500</v>
      </c>
      <c r="F16" s="423"/>
      <c r="G16" s="417">
        <v>5337</v>
      </c>
      <c r="H16" s="263"/>
      <c r="I16" s="263">
        <v>9811</v>
      </c>
      <c r="J16" s="417"/>
      <c r="K16" s="417">
        <v>7416</v>
      </c>
      <c r="L16" s="383">
        <f t="shared" si="0"/>
        <v>0</v>
      </c>
      <c r="M16" s="433">
        <f t="shared" si="1"/>
        <v>22564</v>
      </c>
      <c r="N16" s="1006">
        <v>40158</v>
      </c>
      <c r="O16" s="303"/>
      <c r="P16" s="168"/>
      <c r="Q16" s="167"/>
      <c r="R16" s="163"/>
      <c r="S16" s="131"/>
      <c r="T16" s="138"/>
      <c r="U16" s="138"/>
      <c r="V16" s="139"/>
      <c r="W16" s="131"/>
    </row>
    <row r="17" spans="1:23" x14ac:dyDescent="0.25">
      <c r="A17" s="81" t="s">
        <v>248</v>
      </c>
      <c r="B17" s="81" t="s">
        <v>32</v>
      </c>
      <c r="C17" s="265">
        <v>38478</v>
      </c>
      <c r="D17" s="275">
        <v>38791</v>
      </c>
      <c r="E17" s="442">
        <v>6000</v>
      </c>
      <c r="F17" s="423"/>
      <c r="G17" s="417">
        <v>2725</v>
      </c>
      <c r="H17" s="263"/>
      <c r="I17" s="263">
        <v>5783.75</v>
      </c>
      <c r="J17" s="417"/>
      <c r="K17" s="417">
        <v>689</v>
      </c>
      <c r="L17" s="383">
        <f t="shared" si="0"/>
        <v>0</v>
      </c>
      <c r="M17" s="433">
        <f t="shared" si="1"/>
        <v>9197.75</v>
      </c>
      <c r="N17" s="1006">
        <v>40529</v>
      </c>
      <c r="O17" s="303"/>
      <c r="P17" s="168">
        <f>G17*0.05+Q17</f>
        <v>5381.25</v>
      </c>
      <c r="Q17" s="167">
        <v>5245</v>
      </c>
      <c r="R17" s="163">
        <f>P17-Q17</f>
        <v>136.25</v>
      </c>
      <c r="S17" s="131">
        <f>+G17*0.05+P17</f>
        <v>5517.5</v>
      </c>
      <c r="T17" s="138">
        <f>G17*0.05+S17</f>
        <v>5653.75</v>
      </c>
      <c r="U17" s="138">
        <f>+G17*0.05+T17</f>
        <v>5790</v>
      </c>
      <c r="V17" s="139">
        <f>+G17*0.05+U17</f>
        <v>5926.25</v>
      </c>
      <c r="W17" s="131">
        <f>G17*0.05+V17</f>
        <v>6062.5</v>
      </c>
    </row>
    <row r="18" spans="1:23" x14ac:dyDescent="0.25">
      <c r="A18" s="81" t="s">
        <v>639</v>
      </c>
      <c r="B18" s="81" t="s">
        <v>876</v>
      </c>
      <c r="C18" s="265">
        <v>38374</v>
      </c>
      <c r="D18" s="275">
        <v>38737</v>
      </c>
      <c r="E18" s="896">
        <v>50000</v>
      </c>
      <c r="F18" s="891"/>
      <c r="G18" s="432">
        <v>33500</v>
      </c>
      <c r="H18" s="263"/>
      <c r="I18" s="263">
        <v>15000</v>
      </c>
      <c r="J18" s="432"/>
      <c r="K18" s="432">
        <v>7000</v>
      </c>
      <c r="L18" s="383">
        <f t="shared" si="0"/>
        <v>0</v>
      </c>
      <c r="M18" s="433">
        <f t="shared" si="1"/>
        <v>55500</v>
      </c>
      <c r="N18" s="1006">
        <v>41110</v>
      </c>
      <c r="O18" s="303"/>
      <c r="P18" s="156"/>
      <c r="Q18" s="200"/>
      <c r="R18" s="158"/>
      <c r="S18" s="138"/>
      <c r="T18" s="138"/>
      <c r="U18" s="138"/>
      <c r="V18" s="139"/>
      <c r="W18" s="131"/>
    </row>
    <row r="19" spans="1:23" x14ac:dyDescent="0.25">
      <c r="A19" s="81" t="s">
        <v>189</v>
      </c>
      <c r="B19" s="81" t="s">
        <v>12</v>
      </c>
      <c r="C19" s="265">
        <v>38869</v>
      </c>
      <c r="D19" s="275">
        <v>38961</v>
      </c>
      <c r="E19" s="896">
        <v>5000</v>
      </c>
      <c r="F19" s="891"/>
      <c r="G19" s="432">
        <v>3450</v>
      </c>
      <c r="H19" s="263"/>
      <c r="I19" s="263">
        <v>9985</v>
      </c>
      <c r="J19" s="432"/>
      <c r="K19" s="432">
        <v>494</v>
      </c>
      <c r="L19" s="383">
        <f t="shared" si="0"/>
        <v>0</v>
      </c>
      <c r="M19" s="433">
        <f t="shared" si="1"/>
        <v>13929</v>
      </c>
      <c r="N19" s="1006">
        <v>40862</v>
      </c>
      <c r="O19" s="365"/>
      <c r="P19" s="156">
        <f>G19*0.05+Q19+R19</f>
        <v>9190</v>
      </c>
      <c r="Q19" s="154">
        <v>8845</v>
      </c>
      <c r="R19" s="156">
        <f>G19*0.05</f>
        <v>172.5</v>
      </c>
      <c r="S19" s="138">
        <f>+G19*0.05+P19</f>
        <v>9362.5</v>
      </c>
      <c r="T19" s="138">
        <f>G19*0.05+S19</f>
        <v>9535</v>
      </c>
      <c r="U19" s="138">
        <f>+G19*0.05+T19</f>
        <v>9707.5</v>
      </c>
      <c r="V19" s="138">
        <f t="shared" ref="V19:V29" si="5">+G19*0.05+U19</f>
        <v>9880</v>
      </c>
      <c r="W19" s="131">
        <f t="shared" ref="W19:W36" si="6">G19*0.05+V19</f>
        <v>10052.5</v>
      </c>
    </row>
    <row r="20" spans="1:23" x14ac:dyDescent="0.25">
      <c r="A20" s="81" t="s">
        <v>254</v>
      </c>
      <c r="B20" s="81" t="s">
        <v>461</v>
      </c>
      <c r="C20" s="265">
        <v>38649</v>
      </c>
      <c r="D20" s="275">
        <v>38831</v>
      </c>
      <c r="E20" s="896">
        <v>5000</v>
      </c>
      <c r="F20" s="891"/>
      <c r="G20" s="432">
        <v>5000</v>
      </c>
      <c r="H20" s="263"/>
      <c r="I20" s="263">
        <v>13250</v>
      </c>
      <c r="J20" s="432"/>
      <c r="K20" s="432">
        <v>3213</v>
      </c>
      <c r="L20" s="383">
        <f t="shared" si="0"/>
        <v>0</v>
      </c>
      <c r="M20" s="433">
        <f t="shared" si="1"/>
        <v>21463</v>
      </c>
      <c r="N20" s="1006" t="s">
        <v>76</v>
      </c>
      <c r="O20" s="365"/>
      <c r="P20" s="156"/>
      <c r="Q20" s="154"/>
      <c r="R20" s="156"/>
      <c r="S20" s="138"/>
      <c r="T20" s="138"/>
      <c r="U20" s="138"/>
      <c r="V20" s="138"/>
      <c r="W20" s="131"/>
    </row>
    <row r="21" spans="1:23" x14ac:dyDescent="0.25">
      <c r="A21" s="81" t="s">
        <v>190</v>
      </c>
      <c r="B21" s="81" t="s">
        <v>458</v>
      </c>
      <c r="C21" s="265">
        <v>38807</v>
      </c>
      <c r="D21" s="275">
        <v>38928</v>
      </c>
      <c r="E21" s="896">
        <v>3000</v>
      </c>
      <c r="F21" s="891"/>
      <c r="G21" s="432">
        <v>1458</v>
      </c>
      <c r="H21" s="263"/>
      <c r="I21" s="263">
        <v>2390</v>
      </c>
      <c r="J21" s="432"/>
      <c r="K21" s="432">
        <f>1974-50</f>
        <v>1924</v>
      </c>
      <c r="L21" s="383">
        <f t="shared" si="0"/>
        <v>0</v>
      </c>
      <c r="M21" s="433">
        <f t="shared" si="1"/>
        <v>5772</v>
      </c>
      <c r="N21" s="1006">
        <v>41078</v>
      </c>
      <c r="O21" s="365"/>
      <c r="P21" s="156">
        <f>G21*0.05+Q21+R21-30</f>
        <v>3236.8</v>
      </c>
      <c r="Q21" s="154">
        <v>3121</v>
      </c>
      <c r="R21" s="156">
        <f>G21*0.05</f>
        <v>72.900000000000006</v>
      </c>
      <c r="S21" s="138">
        <f>+G21*0.05+P21</f>
        <v>3309.7000000000003</v>
      </c>
      <c r="T21" s="138">
        <f>G21*0.05+S21-250</f>
        <v>3132.6000000000004</v>
      </c>
      <c r="U21" s="138">
        <f>+G21*0.05+T21</f>
        <v>3205.5000000000005</v>
      </c>
      <c r="V21" s="138">
        <f t="shared" si="5"/>
        <v>3278.4000000000005</v>
      </c>
      <c r="W21" s="131">
        <f t="shared" si="6"/>
        <v>3351.3000000000006</v>
      </c>
    </row>
    <row r="22" spans="1:23" x14ac:dyDescent="0.25">
      <c r="A22" s="81" t="s">
        <v>191</v>
      </c>
      <c r="B22" s="81" t="s">
        <v>13</v>
      </c>
      <c r="C22" s="265">
        <v>38978</v>
      </c>
      <c r="D22" s="275">
        <v>39069</v>
      </c>
      <c r="E22" s="896">
        <v>2000</v>
      </c>
      <c r="F22" s="891"/>
      <c r="G22" s="432">
        <v>1594</v>
      </c>
      <c r="H22" s="263"/>
      <c r="I22" s="263">
        <v>3462</v>
      </c>
      <c r="J22" s="432"/>
      <c r="K22" s="432">
        <v>953</v>
      </c>
      <c r="L22" s="383">
        <f t="shared" si="0"/>
        <v>0</v>
      </c>
      <c r="M22" s="433">
        <f t="shared" si="1"/>
        <v>6009</v>
      </c>
      <c r="N22" s="1006">
        <v>40701</v>
      </c>
      <c r="O22" s="365"/>
      <c r="P22" s="156">
        <f>G22*0.05+Q22+R22</f>
        <v>3641.3999999999996</v>
      </c>
      <c r="Q22" s="154">
        <v>3482</v>
      </c>
      <c r="R22" s="156">
        <f>G22*0.05</f>
        <v>79.7</v>
      </c>
      <c r="S22" s="138">
        <f>+G22*0.05+P22</f>
        <v>3721.0999999999995</v>
      </c>
      <c r="T22" s="138">
        <f>G22*0.05+S22</f>
        <v>3800.7999999999993</v>
      </c>
      <c r="U22" s="138">
        <f>+G22*0.05+T22</f>
        <v>3880.4999999999991</v>
      </c>
      <c r="V22" s="138">
        <f t="shared" si="5"/>
        <v>3960.1999999999989</v>
      </c>
      <c r="W22" s="131">
        <f t="shared" si="6"/>
        <v>4039.8999999999987</v>
      </c>
    </row>
    <row r="23" spans="1:23" x14ac:dyDescent="0.25">
      <c r="A23" s="680" t="s">
        <v>193</v>
      </c>
      <c r="B23" s="556" t="s">
        <v>9</v>
      </c>
      <c r="C23" s="557">
        <v>38768</v>
      </c>
      <c r="D23" s="558">
        <v>38959</v>
      </c>
      <c r="E23" s="897">
        <v>4500</v>
      </c>
      <c r="F23" s="892"/>
      <c r="G23" s="671">
        <v>743</v>
      </c>
      <c r="H23" s="497"/>
      <c r="I23" s="497">
        <v>4597</v>
      </c>
      <c r="J23" s="671"/>
      <c r="K23" s="671">
        <v>689</v>
      </c>
      <c r="L23" s="215">
        <f t="shared" ref="L23:M25" si="7">+F23+H23+J23</f>
        <v>0</v>
      </c>
      <c r="M23" s="681">
        <f t="shared" si="7"/>
        <v>6029</v>
      </c>
      <c r="N23" s="1035">
        <v>41104</v>
      </c>
      <c r="O23" s="508"/>
      <c r="P23" s="156"/>
      <c r="Q23" s="154"/>
      <c r="R23" s="156"/>
      <c r="S23" s="138"/>
      <c r="T23" s="138"/>
      <c r="U23" s="138"/>
      <c r="V23" s="138"/>
      <c r="W23" s="131"/>
    </row>
    <row r="24" spans="1:23" x14ac:dyDescent="0.25">
      <c r="A24" s="680" t="s">
        <v>194</v>
      </c>
      <c r="B24" s="556" t="s">
        <v>1140</v>
      </c>
      <c r="C24" s="557">
        <v>38846</v>
      </c>
      <c r="D24" s="558">
        <v>38969</v>
      </c>
      <c r="E24" s="897">
        <v>10000</v>
      </c>
      <c r="F24" s="892"/>
      <c r="G24" s="671">
        <v>5880</v>
      </c>
      <c r="H24" s="497"/>
      <c r="I24" s="497">
        <v>18228</v>
      </c>
      <c r="J24" s="671"/>
      <c r="K24" s="671">
        <v>6235</v>
      </c>
      <c r="L24" s="215">
        <f t="shared" si="7"/>
        <v>0</v>
      </c>
      <c r="M24" s="681">
        <f t="shared" si="7"/>
        <v>30343</v>
      </c>
      <c r="N24" s="1035">
        <v>39424</v>
      </c>
      <c r="O24" s="512"/>
      <c r="P24" s="156"/>
      <c r="Q24" s="154"/>
      <c r="R24" s="156"/>
      <c r="S24" s="138"/>
      <c r="T24" s="138"/>
      <c r="U24" s="138"/>
      <c r="V24" s="138"/>
      <c r="W24" s="131"/>
    </row>
    <row r="25" spans="1:23" x14ac:dyDescent="0.25">
      <c r="A25" s="680" t="s">
        <v>197</v>
      </c>
      <c r="B25" s="556" t="s">
        <v>12</v>
      </c>
      <c r="C25" s="557">
        <v>38826</v>
      </c>
      <c r="D25" s="558">
        <v>38976</v>
      </c>
      <c r="E25" s="897">
        <v>2000</v>
      </c>
      <c r="F25" s="892"/>
      <c r="G25" s="671">
        <v>385</v>
      </c>
      <c r="H25" s="497"/>
      <c r="I25" s="497">
        <v>720</v>
      </c>
      <c r="J25" s="671"/>
      <c r="K25" s="671">
        <v>770</v>
      </c>
      <c r="L25" s="215">
        <f t="shared" si="7"/>
        <v>0</v>
      </c>
      <c r="M25" s="681">
        <f t="shared" si="7"/>
        <v>1875</v>
      </c>
      <c r="N25" s="1035">
        <v>40595</v>
      </c>
      <c r="O25" s="760"/>
      <c r="P25" s="156"/>
      <c r="Q25" s="154"/>
      <c r="R25" s="156"/>
      <c r="S25" s="138"/>
      <c r="T25" s="138"/>
      <c r="U25" s="138"/>
      <c r="V25" s="138"/>
      <c r="W25" s="131"/>
    </row>
    <row r="26" spans="1:23" x14ac:dyDescent="0.25">
      <c r="A26" s="81" t="s">
        <v>202</v>
      </c>
      <c r="B26" s="81" t="s">
        <v>9</v>
      </c>
      <c r="C26" s="265">
        <v>38849</v>
      </c>
      <c r="D26" s="275">
        <v>38972</v>
      </c>
      <c r="E26" s="896">
        <v>11000</v>
      </c>
      <c r="F26" s="891"/>
      <c r="G26" s="432">
        <v>3620</v>
      </c>
      <c r="H26" s="263"/>
      <c r="I26" s="263">
        <v>15106</v>
      </c>
      <c r="J26" s="432"/>
      <c r="K26" s="432">
        <f>5799-90-90</f>
        <v>5619</v>
      </c>
      <c r="L26" s="383">
        <f t="shared" si="0"/>
        <v>0</v>
      </c>
      <c r="M26" s="433">
        <f t="shared" si="1"/>
        <v>24345</v>
      </c>
      <c r="N26" s="1006">
        <v>40291</v>
      </c>
      <c r="O26" s="365"/>
      <c r="P26" s="156">
        <v>8409</v>
      </c>
      <c r="Q26" s="154">
        <v>8409</v>
      </c>
      <c r="R26" s="156">
        <f>G26*0.05</f>
        <v>181</v>
      </c>
      <c r="S26" s="138">
        <v>8409</v>
      </c>
      <c r="T26" s="138">
        <f>G26*0.05+S26</f>
        <v>8590</v>
      </c>
      <c r="U26" s="138">
        <f>+G26*0.05+T26</f>
        <v>8771</v>
      </c>
      <c r="V26" s="138">
        <f t="shared" si="5"/>
        <v>8952</v>
      </c>
      <c r="W26" s="131">
        <f t="shared" si="6"/>
        <v>9133</v>
      </c>
    </row>
    <row r="27" spans="1:23" x14ac:dyDescent="0.25">
      <c r="A27" s="81" t="s">
        <v>265</v>
      </c>
      <c r="B27" s="81" t="s">
        <v>28</v>
      </c>
      <c r="C27" s="265">
        <v>38597</v>
      </c>
      <c r="D27" s="275">
        <v>38776</v>
      </c>
      <c r="E27" s="442">
        <v>8000</v>
      </c>
      <c r="F27" s="423"/>
      <c r="G27" s="417">
        <v>4900</v>
      </c>
      <c r="H27" s="263"/>
      <c r="I27" s="263">
        <v>9551</v>
      </c>
      <c r="J27" s="417"/>
      <c r="K27" s="417">
        <v>2049</v>
      </c>
      <c r="L27" s="383">
        <f t="shared" si="0"/>
        <v>0</v>
      </c>
      <c r="M27" s="433">
        <f t="shared" si="1"/>
        <v>16500</v>
      </c>
      <c r="N27" s="1006">
        <v>41001</v>
      </c>
      <c r="O27" s="365"/>
      <c r="P27" s="168">
        <v>11101</v>
      </c>
      <c r="Q27" s="168">
        <v>17101</v>
      </c>
      <c r="R27" s="165">
        <f>P27-Q27</f>
        <v>-6000</v>
      </c>
      <c r="S27" s="131">
        <v>11101</v>
      </c>
      <c r="T27" s="138">
        <f>G27*0.05+S27</f>
        <v>11346</v>
      </c>
      <c r="U27" s="138">
        <v>10251</v>
      </c>
      <c r="V27" s="138">
        <f t="shared" si="5"/>
        <v>10496</v>
      </c>
      <c r="W27" s="131">
        <f t="shared" si="6"/>
        <v>10741</v>
      </c>
    </row>
    <row r="28" spans="1:23" x14ac:dyDescent="0.25">
      <c r="A28" s="81" t="s">
        <v>1141</v>
      </c>
      <c r="B28" s="81" t="s">
        <v>1027</v>
      </c>
      <c r="C28" s="265">
        <v>38713</v>
      </c>
      <c r="D28" s="275">
        <v>38956</v>
      </c>
      <c r="E28" s="442">
        <v>8000</v>
      </c>
      <c r="F28" s="423"/>
      <c r="G28" s="417">
        <v>7940</v>
      </c>
      <c r="H28" s="263"/>
      <c r="I28" s="263">
        <v>34100</v>
      </c>
      <c r="J28" s="417"/>
      <c r="K28" s="417">
        <v>7502</v>
      </c>
      <c r="L28" s="383">
        <f t="shared" si="0"/>
        <v>0</v>
      </c>
      <c r="M28" s="433">
        <f t="shared" si="1"/>
        <v>49542</v>
      </c>
      <c r="N28" s="1006">
        <v>39625</v>
      </c>
      <c r="O28" s="365"/>
      <c r="P28" s="168"/>
      <c r="Q28" s="168"/>
      <c r="R28" s="165"/>
      <c r="S28" s="131"/>
      <c r="T28" s="138"/>
      <c r="U28" s="138"/>
      <c r="V28" s="138"/>
      <c r="W28" s="131"/>
    </row>
    <row r="29" spans="1:23" x14ac:dyDescent="0.25">
      <c r="A29" s="81" t="s">
        <v>852</v>
      </c>
      <c r="B29" s="81" t="s">
        <v>13</v>
      </c>
      <c r="C29" s="265">
        <v>38518</v>
      </c>
      <c r="D29" s="275">
        <v>38822</v>
      </c>
      <c r="E29" s="442">
        <v>5000</v>
      </c>
      <c r="F29" s="423"/>
      <c r="G29" s="417">
        <v>4800</v>
      </c>
      <c r="H29" s="263"/>
      <c r="I29" s="263">
        <v>11501</v>
      </c>
      <c r="J29" s="417"/>
      <c r="K29" s="417">
        <v>1679</v>
      </c>
      <c r="L29" s="383">
        <f t="shared" si="0"/>
        <v>0</v>
      </c>
      <c r="M29" s="433">
        <f t="shared" si="1"/>
        <v>17980</v>
      </c>
      <c r="N29" s="1006">
        <v>41141</v>
      </c>
      <c r="O29" s="365"/>
      <c r="P29" s="168">
        <f>G29*0.05+Q29</f>
        <v>11061</v>
      </c>
      <c r="Q29" s="168">
        <v>10821</v>
      </c>
      <c r="R29" s="165">
        <f>P29-Q29</f>
        <v>240</v>
      </c>
      <c r="S29" s="131">
        <f>+G29*0.05+P29</f>
        <v>11301</v>
      </c>
      <c r="T29" s="138">
        <f>G29*0.05+S29</f>
        <v>11541</v>
      </c>
      <c r="U29" s="138">
        <f>+G29*0.05+T29</f>
        <v>11781</v>
      </c>
      <c r="V29" s="138">
        <f t="shared" si="5"/>
        <v>12021</v>
      </c>
      <c r="W29" s="131">
        <f t="shared" si="6"/>
        <v>12261</v>
      </c>
    </row>
    <row r="30" spans="1:23" x14ac:dyDescent="0.25">
      <c r="A30" s="81" t="s">
        <v>273</v>
      </c>
      <c r="B30" s="81" t="s">
        <v>27</v>
      </c>
      <c r="C30" s="265">
        <v>38695</v>
      </c>
      <c r="D30" s="275">
        <v>38817</v>
      </c>
      <c r="E30" s="442">
        <v>128500</v>
      </c>
      <c r="F30" s="423">
        <v>1000</v>
      </c>
      <c r="G30" s="417">
        <v>112300</v>
      </c>
      <c r="H30" s="263">
        <v>1000</v>
      </c>
      <c r="I30" s="263">
        <v>106825</v>
      </c>
      <c r="J30" s="417">
        <v>1000</v>
      </c>
      <c r="K30" s="417">
        <v>33320</v>
      </c>
      <c r="L30" s="383">
        <f t="shared" si="0"/>
        <v>3000</v>
      </c>
      <c r="M30" s="433">
        <f t="shared" si="1"/>
        <v>252445</v>
      </c>
      <c r="N30" s="1006">
        <v>41627</v>
      </c>
      <c r="O30" s="365" t="s">
        <v>666</v>
      </c>
      <c r="P30" s="168">
        <f>G30*0.05+Q30-4000</f>
        <v>145740</v>
      </c>
      <c r="Q30" s="168">
        <v>144125</v>
      </c>
      <c r="R30" s="165">
        <f>P30-Q30</f>
        <v>1615</v>
      </c>
      <c r="S30" s="131">
        <v>146555</v>
      </c>
      <c r="T30" s="138">
        <f>G30*0.05+S30-125000</f>
        <v>27170</v>
      </c>
      <c r="U30" s="138">
        <f>+G30*0.05+T30-1000</f>
        <v>31785</v>
      </c>
      <c r="V30" s="138">
        <f>+G30*0.05+U30-500</f>
        <v>36900</v>
      </c>
      <c r="W30" s="131">
        <f t="shared" si="6"/>
        <v>42515</v>
      </c>
    </row>
    <row r="31" spans="1:23" x14ac:dyDescent="0.25">
      <c r="A31" s="81" t="s">
        <v>207</v>
      </c>
      <c r="B31" s="81" t="s">
        <v>32</v>
      </c>
      <c r="C31" s="265">
        <v>38840</v>
      </c>
      <c r="D31" s="275">
        <v>38932</v>
      </c>
      <c r="E31" s="896">
        <v>3000</v>
      </c>
      <c r="F31" s="891">
        <v>50</v>
      </c>
      <c r="G31" s="432">
        <v>1520</v>
      </c>
      <c r="H31" s="263">
        <v>20</v>
      </c>
      <c r="I31" s="263">
        <v>2511</v>
      </c>
      <c r="J31" s="432"/>
      <c r="K31" s="432">
        <v>1523</v>
      </c>
      <c r="L31" s="383">
        <f t="shared" si="0"/>
        <v>70</v>
      </c>
      <c r="M31" s="433">
        <f t="shared" si="1"/>
        <v>5554</v>
      </c>
      <c r="N31" s="1006">
        <v>41422</v>
      </c>
      <c r="O31" s="365"/>
      <c r="P31" s="156">
        <f>G31*0.05+Q31+R31</f>
        <v>3573</v>
      </c>
      <c r="Q31" s="154">
        <v>3421</v>
      </c>
      <c r="R31" s="156">
        <f>G31*0.05</f>
        <v>76</v>
      </c>
      <c r="S31" s="138">
        <f>+G31*0.05+P31</f>
        <v>3649</v>
      </c>
      <c r="T31" s="138">
        <f>G31*0.05+S31</f>
        <v>3725</v>
      </c>
      <c r="U31" s="138">
        <f>+G31*0.05+T31</f>
        <v>3801</v>
      </c>
      <c r="V31" s="138">
        <f>+G31*0.05+U31-140</f>
        <v>3737</v>
      </c>
      <c r="W31" s="131">
        <f t="shared" si="6"/>
        <v>3813</v>
      </c>
    </row>
    <row r="32" spans="1:23" x14ac:dyDescent="0.25">
      <c r="A32" s="387" t="s">
        <v>275</v>
      </c>
      <c r="B32" s="81" t="s">
        <v>9</v>
      </c>
      <c r="C32" s="265">
        <v>38707</v>
      </c>
      <c r="D32" s="275">
        <v>38951</v>
      </c>
      <c r="E32" s="442">
        <v>17000</v>
      </c>
      <c r="F32" s="423"/>
      <c r="G32" s="417">
        <v>7290</v>
      </c>
      <c r="H32" s="263"/>
      <c r="I32" s="263">
        <v>19001</v>
      </c>
      <c r="J32" s="417"/>
      <c r="K32" s="417">
        <v>2636</v>
      </c>
      <c r="L32" s="383">
        <f t="shared" si="0"/>
        <v>0</v>
      </c>
      <c r="M32" s="433">
        <f t="shared" si="1"/>
        <v>28927</v>
      </c>
      <c r="N32" s="1006">
        <v>41045</v>
      </c>
      <c r="O32" s="365"/>
      <c r="P32" s="168">
        <v>18336</v>
      </c>
      <c r="Q32" s="168">
        <v>19396</v>
      </c>
      <c r="R32" s="165">
        <f>P32-Q32</f>
        <v>-1060</v>
      </c>
      <c r="S32" s="131">
        <v>18336</v>
      </c>
      <c r="T32" s="138">
        <f>G32*0.05+S32</f>
        <v>18700.5</v>
      </c>
      <c r="U32" s="138">
        <v>17756</v>
      </c>
      <c r="V32" s="138">
        <f>+G32*0.05+U32-70</f>
        <v>18050.5</v>
      </c>
      <c r="W32" s="131">
        <f t="shared" si="6"/>
        <v>18415</v>
      </c>
    </row>
    <row r="33" spans="1:23" x14ac:dyDescent="0.25">
      <c r="A33" s="387" t="s">
        <v>208</v>
      </c>
      <c r="B33" s="81" t="s">
        <v>1146</v>
      </c>
      <c r="C33" s="265">
        <v>38912</v>
      </c>
      <c r="D33" s="275">
        <v>39036</v>
      </c>
      <c r="E33" s="442">
        <v>3500</v>
      </c>
      <c r="F33" s="423"/>
      <c r="G33" s="417">
        <v>3090</v>
      </c>
      <c r="H33" s="263"/>
      <c r="I33" s="263">
        <v>4308</v>
      </c>
      <c r="J33" s="417"/>
      <c r="K33" s="417">
        <v>826</v>
      </c>
      <c r="L33" s="383">
        <f t="shared" si="0"/>
        <v>0</v>
      </c>
      <c r="M33" s="433">
        <f t="shared" si="1"/>
        <v>8224</v>
      </c>
      <c r="N33" s="1006">
        <v>39434</v>
      </c>
      <c r="O33" s="365"/>
      <c r="P33" s="168"/>
      <c r="Q33" s="168"/>
      <c r="R33" s="165"/>
      <c r="S33" s="131"/>
      <c r="T33" s="138"/>
      <c r="U33" s="138"/>
      <c r="V33" s="138"/>
      <c r="W33" s="131"/>
    </row>
    <row r="34" spans="1:23" x14ac:dyDescent="0.25">
      <c r="A34" s="387" t="s">
        <v>209</v>
      </c>
      <c r="B34" s="81" t="s">
        <v>9</v>
      </c>
      <c r="C34" s="265">
        <v>38803</v>
      </c>
      <c r="D34" s="275">
        <v>38864</v>
      </c>
      <c r="E34" s="442">
        <v>3000</v>
      </c>
      <c r="F34" s="423"/>
      <c r="G34" s="417">
        <v>1740</v>
      </c>
      <c r="H34" s="263"/>
      <c r="I34" s="263">
        <v>3547</v>
      </c>
      <c r="J34" s="417"/>
      <c r="K34" s="417">
        <v>711</v>
      </c>
      <c r="L34" s="383">
        <f t="shared" si="0"/>
        <v>0</v>
      </c>
      <c r="M34" s="433">
        <f t="shared" si="1"/>
        <v>5998</v>
      </c>
      <c r="N34" s="1006">
        <v>39589</v>
      </c>
      <c r="O34" s="365"/>
      <c r="P34" s="168"/>
      <c r="Q34" s="168"/>
      <c r="R34" s="165"/>
      <c r="S34" s="131"/>
      <c r="T34" s="138"/>
      <c r="U34" s="138"/>
      <c r="V34" s="138"/>
      <c r="W34" s="131"/>
    </row>
    <row r="35" spans="1:23" x14ac:dyDescent="0.25">
      <c r="A35" s="81" t="s">
        <v>277</v>
      </c>
      <c r="B35" s="81" t="s">
        <v>13</v>
      </c>
      <c r="C35" s="265">
        <v>38579</v>
      </c>
      <c r="D35" s="275">
        <v>38763</v>
      </c>
      <c r="E35" s="442">
        <v>4000</v>
      </c>
      <c r="F35" s="423"/>
      <c r="G35" s="417">
        <v>3014</v>
      </c>
      <c r="H35" s="263"/>
      <c r="I35" s="263">
        <v>7789</v>
      </c>
      <c r="J35" s="417"/>
      <c r="K35" s="417">
        <v>1257</v>
      </c>
      <c r="L35" s="383">
        <f t="shared" si="0"/>
        <v>0</v>
      </c>
      <c r="M35" s="433">
        <f t="shared" si="1"/>
        <v>12060</v>
      </c>
      <c r="N35" s="1006">
        <v>41037</v>
      </c>
      <c r="O35" s="435"/>
      <c r="P35" s="168">
        <v>7879</v>
      </c>
      <c r="Q35" s="168">
        <f>7879+154</f>
        <v>8033</v>
      </c>
      <c r="R35" s="165">
        <f>P35-Q35</f>
        <v>-154</v>
      </c>
      <c r="S35" s="131">
        <v>7879</v>
      </c>
      <c r="T35" s="138">
        <f>G35*0.05+S35</f>
        <v>8029.7</v>
      </c>
      <c r="U35" s="138">
        <f>+G35*0.05+T35</f>
        <v>8180.4</v>
      </c>
      <c r="V35" s="138">
        <f>+G35*0.05+U35</f>
        <v>8331.1</v>
      </c>
      <c r="W35" s="131">
        <f t="shared" si="6"/>
        <v>8481.8000000000011</v>
      </c>
    </row>
    <row r="36" spans="1:23" ht="15.75" thickBot="1" x14ac:dyDescent="0.3">
      <c r="A36" s="284" t="s">
        <v>211</v>
      </c>
      <c r="B36" s="284" t="s">
        <v>18</v>
      </c>
      <c r="C36" s="285">
        <v>38874</v>
      </c>
      <c r="D36" s="586">
        <v>39027</v>
      </c>
      <c r="E36" s="587">
        <v>6000</v>
      </c>
      <c r="F36" s="893"/>
      <c r="G36" s="436">
        <v>3200</v>
      </c>
      <c r="H36" s="302"/>
      <c r="I36" s="302">
        <v>8645</v>
      </c>
      <c r="J36" s="436"/>
      <c r="K36" s="436">
        <v>730</v>
      </c>
      <c r="L36" s="437">
        <f t="shared" si="0"/>
        <v>0</v>
      </c>
      <c r="M36" s="438">
        <f t="shared" si="1"/>
        <v>12575</v>
      </c>
      <c r="N36" s="1045">
        <v>41125</v>
      </c>
      <c r="O36" s="365"/>
      <c r="P36" s="156">
        <f>G36*0.05+Q36+R36-200-400</f>
        <v>9070</v>
      </c>
      <c r="Q36" s="154">
        <v>9350</v>
      </c>
      <c r="R36" s="156">
        <f>G36*0.05</f>
        <v>160</v>
      </c>
      <c r="S36" s="138">
        <v>9245</v>
      </c>
      <c r="T36" s="138">
        <f>G36*0.05+S36-50</f>
        <v>9355</v>
      </c>
      <c r="U36" s="138">
        <f>+G36*0.05+T36</f>
        <v>9515</v>
      </c>
      <c r="V36" s="138">
        <f>+G36*0.05+U36-175</f>
        <v>9500</v>
      </c>
      <c r="W36" s="131">
        <f t="shared" si="6"/>
        <v>9660</v>
      </c>
    </row>
    <row r="37" spans="1:23" ht="15.75" thickBot="1" x14ac:dyDescent="0.3">
      <c r="A37" s="633" t="s">
        <v>1229</v>
      </c>
      <c r="B37" s="633"/>
      <c r="C37" s="634"/>
      <c r="D37" s="634"/>
      <c r="E37" s="466">
        <f t="shared" ref="E37:M37" si="8">SUM(E7:E36)</f>
        <v>400500</v>
      </c>
      <c r="F37" s="446">
        <f t="shared" si="8"/>
        <v>1310</v>
      </c>
      <c r="G37" s="449">
        <f t="shared" si="8"/>
        <v>290799</v>
      </c>
      <c r="H37" s="449">
        <f t="shared" si="8"/>
        <v>1670</v>
      </c>
      <c r="I37" s="450">
        <f t="shared" si="8"/>
        <v>484197.75</v>
      </c>
      <c r="J37" s="449">
        <f t="shared" si="8"/>
        <v>1300</v>
      </c>
      <c r="K37" s="449">
        <f t="shared" si="8"/>
        <v>106318</v>
      </c>
      <c r="L37" s="451">
        <f t="shared" si="8"/>
        <v>4280</v>
      </c>
      <c r="M37" s="452">
        <f t="shared" si="8"/>
        <v>881314.75</v>
      </c>
      <c r="N37" s="1034"/>
      <c r="O37" s="365"/>
      <c r="P37" s="157"/>
      <c r="Q37" s="161"/>
      <c r="R37" s="146"/>
      <c r="S37" s="162"/>
      <c r="T37" s="121"/>
      <c r="U37" s="121"/>
      <c r="V37" s="144">
        <f>SUM(V7:V36)</f>
        <v>279639.59999999998</v>
      </c>
      <c r="W37" s="121"/>
    </row>
    <row r="38" spans="1:23" x14ac:dyDescent="0.25">
      <c r="A38" s="641"/>
      <c r="B38" s="642"/>
      <c r="C38" s="643"/>
      <c r="D38" s="643"/>
      <c r="E38" s="644"/>
      <c r="F38" s="644"/>
      <c r="G38" s="645"/>
      <c r="H38" s="645"/>
      <c r="I38" s="645"/>
      <c r="J38" s="645"/>
      <c r="K38" s="645"/>
      <c r="L38" s="645"/>
      <c r="M38" s="645"/>
      <c r="N38" s="1046"/>
      <c r="O38" s="91"/>
      <c r="P38" s="23"/>
      <c r="Q38" s="22"/>
      <c r="R38" s="30"/>
      <c r="S38" s="26"/>
    </row>
    <row r="39" spans="1:23" x14ac:dyDescent="0.25">
      <c r="A39" s="646"/>
      <c r="B39" s="646"/>
      <c r="C39" s="647"/>
      <c r="D39" s="647"/>
      <c r="E39" s="647"/>
      <c r="F39" s="647"/>
      <c r="G39" s="648"/>
      <c r="H39" s="648"/>
      <c r="I39" s="648"/>
      <c r="J39" s="648"/>
      <c r="K39" s="648"/>
      <c r="L39" s="648"/>
      <c r="M39" s="648"/>
      <c r="N39" s="1047"/>
      <c r="O39" s="640"/>
      <c r="P39" s="85"/>
      <c r="Q39" s="27"/>
      <c r="R39" s="31"/>
      <c r="S39" s="28"/>
    </row>
    <row r="44" spans="1:23" x14ac:dyDescent="0.25">
      <c r="E44" s="9" t="e">
        <f>+#REF!+#REF!+#REF!+#REF!+#REF!+#REF!+#REF!+#REF!+#REF!+#REF!+#REF!+#REF!+#REF!+#REF!+#REF!+#REF!+#REF!+#REF!+#REF!+#REF!+#REF!+#REF!</f>
        <v>#REF!</v>
      </c>
    </row>
  </sheetData>
  <sortState ref="A7:W62">
    <sortCondition ref="A7"/>
  </sortState>
  <mergeCells count="4">
    <mergeCell ref="A1:N1"/>
    <mergeCell ref="A2:N2"/>
    <mergeCell ref="A3:N3"/>
    <mergeCell ref="F4:M4"/>
  </mergeCells>
  <pageMargins left="0.5" right="0.5" top="0.75" bottom="0.75" header="0.3" footer="0.3"/>
  <pageSetup paperSize="5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65"/>
  <sheetViews>
    <sheetView topLeftCell="A22" workbookViewId="0">
      <selection activeCell="E4" sqref="E4:M4"/>
    </sheetView>
  </sheetViews>
  <sheetFormatPr defaultRowHeight="15" x14ac:dyDescent="0.25"/>
  <cols>
    <col min="1" max="1" width="21" customWidth="1"/>
    <col min="2" max="2" width="16.7109375" customWidth="1"/>
    <col min="3" max="4" width="8.5703125" customWidth="1"/>
    <col min="5" max="5" width="11.140625" customWidth="1"/>
    <col min="6" max="6" width="11" customWidth="1"/>
    <col min="7" max="7" width="10.140625" customWidth="1"/>
    <col min="8" max="8" width="10.85546875" customWidth="1"/>
    <col min="9" max="9" width="11.140625" customWidth="1"/>
    <col min="10" max="10" width="11" customWidth="1"/>
    <col min="11" max="11" width="9.7109375" customWidth="1"/>
    <col min="12" max="12" width="10.7109375" customWidth="1"/>
    <col min="13" max="13" width="10.42578125" customWidth="1"/>
    <col min="14" max="14" width="11.5703125" style="971" customWidth="1"/>
    <col min="15" max="16" width="8" customWidth="1"/>
    <col min="17" max="17" width="12.140625" customWidth="1"/>
    <col min="18" max="18" width="12.28515625" customWidth="1"/>
    <col min="19" max="19" width="14.140625" customWidth="1"/>
    <col min="20" max="20" width="14.28515625" customWidth="1"/>
    <col min="21" max="21" width="13" customWidth="1"/>
    <col min="22" max="22" width="12.28515625" customWidth="1"/>
    <col min="23" max="23" width="12" customWidth="1"/>
    <col min="24" max="24" width="14.7109375" customWidth="1"/>
  </cols>
  <sheetData>
    <row r="1" spans="1:24" ht="15.75" x14ac:dyDescent="0.25">
      <c r="A1" s="1358" t="s">
        <v>87</v>
      </c>
      <c r="B1" s="1358"/>
      <c r="C1" s="1358"/>
      <c r="D1" s="1358"/>
      <c r="E1" s="1358"/>
      <c r="F1" s="1358"/>
      <c r="G1" s="1358"/>
      <c r="H1" s="1358"/>
      <c r="I1" s="1358"/>
      <c r="J1" s="1358"/>
      <c r="K1" s="1358"/>
      <c r="L1" s="1358"/>
      <c r="M1" s="1358"/>
      <c r="N1" s="1358"/>
      <c r="O1" s="349"/>
      <c r="P1" s="349"/>
      <c r="Q1" s="141"/>
      <c r="R1" s="141"/>
      <c r="S1" s="141"/>
      <c r="T1" s="141"/>
      <c r="U1" s="121"/>
      <c r="V1" s="121"/>
      <c r="W1" s="121"/>
      <c r="X1" s="121"/>
    </row>
    <row r="2" spans="1:24" ht="15.75" x14ac:dyDescent="0.25">
      <c r="A2" s="1359" t="s">
        <v>279</v>
      </c>
      <c r="B2" s="1359"/>
      <c r="C2" s="1359"/>
      <c r="D2" s="1359"/>
      <c r="E2" s="1359"/>
      <c r="F2" s="1359"/>
      <c r="G2" s="1359"/>
      <c r="H2" s="1359"/>
      <c r="I2" s="1359"/>
      <c r="J2" s="1359"/>
      <c r="K2" s="1359"/>
      <c r="L2" s="1359"/>
      <c r="M2" s="1359"/>
      <c r="N2" s="1359"/>
      <c r="O2" s="350"/>
      <c r="P2" s="350"/>
      <c r="Q2" s="142"/>
      <c r="R2" s="142"/>
      <c r="S2" s="142"/>
      <c r="T2" s="142"/>
      <c r="U2" s="121"/>
      <c r="V2" s="121"/>
      <c r="W2" s="121"/>
      <c r="X2" s="121"/>
    </row>
    <row r="3" spans="1:24" ht="16.5" thickBot="1" x14ac:dyDescent="0.3">
      <c r="A3" s="1380" t="s">
        <v>1443</v>
      </c>
      <c r="B3" s="1380"/>
      <c r="C3" s="1380"/>
      <c r="D3" s="1380"/>
      <c r="E3" s="1380"/>
      <c r="F3" s="1380"/>
      <c r="G3" s="1380"/>
      <c r="H3" s="1380"/>
      <c r="I3" s="1380"/>
      <c r="J3" s="1380"/>
      <c r="K3" s="1380"/>
      <c r="L3" s="1380"/>
      <c r="M3" s="1380"/>
      <c r="N3" s="1380"/>
      <c r="O3" s="349"/>
      <c r="P3" s="349"/>
      <c r="Q3" s="141"/>
      <c r="R3" s="141"/>
      <c r="S3" s="141"/>
      <c r="T3" s="141"/>
      <c r="U3" s="121"/>
      <c r="V3" s="121"/>
      <c r="W3" s="121"/>
      <c r="X3" s="121"/>
    </row>
    <row r="4" spans="1:24" ht="15.75" thickBot="1" x14ac:dyDescent="0.3">
      <c r="A4" s="315"/>
      <c r="B4" s="316"/>
      <c r="C4" s="316" t="s">
        <v>139</v>
      </c>
      <c r="D4" s="317" t="s">
        <v>92</v>
      </c>
      <c r="E4" s="1381" t="s">
        <v>1440</v>
      </c>
      <c r="F4" s="1369"/>
      <c r="G4" s="1369"/>
      <c r="H4" s="1369"/>
      <c r="I4" s="1369"/>
      <c r="J4" s="1369"/>
      <c r="K4" s="1369"/>
      <c r="L4" s="1369"/>
      <c r="M4" s="1369"/>
      <c r="N4" s="1019"/>
      <c r="O4" s="969"/>
      <c r="P4" s="574"/>
      <c r="Q4" s="164"/>
      <c r="R4" s="152"/>
      <c r="S4" s="165"/>
      <c r="T4" s="159"/>
      <c r="U4" s="121"/>
      <c r="V4" s="121"/>
      <c r="W4" s="121"/>
      <c r="X4" s="121"/>
    </row>
    <row r="5" spans="1:24" ht="15.75" thickBot="1" x14ac:dyDescent="0.3">
      <c r="A5" s="321" t="s">
        <v>2</v>
      </c>
      <c r="B5" s="322" t="s">
        <v>3</v>
      </c>
      <c r="C5" s="322" t="s">
        <v>90</v>
      </c>
      <c r="D5" s="323" t="s">
        <v>91</v>
      </c>
      <c r="E5" s="376" t="s">
        <v>406</v>
      </c>
      <c r="F5" s="241" t="s">
        <v>454</v>
      </c>
      <c r="G5" s="377" t="s">
        <v>6</v>
      </c>
      <c r="H5" s="241" t="s">
        <v>455</v>
      </c>
      <c r="I5" s="355" t="s">
        <v>19</v>
      </c>
      <c r="J5" s="241" t="s">
        <v>456</v>
      </c>
      <c r="K5" s="395" t="s">
        <v>80</v>
      </c>
      <c r="L5" s="241" t="s">
        <v>457</v>
      </c>
      <c r="M5" s="952" t="s">
        <v>400</v>
      </c>
      <c r="N5" s="247" t="s">
        <v>79</v>
      </c>
      <c r="O5" s="425" t="s">
        <v>418</v>
      </c>
      <c r="P5" s="416"/>
      <c r="Q5" s="151"/>
      <c r="R5" s="166"/>
      <c r="S5" s="163"/>
      <c r="T5" s="160"/>
      <c r="U5" s="121"/>
      <c r="V5" s="121"/>
      <c r="W5" s="121"/>
      <c r="X5" s="121"/>
    </row>
    <row r="6" spans="1:24" ht="15.75" thickBot="1" x14ac:dyDescent="0.3">
      <c r="A6" s="330"/>
      <c r="B6" s="330"/>
      <c r="C6" s="330"/>
      <c r="D6" s="331"/>
      <c r="E6" s="399"/>
      <c r="F6" s="247" t="s">
        <v>438</v>
      </c>
      <c r="G6" s="399"/>
      <c r="H6" s="247" t="s">
        <v>438</v>
      </c>
      <c r="I6" s="241"/>
      <c r="J6" s="360" t="s">
        <v>438</v>
      </c>
      <c r="K6" s="954"/>
      <c r="L6" s="360" t="s">
        <v>452</v>
      </c>
      <c r="M6" s="953"/>
      <c r="N6" s="1019"/>
      <c r="O6" s="416"/>
      <c r="P6" s="416"/>
      <c r="Q6" s="151"/>
      <c r="R6" s="152"/>
      <c r="S6" s="163"/>
      <c r="T6" s="160"/>
      <c r="U6" s="121"/>
      <c r="V6" s="121"/>
      <c r="W6" s="121"/>
      <c r="X6" s="121"/>
    </row>
    <row r="7" spans="1:24" x14ac:dyDescent="0.25">
      <c r="A7" s="81" t="s">
        <v>280</v>
      </c>
      <c r="B7" s="81" t="s">
        <v>15</v>
      </c>
      <c r="C7" s="265">
        <v>38301</v>
      </c>
      <c r="D7" s="275">
        <v>38421</v>
      </c>
      <c r="E7" s="401">
        <v>7000</v>
      </c>
      <c r="F7" s="885"/>
      <c r="G7" s="402">
        <v>2610</v>
      </c>
      <c r="H7" s="364"/>
      <c r="I7" s="263">
        <v>2644</v>
      </c>
      <c r="J7" s="406"/>
      <c r="K7" s="420">
        <v>956</v>
      </c>
      <c r="L7" s="404">
        <f t="shared" ref="L7:L38" si="0">+F7+H7+J7</f>
        <v>0</v>
      </c>
      <c r="M7" s="964">
        <f t="shared" ref="M7:M38" si="1">+G7+I7+K7</f>
        <v>6210</v>
      </c>
      <c r="N7" s="1042">
        <v>41146</v>
      </c>
      <c r="O7" s="516"/>
      <c r="P7" s="516"/>
      <c r="Q7" s="171">
        <f>G7*0.05+R7+S7-20</f>
        <v>3715.5</v>
      </c>
      <c r="R7" s="171">
        <v>3474.5</v>
      </c>
      <c r="S7" s="171">
        <f>G7*0.05</f>
        <v>130.5</v>
      </c>
      <c r="T7" s="130">
        <v>3771.55</v>
      </c>
      <c r="U7" s="139">
        <v>3444</v>
      </c>
      <c r="V7" s="139">
        <v>3394</v>
      </c>
      <c r="W7" s="137">
        <f>+G7*0.05+V7</f>
        <v>3524.5</v>
      </c>
      <c r="X7" s="155">
        <f>G7*0.05+W7</f>
        <v>3655</v>
      </c>
    </row>
    <row r="8" spans="1:24" x14ac:dyDescent="0.25">
      <c r="A8" s="387" t="s">
        <v>281</v>
      </c>
      <c r="B8" s="306" t="s">
        <v>22</v>
      </c>
      <c r="C8" s="409">
        <v>38196</v>
      </c>
      <c r="D8" s="410">
        <v>38558</v>
      </c>
      <c r="E8" s="404">
        <v>4000</v>
      </c>
      <c r="F8" s="419"/>
      <c r="G8" s="419">
        <v>2900</v>
      </c>
      <c r="H8" s="256"/>
      <c r="I8" s="263">
        <v>4652</v>
      </c>
      <c r="J8" s="406"/>
      <c r="K8" s="420">
        <v>856</v>
      </c>
      <c r="L8" s="404">
        <f t="shared" si="0"/>
        <v>0</v>
      </c>
      <c r="M8" s="846">
        <f t="shared" si="1"/>
        <v>8408</v>
      </c>
      <c r="N8" s="1021">
        <v>40917</v>
      </c>
      <c r="O8" s="517"/>
      <c r="P8" s="516"/>
      <c r="Q8" s="168">
        <f>G8*0.05+R8</f>
        <v>23140</v>
      </c>
      <c r="R8" s="167">
        <v>22995</v>
      </c>
      <c r="S8" s="163">
        <f>Q8-R8</f>
        <v>145</v>
      </c>
      <c r="T8" s="131">
        <f>+G8*0.05+Q8</f>
        <v>23285</v>
      </c>
      <c r="U8" s="138">
        <f>G8*0.05+T8</f>
        <v>23430</v>
      </c>
      <c r="V8" s="138">
        <f>+G8*0.05+U8</f>
        <v>23575</v>
      </c>
      <c r="W8" s="139">
        <f>+G8*0.05+V8</f>
        <v>23720</v>
      </c>
      <c r="X8" s="131">
        <f>G8*0.05+W8</f>
        <v>23865</v>
      </c>
    </row>
    <row r="9" spans="1:24" x14ac:dyDescent="0.25">
      <c r="A9" s="387" t="s">
        <v>638</v>
      </c>
      <c r="B9" s="306" t="s">
        <v>535</v>
      </c>
      <c r="C9" s="409">
        <v>38498</v>
      </c>
      <c r="D9" s="410">
        <v>38686</v>
      </c>
      <c r="E9" s="404">
        <v>5000</v>
      </c>
      <c r="F9" s="419"/>
      <c r="G9" s="419">
        <v>1990</v>
      </c>
      <c r="H9" s="256"/>
      <c r="I9" s="263">
        <v>5068</v>
      </c>
      <c r="J9" s="406"/>
      <c r="K9" s="420">
        <v>3062</v>
      </c>
      <c r="L9" s="404">
        <f t="shared" si="0"/>
        <v>0</v>
      </c>
      <c r="M9" s="846">
        <f t="shared" si="1"/>
        <v>10120</v>
      </c>
      <c r="N9" s="1021">
        <v>40816</v>
      </c>
      <c r="O9" s="517"/>
      <c r="P9" s="516"/>
      <c r="Q9" s="168"/>
      <c r="R9" s="167"/>
      <c r="S9" s="165"/>
      <c r="T9" s="131"/>
      <c r="U9" s="138"/>
      <c r="V9" s="138"/>
      <c r="W9" s="139"/>
      <c r="X9" s="199"/>
    </row>
    <row r="10" spans="1:24" x14ac:dyDescent="0.25">
      <c r="A10" s="81" t="s">
        <v>284</v>
      </c>
      <c r="B10" s="81" t="s">
        <v>32</v>
      </c>
      <c r="C10" s="265">
        <v>38196</v>
      </c>
      <c r="D10" s="275">
        <v>38383</v>
      </c>
      <c r="E10" s="404">
        <v>5000</v>
      </c>
      <c r="F10" s="419"/>
      <c r="G10" s="406">
        <v>3155</v>
      </c>
      <c r="H10" s="263"/>
      <c r="I10" s="263">
        <v>11434</v>
      </c>
      <c r="J10" s="406"/>
      <c r="K10" s="420">
        <v>3038</v>
      </c>
      <c r="L10" s="404">
        <f t="shared" si="0"/>
        <v>0</v>
      </c>
      <c r="M10" s="846">
        <f t="shared" si="1"/>
        <v>17627</v>
      </c>
      <c r="N10" s="986">
        <v>40637</v>
      </c>
      <c r="O10" s="517"/>
      <c r="P10" s="516"/>
      <c r="Q10" s="171">
        <f>G10*0.05+R10+S10</f>
        <v>12549.5</v>
      </c>
      <c r="R10" s="171">
        <v>12234</v>
      </c>
      <c r="S10" s="171">
        <f>G10*0.05</f>
        <v>157.75</v>
      </c>
      <c r="T10" s="131">
        <f>+G10*0.05+Q10</f>
        <v>12707.25</v>
      </c>
      <c r="U10" s="138">
        <v>12154</v>
      </c>
      <c r="V10" s="138">
        <f>+G10*0.05+U10-40</f>
        <v>12271.75</v>
      </c>
      <c r="W10" s="138">
        <f>+G10*0.05+V10-200</f>
        <v>12229.5</v>
      </c>
      <c r="X10" s="155">
        <f>G10*0.05+W10</f>
        <v>12387.25</v>
      </c>
    </row>
    <row r="11" spans="1:24" x14ac:dyDescent="0.25">
      <c r="A11" s="81" t="s">
        <v>285</v>
      </c>
      <c r="B11" s="81" t="s">
        <v>32</v>
      </c>
      <c r="C11" s="265">
        <v>38202</v>
      </c>
      <c r="D11" s="275">
        <v>38567</v>
      </c>
      <c r="E11" s="404">
        <v>5000</v>
      </c>
      <c r="F11" s="419"/>
      <c r="G11" s="406">
        <v>3320</v>
      </c>
      <c r="H11" s="263"/>
      <c r="I11" s="263">
        <f>G11*0.05+X11</f>
        <v>7580</v>
      </c>
      <c r="J11" s="406"/>
      <c r="K11" s="420">
        <v>3100</v>
      </c>
      <c r="L11" s="404">
        <f t="shared" si="0"/>
        <v>0</v>
      </c>
      <c r="M11" s="846">
        <f t="shared" si="1"/>
        <v>14000</v>
      </c>
      <c r="N11" s="986">
        <v>39750</v>
      </c>
      <c r="O11" s="517"/>
      <c r="P11" s="516"/>
      <c r="Q11" s="171">
        <f>G11*0.05+R11+S11</f>
        <v>6584</v>
      </c>
      <c r="R11" s="171">
        <v>6252</v>
      </c>
      <c r="S11" s="171">
        <f>G11*0.05</f>
        <v>166</v>
      </c>
      <c r="T11" s="131">
        <f>+G11*0.05+Q11</f>
        <v>6750</v>
      </c>
      <c r="U11" s="138">
        <f>G11*0.05+T11</f>
        <v>6916</v>
      </c>
      <c r="V11" s="138">
        <f>+G11*0.05+U11</f>
        <v>7082</v>
      </c>
      <c r="W11" s="138">
        <f>+G11*0.05+V11</f>
        <v>7248</v>
      </c>
      <c r="X11" s="155">
        <f>G11*0.05+W11</f>
        <v>7414</v>
      </c>
    </row>
    <row r="12" spans="1:24" x14ac:dyDescent="0.25">
      <c r="A12" s="556" t="s">
        <v>218</v>
      </c>
      <c r="B12" s="556" t="s">
        <v>48</v>
      </c>
      <c r="C12" s="557">
        <v>38456</v>
      </c>
      <c r="D12" s="558">
        <v>38822</v>
      </c>
      <c r="E12" s="682">
        <v>20000</v>
      </c>
      <c r="F12" s="863"/>
      <c r="G12" s="655">
        <v>16855</v>
      </c>
      <c r="H12" s="497"/>
      <c r="I12" s="497">
        <v>46244</v>
      </c>
      <c r="J12" s="655"/>
      <c r="K12" s="910">
        <v>13245</v>
      </c>
      <c r="L12" s="963">
        <f t="shared" si="0"/>
        <v>0</v>
      </c>
      <c r="M12" s="965">
        <f t="shared" si="1"/>
        <v>76344</v>
      </c>
      <c r="N12" s="1031">
        <v>40494</v>
      </c>
      <c r="O12" s="403"/>
      <c r="P12" s="516"/>
      <c r="Q12" s="171"/>
      <c r="R12" s="171"/>
      <c r="S12" s="171"/>
      <c r="T12" s="131"/>
      <c r="U12" s="138"/>
      <c r="V12" s="138"/>
      <c r="W12" s="138"/>
      <c r="X12" s="155"/>
    </row>
    <row r="13" spans="1:24" x14ac:dyDescent="0.25">
      <c r="A13" s="81" t="s">
        <v>642</v>
      </c>
      <c r="B13" s="81" t="s">
        <v>487</v>
      </c>
      <c r="C13" s="265">
        <v>38443</v>
      </c>
      <c r="D13" s="275">
        <v>38505</v>
      </c>
      <c r="E13" s="404">
        <v>3000</v>
      </c>
      <c r="F13" s="419"/>
      <c r="G13" s="406">
        <v>136</v>
      </c>
      <c r="H13" s="263"/>
      <c r="I13" s="263">
        <v>41</v>
      </c>
      <c r="J13" s="406"/>
      <c r="K13" s="420">
        <v>149</v>
      </c>
      <c r="L13" s="404">
        <f t="shared" si="0"/>
        <v>0</v>
      </c>
      <c r="M13" s="846">
        <f t="shared" si="1"/>
        <v>326</v>
      </c>
      <c r="N13" s="986">
        <v>41072</v>
      </c>
      <c r="O13" s="517"/>
      <c r="P13" s="516"/>
      <c r="Q13" s="171"/>
      <c r="R13" s="171"/>
      <c r="S13" s="171"/>
      <c r="T13" s="131"/>
      <c r="U13" s="138"/>
      <c r="V13" s="138"/>
      <c r="W13" s="138"/>
      <c r="X13" s="155"/>
    </row>
    <row r="14" spans="1:24" x14ac:dyDescent="0.25">
      <c r="A14" s="81" t="s">
        <v>219</v>
      </c>
      <c r="B14" s="81" t="s">
        <v>32</v>
      </c>
      <c r="C14" s="265">
        <v>38415</v>
      </c>
      <c r="D14" s="275">
        <v>38537</v>
      </c>
      <c r="E14" s="442">
        <v>4000</v>
      </c>
      <c r="F14" s="423"/>
      <c r="G14" s="417">
        <v>3620</v>
      </c>
      <c r="H14" s="263"/>
      <c r="I14" s="263">
        <v>10496</v>
      </c>
      <c r="J14" s="417"/>
      <c r="K14" s="961">
        <v>3960</v>
      </c>
      <c r="L14" s="404">
        <f t="shared" si="0"/>
        <v>0</v>
      </c>
      <c r="M14" s="846">
        <f t="shared" si="1"/>
        <v>18076</v>
      </c>
      <c r="N14" s="986">
        <v>40042</v>
      </c>
      <c r="O14" s="517"/>
      <c r="P14" s="516"/>
      <c r="Q14" s="171">
        <f>G14*0.05+R14+S14-738</f>
        <v>3816</v>
      </c>
      <c r="R14" s="171">
        <v>4192</v>
      </c>
      <c r="S14" s="171">
        <f t="shared" ref="S14:S28" si="2">G14*0.05</f>
        <v>181</v>
      </c>
      <c r="T14" s="131">
        <v>3817.9</v>
      </c>
      <c r="U14" s="138">
        <f>G14*0.05+T14-400</f>
        <v>3598.9</v>
      </c>
      <c r="V14" s="138">
        <v>2954</v>
      </c>
      <c r="W14" s="138">
        <f>+G14*0.05+V14-200</f>
        <v>2935</v>
      </c>
      <c r="X14" s="155">
        <f t="shared" ref="X14:X30" si="3">G14*0.05+W14</f>
        <v>3116</v>
      </c>
    </row>
    <row r="15" spans="1:24" x14ac:dyDescent="0.25">
      <c r="A15" s="81" t="s">
        <v>220</v>
      </c>
      <c r="B15" s="81" t="s">
        <v>18</v>
      </c>
      <c r="C15" s="265">
        <v>38471</v>
      </c>
      <c r="D15" s="275">
        <v>38563</v>
      </c>
      <c r="E15" s="442">
        <v>20000</v>
      </c>
      <c r="F15" s="423"/>
      <c r="G15" s="417">
        <v>19400</v>
      </c>
      <c r="H15" s="263"/>
      <c r="I15" s="263">
        <v>58260</v>
      </c>
      <c r="J15" s="417"/>
      <c r="K15" s="961">
        <v>13784</v>
      </c>
      <c r="L15" s="404">
        <f t="shared" si="0"/>
        <v>0</v>
      </c>
      <c r="M15" s="846">
        <f t="shared" si="1"/>
        <v>91444</v>
      </c>
      <c r="N15" s="986">
        <v>40889</v>
      </c>
      <c r="O15" s="517"/>
      <c r="P15" s="516"/>
      <c r="Q15" s="171">
        <f>G15*0.05+R15+S15</f>
        <v>1940</v>
      </c>
      <c r="R15" s="171"/>
      <c r="S15" s="171">
        <f t="shared" si="2"/>
        <v>970</v>
      </c>
      <c r="T15" s="131">
        <f>+G15*0.05+Q15</f>
        <v>2910</v>
      </c>
      <c r="U15" s="138">
        <f>G15*0.05+T15</f>
        <v>3880</v>
      </c>
      <c r="V15" s="138">
        <f>+G15*0.05+U15</f>
        <v>4850</v>
      </c>
      <c r="W15" s="138">
        <f>+G15*0.05+V15</f>
        <v>5820</v>
      </c>
      <c r="X15" s="155">
        <f t="shared" si="3"/>
        <v>6790</v>
      </c>
    </row>
    <row r="16" spans="1:24" x14ac:dyDescent="0.25">
      <c r="A16" s="81" t="s">
        <v>221</v>
      </c>
      <c r="B16" s="81" t="s">
        <v>25</v>
      </c>
      <c r="C16" s="265">
        <v>38512</v>
      </c>
      <c r="D16" s="275">
        <v>38701</v>
      </c>
      <c r="E16" s="442">
        <v>4000</v>
      </c>
      <c r="F16" s="423"/>
      <c r="G16" s="417">
        <v>3440</v>
      </c>
      <c r="H16" s="263"/>
      <c r="I16" s="263">
        <v>14615</v>
      </c>
      <c r="J16" s="417"/>
      <c r="K16" s="961">
        <v>579</v>
      </c>
      <c r="L16" s="404">
        <f t="shared" si="0"/>
        <v>0</v>
      </c>
      <c r="M16" s="846">
        <f t="shared" si="1"/>
        <v>18634</v>
      </c>
      <c r="N16" s="986">
        <v>40448</v>
      </c>
      <c r="O16" s="517"/>
      <c r="P16" s="516"/>
      <c r="Q16" s="171">
        <f>G16*0.05+R16+S16</f>
        <v>3913</v>
      </c>
      <c r="R16" s="171">
        <v>3569</v>
      </c>
      <c r="S16" s="171">
        <f t="shared" si="2"/>
        <v>172</v>
      </c>
      <c r="T16" s="131">
        <f>+G16*0.05+Q16</f>
        <v>4085</v>
      </c>
      <c r="U16" s="138">
        <f>G16*0.05+T16</f>
        <v>4257</v>
      </c>
      <c r="V16" s="138">
        <f>+G16*0.05+U16</f>
        <v>4429</v>
      </c>
      <c r="W16" s="138">
        <f>+G16*0.05+V16</f>
        <v>4601</v>
      </c>
      <c r="X16" s="155">
        <f t="shared" si="3"/>
        <v>4773</v>
      </c>
    </row>
    <row r="17" spans="1:24" x14ac:dyDescent="0.25">
      <c r="A17" s="81" t="s">
        <v>222</v>
      </c>
      <c r="B17" s="81" t="s">
        <v>32</v>
      </c>
      <c r="C17" s="265">
        <v>38383</v>
      </c>
      <c r="D17" s="275">
        <v>38502</v>
      </c>
      <c r="E17" s="442">
        <v>10000</v>
      </c>
      <c r="F17" s="423"/>
      <c r="G17" s="417">
        <v>1900</v>
      </c>
      <c r="H17" s="263"/>
      <c r="I17" s="263">
        <f>G17*0.05+X17</f>
        <v>1930</v>
      </c>
      <c r="J17" s="417"/>
      <c r="K17" s="961">
        <v>1350</v>
      </c>
      <c r="L17" s="404">
        <f t="shared" si="0"/>
        <v>0</v>
      </c>
      <c r="M17" s="846">
        <f t="shared" si="1"/>
        <v>5180</v>
      </c>
      <c r="N17" s="986">
        <v>39977</v>
      </c>
      <c r="O17" s="517"/>
      <c r="P17" s="516"/>
      <c r="Q17" s="171">
        <f>G17*0.05+R17+S17</f>
        <v>1360</v>
      </c>
      <c r="R17" s="171">
        <v>1170</v>
      </c>
      <c r="S17" s="171">
        <f t="shared" si="2"/>
        <v>95</v>
      </c>
      <c r="T17" s="131">
        <f>+G17*0.05+Q17</f>
        <v>1455</v>
      </c>
      <c r="U17" s="138">
        <f>G17*0.05+T17</f>
        <v>1550</v>
      </c>
      <c r="V17" s="138">
        <f>+G17*0.05+U17</f>
        <v>1645</v>
      </c>
      <c r="W17" s="138">
        <f>+G17*0.05+V17</f>
        <v>1740</v>
      </c>
      <c r="X17" s="155">
        <f t="shared" si="3"/>
        <v>1835</v>
      </c>
    </row>
    <row r="18" spans="1:24" x14ac:dyDescent="0.25">
      <c r="A18" s="81" t="s">
        <v>223</v>
      </c>
      <c r="B18" s="81" t="s">
        <v>9</v>
      </c>
      <c r="C18" s="265">
        <v>38358</v>
      </c>
      <c r="D18" s="275">
        <v>38594</v>
      </c>
      <c r="E18" s="442">
        <v>3000</v>
      </c>
      <c r="F18" s="423">
        <v>50</v>
      </c>
      <c r="G18" s="417">
        <v>300</v>
      </c>
      <c r="H18" s="263">
        <v>50</v>
      </c>
      <c r="I18" s="263">
        <v>975</v>
      </c>
      <c r="J18" s="417"/>
      <c r="K18" s="961">
        <v>1348</v>
      </c>
      <c r="L18" s="404">
        <f t="shared" si="0"/>
        <v>100</v>
      </c>
      <c r="M18" s="846">
        <f t="shared" si="1"/>
        <v>2623</v>
      </c>
      <c r="N18" s="986">
        <v>41442</v>
      </c>
      <c r="O18" s="517"/>
      <c r="P18" s="516"/>
      <c r="Q18" s="171">
        <f>G18*0.05+R18+S18</f>
        <v>24664</v>
      </c>
      <c r="R18" s="171">
        <v>24634</v>
      </c>
      <c r="S18" s="171">
        <f t="shared" si="2"/>
        <v>15</v>
      </c>
      <c r="T18" s="131">
        <f>+G18*0.05+Q18</f>
        <v>24679</v>
      </c>
      <c r="U18" s="138">
        <f>G18*0.05+T18</f>
        <v>24694</v>
      </c>
      <c r="V18" s="138">
        <f>+G18*0.05+U18</f>
        <v>24709</v>
      </c>
      <c r="W18" s="138">
        <f>+G18*0.05+V18</f>
        <v>24724</v>
      </c>
      <c r="X18" s="155">
        <f t="shared" si="3"/>
        <v>24739</v>
      </c>
    </row>
    <row r="19" spans="1:24" x14ac:dyDescent="0.25">
      <c r="A19" s="81" t="s">
        <v>224</v>
      </c>
      <c r="B19" s="81" t="s">
        <v>13</v>
      </c>
      <c r="C19" s="265">
        <v>38401</v>
      </c>
      <c r="D19" s="275">
        <v>38594</v>
      </c>
      <c r="E19" s="442">
        <v>3000</v>
      </c>
      <c r="F19" s="423"/>
      <c r="G19" s="417">
        <v>2900</v>
      </c>
      <c r="H19" s="263"/>
      <c r="I19" s="263">
        <v>5700</v>
      </c>
      <c r="J19" s="417"/>
      <c r="K19" s="961">
        <v>2446</v>
      </c>
      <c r="L19" s="404">
        <f t="shared" si="0"/>
        <v>0</v>
      </c>
      <c r="M19" s="846">
        <f t="shared" si="1"/>
        <v>11046</v>
      </c>
      <c r="N19" s="986">
        <v>41257</v>
      </c>
      <c r="O19" s="517"/>
      <c r="P19" s="516"/>
      <c r="Q19" s="171">
        <f>G19*0.05+R19+S19-30</f>
        <v>4785</v>
      </c>
      <c r="R19" s="171">
        <f>4433+92</f>
        <v>4525</v>
      </c>
      <c r="S19" s="171">
        <f t="shared" si="2"/>
        <v>145</v>
      </c>
      <c r="T19" s="131">
        <v>4675.5</v>
      </c>
      <c r="U19" s="138">
        <v>4153</v>
      </c>
      <c r="V19" s="138">
        <v>4053</v>
      </c>
      <c r="W19" s="138">
        <f>+G19*0.05+V19-200</f>
        <v>3998</v>
      </c>
      <c r="X19" s="155">
        <f t="shared" si="3"/>
        <v>4143</v>
      </c>
    </row>
    <row r="20" spans="1:24" x14ac:dyDescent="0.25">
      <c r="A20" s="81" t="s">
        <v>225</v>
      </c>
      <c r="B20" s="81" t="s">
        <v>27</v>
      </c>
      <c r="C20" s="265">
        <v>38629</v>
      </c>
      <c r="D20" s="275">
        <v>38690</v>
      </c>
      <c r="E20" s="442">
        <v>2000</v>
      </c>
      <c r="F20" s="423"/>
      <c r="G20" s="417">
        <v>624</v>
      </c>
      <c r="H20" s="263"/>
      <c r="I20" s="263">
        <v>955</v>
      </c>
      <c r="J20" s="417"/>
      <c r="K20" s="961">
        <v>2696</v>
      </c>
      <c r="L20" s="404">
        <f t="shared" si="0"/>
        <v>0</v>
      </c>
      <c r="M20" s="846">
        <f t="shared" si="1"/>
        <v>4275</v>
      </c>
      <c r="N20" s="986">
        <v>40578</v>
      </c>
      <c r="O20" s="517"/>
      <c r="P20" s="516"/>
      <c r="Q20" s="171">
        <f>G20*0.05+R20+S20-100</f>
        <v>9858.4000000000015</v>
      </c>
      <c r="R20" s="171">
        <v>9896</v>
      </c>
      <c r="S20" s="171">
        <f t="shared" si="2"/>
        <v>31.200000000000003</v>
      </c>
      <c r="T20" s="131">
        <v>10124</v>
      </c>
      <c r="U20" s="138">
        <f>G20*0.05+T20-50</f>
        <v>10105.200000000001</v>
      </c>
      <c r="V20" s="138">
        <f>+G20*0.05+U20</f>
        <v>10136.400000000001</v>
      </c>
      <c r="W20" s="138">
        <f>+G20*0.05+V20-30</f>
        <v>10137.600000000002</v>
      </c>
      <c r="X20" s="155">
        <f t="shared" si="3"/>
        <v>10168.800000000003</v>
      </c>
    </row>
    <row r="21" spans="1:24" x14ac:dyDescent="0.25">
      <c r="A21" s="81" t="s">
        <v>226</v>
      </c>
      <c r="B21" s="81" t="s">
        <v>32</v>
      </c>
      <c r="C21" s="265">
        <v>38446</v>
      </c>
      <c r="D21" s="275">
        <v>38599</v>
      </c>
      <c r="E21" s="442">
        <v>3500</v>
      </c>
      <c r="F21" s="423"/>
      <c r="G21" s="417">
        <v>2712</v>
      </c>
      <c r="H21" s="263"/>
      <c r="I21" s="263">
        <v>7780</v>
      </c>
      <c r="J21" s="417"/>
      <c r="K21" s="961">
        <v>4239</v>
      </c>
      <c r="L21" s="404">
        <f t="shared" si="0"/>
        <v>0</v>
      </c>
      <c r="M21" s="846">
        <f t="shared" si="1"/>
        <v>14731</v>
      </c>
      <c r="N21" s="986">
        <v>41094</v>
      </c>
      <c r="O21" s="517"/>
      <c r="P21" s="516"/>
      <c r="Q21" s="171">
        <f>G21*0.05+R21+S21</f>
        <v>6261.2000000000007</v>
      </c>
      <c r="R21" s="171">
        <v>5990</v>
      </c>
      <c r="S21" s="171">
        <f t="shared" si="2"/>
        <v>135.6</v>
      </c>
      <c r="T21" s="131">
        <f>+G21*0.05+Q21</f>
        <v>6396.8000000000011</v>
      </c>
      <c r="U21" s="138">
        <f>G21*0.05+T21</f>
        <v>6532.4000000000015</v>
      </c>
      <c r="V21" s="138">
        <f>+G21*0.05+U21</f>
        <v>6668.0000000000018</v>
      </c>
      <c r="W21" s="138">
        <f>+G21*0.05+V21</f>
        <v>6803.6000000000022</v>
      </c>
      <c r="X21" s="155">
        <f t="shared" si="3"/>
        <v>6939.2000000000025</v>
      </c>
    </row>
    <row r="22" spans="1:24" x14ac:dyDescent="0.25">
      <c r="A22" s="387" t="s">
        <v>287</v>
      </c>
      <c r="B22" s="279" t="s">
        <v>158</v>
      </c>
      <c r="C22" s="265">
        <v>38313</v>
      </c>
      <c r="D22" s="275">
        <v>38615</v>
      </c>
      <c r="E22" s="404">
        <v>7000</v>
      </c>
      <c r="F22" s="419"/>
      <c r="G22" s="406">
        <v>1039</v>
      </c>
      <c r="H22" s="263"/>
      <c r="I22" s="263">
        <v>1038</v>
      </c>
      <c r="J22" s="406"/>
      <c r="K22" s="420">
        <v>65</v>
      </c>
      <c r="L22" s="404">
        <f t="shared" si="0"/>
        <v>0</v>
      </c>
      <c r="M22" s="846">
        <f t="shared" si="1"/>
        <v>2142</v>
      </c>
      <c r="N22" s="986">
        <v>40856</v>
      </c>
      <c r="O22" s="517"/>
      <c r="P22" s="516"/>
      <c r="Q22" s="171">
        <f>G22*0.05+R22+S22</f>
        <v>28078.9</v>
      </c>
      <c r="R22" s="171">
        <v>27975</v>
      </c>
      <c r="S22" s="171">
        <f t="shared" si="2"/>
        <v>51.95</v>
      </c>
      <c r="T22" s="131">
        <f>+G22*0.05+Q22</f>
        <v>28130.850000000002</v>
      </c>
      <c r="U22" s="138">
        <f>G22*0.05+T22</f>
        <v>28182.800000000003</v>
      </c>
      <c r="V22" s="138">
        <f>+G22*0.05+U22-100</f>
        <v>28134.750000000004</v>
      </c>
      <c r="W22" s="138">
        <f>+G22*0.05+V22</f>
        <v>28186.700000000004</v>
      </c>
      <c r="X22" s="155">
        <f t="shared" si="3"/>
        <v>28238.650000000005</v>
      </c>
    </row>
    <row r="23" spans="1:24" x14ac:dyDescent="0.25">
      <c r="A23" s="81" t="s">
        <v>230</v>
      </c>
      <c r="B23" s="81" t="s">
        <v>15</v>
      </c>
      <c r="C23" s="265">
        <v>38420</v>
      </c>
      <c r="D23" s="275">
        <v>38487</v>
      </c>
      <c r="E23" s="442">
        <v>4000</v>
      </c>
      <c r="F23" s="423"/>
      <c r="G23" s="417">
        <v>3970</v>
      </c>
      <c r="H23" s="263"/>
      <c r="I23" s="263">
        <f>G23*0.05+X23</f>
        <v>20354</v>
      </c>
      <c r="J23" s="417"/>
      <c r="K23" s="961">
        <v>4596</v>
      </c>
      <c r="L23" s="404">
        <f t="shared" si="0"/>
        <v>0</v>
      </c>
      <c r="M23" s="846">
        <f t="shared" si="1"/>
        <v>28920</v>
      </c>
      <c r="N23" s="986">
        <v>38421</v>
      </c>
      <c r="O23" s="517"/>
      <c r="P23" s="516"/>
      <c r="Q23" s="171">
        <f>G23*0.05+R23+S23</f>
        <v>20067</v>
      </c>
      <c r="R23" s="171">
        <v>19670</v>
      </c>
      <c r="S23" s="171">
        <f t="shared" si="2"/>
        <v>198.5</v>
      </c>
      <c r="T23" s="131">
        <f>+G23*0.05+Q23</f>
        <v>20265.5</v>
      </c>
      <c r="U23" s="138">
        <v>19610</v>
      </c>
      <c r="V23" s="138">
        <f t="shared" ref="V23:V30" si="4">+G23*0.05+U23</f>
        <v>19808.5</v>
      </c>
      <c r="W23" s="138">
        <f>+G23*0.05+V23-50</f>
        <v>19957</v>
      </c>
      <c r="X23" s="155">
        <f t="shared" si="3"/>
        <v>20155.5</v>
      </c>
    </row>
    <row r="24" spans="1:24" x14ac:dyDescent="0.25">
      <c r="A24" s="81" t="s">
        <v>290</v>
      </c>
      <c r="B24" s="81" t="s">
        <v>1138</v>
      </c>
      <c r="C24" s="265">
        <v>38330</v>
      </c>
      <c r="D24" s="275">
        <v>38513</v>
      </c>
      <c r="E24" s="442">
        <v>2000</v>
      </c>
      <c r="F24" s="423"/>
      <c r="G24" s="417">
        <v>1225</v>
      </c>
      <c r="H24" s="263"/>
      <c r="I24" s="263">
        <v>3249</v>
      </c>
      <c r="J24" s="417"/>
      <c r="K24" s="961">
        <v>873</v>
      </c>
      <c r="L24" s="404">
        <f t="shared" ref="L24" si="5">+F24+H24+J24</f>
        <v>0</v>
      </c>
      <c r="M24" s="846">
        <f t="shared" ref="M24" si="6">+G24+I24+K24</f>
        <v>5347</v>
      </c>
      <c r="N24" s="986">
        <v>40735</v>
      </c>
      <c r="O24" s="517"/>
      <c r="P24" s="516"/>
      <c r="Q24" s="171"/>
      <c r="R24" s="171"/>
      <c r="S24" s="171">
        <f t="shared" si="2"/>
        <v>61.25</v>
      </c>
      <c r="T24" s="131"/>
      <c r="U24" s="138"/>
      <c r="V24" s="138"/>
      <c r="W24" s="138"/>
      <c r="X24" s="155"/>
    </row>
    <row r="25" spans="1:24" x14ac:dyDescent="0.25">
      <c r="A25" s="81" t="s">
        <v>291</v>
      </c>
      <c r="B25" s="279" t="s">
        <v>158</v>
      </c>
      <c r="C25" s="265">
        <v>38215</v>
      </c>
      <c r="D25" s="275">
        <v>38580</v>
      </c>
      <c r="E25" s="404">
        <v>5000</v>
      </c>
      <c r="F25" s="419"/>
      <c r="G25" s="406">
        <v>2600</v>
      </c>
      <c r="H25" s="263"/>
      <c r="I25" s="263">
        <f>G25*0.05+X25</f>
        <v>14700.5</v>
      </c>
      <c r="J25" s="406"/>
      <c r="K25" s="420">
        <v>628</v>
      </c>
      <c r="L25" s="404">
        <f t="shared" si="0"/>
        <v>0</v>
      </c>
      <c r="M25" s="846">
        <f t="shared" si="1"/>
        <v>17928.5</v>
      </c>
      <c r="N25" s="986">
        <v>40040</v>
      </c>
      <c r="O25" s="517"/>
      <c r="P25" s="516"/>
      <c r="Q25" s="171">
        <f>G25*0.05+R25+S25</f>
        <v>14020.5</v>
      </c>
      <c r="R25" s="171">
        <v>13760.5</v>
      </c>
      <c r="S25" s="171">
        <f t="shared" si="2"/>
        <v>130</v>
      </c>
      <c r="T25" s="131">
        <f>+G25*0.05+Q25</f>
        <v>14150.5</v>
      </c>
      <c r="U25" s="138">
        <f t="shared" ref="U25:U30" si="7">G25*0.05+T25</f>
        <v>14280.5</v>
      </c>
      <c r="V25" s="138">
        <f t="shared" si="4"/>
        <v>14410.5</v>
      </c>
      <c r="W25" s="138">
        <f>+G25*0.05+V25-100</f>
        <v>14440.5</v>
      </c>
      <c r="X25" s="155">
        <f t="shared" si="3"/>
        <v>14570.5</v>
      </c>
    </row>
    <row r="26" spans="1:24" x14ac:dyDescent="0.25">
      <c r="A26" s="81" t="s">
        <v>412</v>
      </c>
      <c r="B26" s="81" t="s">
        <v>413</v>
      </c>
      <c r="C26" s="265">
        <v>38282</v>
      </c>
      <c r="D26" s="275">
        <v>38502</v>
      </c>
      <c r="E26" s="404">
        <v>4500</v>
      </c>
      <c r="F26" s="419"/>
      <c r="G26" s="406">
        <v>775</v>
      </c>
      <c r="H26" s="263"/>
      <c r="I26" s="263">
        <v>3099</v>
      </c>
      <c r="J26" s="406"/>
      <c r="K26" s="420">
        <v>2576</v>
      </c>
      <c r="L26" s="404">
        <f t="shared" si="0"/>
        <v>0</v>
      </c>
      <c r="M26" s="846">
        <f t="shared" si="1"/>
        <v>6450</v>
      </c>
      <c r="N26" s="986">
        <v>40551</v>
      </c>
      <c r="O26" s="517"/>
      <c r="P26" s="516"/>
      <c r="Q26" s="171">
        <v>214</v>
      </c>
      <c r="R26" s="171"/>
      <c r="S26" s="171">
        <f t="shared" si="2"/>
        <v>38.75</v>
      </c>
      <c r="T26" s="131">
        <v>214</v>
      </c>
      <c r="U26" s="138">
        <f t="shared" si="7"/>
        <v>252.75</v>
      </c>
      <c r="V26" s="138">
        <f t="shared" si="4"/>
        <v>291.5</v>
      </c>
      <c r="W26" s="138">
        <f>+G26*0.05+V26</f>
        <v>330.25</v>
      </c>
      <c r="X26" s="155">
        <f t="shared" si="3"/>
        <v>369</v>
      </c>
    </row>
    <row r="27" spans="1:24" x14ac:dyDescent="0.25">
      <c r="A27" s="81" t="s">
        <v>293</v>
      </c>
      <c r="B27" s="81" t="s">
        <v>9</v>
      </c>
      <c r="C27" s="265">
        <v>38236</v>
      </c>
      <c r="D27" s="275">
        <v>38418</v>
      </c>
      <c r="E27" s="404">
        <v>3000</v>
      </c>
      <c r="F27" s="419"/>
      <c r="G27" s="406">
        <v>2358</v>
      </c>
      <c r="H27" s="263"/>
      <c r="I27" s="263">
        <v>9785</v>
      </c>
      <c r="J27" s="406"/>
      <c r="K27" s="420">
        <v>4566</v>
      </c>
      <c r="L27" s="404">
        <f t="shared" si="0"/>
        <v>0</v>
      </c>
      <c r="M27" s="846">
        <f t="shared" si="1"/>
        <v>16709</v>
      </c>
      <c r="N27" s="986">
        <v>38803</v>
      </c>
      <c r="O27" s="517"/>
      <c r="P27" s="516"/>
      <c r="Q27" s="171">
        <f>G27*0.05+R27+S27-300</f>
        <v>357.79999999999995</v>
      </c>
      <c r="R27" s="171">
        <v>422</v>
      </c>
      <c r="S27" s="171">
        <f t="shared" si="2"/>
        <v>117.9</v>
      </c>
      <c r="T27" s="131">
        <f>+G27*0.05+Q27</f>
        <v>475.69999999999993</v>
      </c>
      <c r="U27" s="138">
        <f t="shared" si="7"/>
        <v>593.59999999999991</v>
      </c>
      <c r="V27" s="138">
        <f t="shared" si="4"/>
        <v>711.49999999999989</v>
      </c>
      <c r="W27" s="138">
        <f>+G27*0.05+V27</f>
        <v>829.39999999999986</v>
      </c>
      <c r="X27" s="155">
        <f t="shared" si="3"/>
        <v>947.29999999999984</v>
      </c>
    </row>
    <row r="28" spans="1:24" x14ac:dyDescent="0.25">
      <c r="A28" s="81" t="s">
        <v>235</v>
      </c>
      <c r="B28" s="81" t="s">
        <v>152</v>
      </c>
      <c r="C28" s="265">
        <v>38394</v>
      </c>
      <c r="D28" s="275">
        <v>38576</v>
      </c>
      <c r="E28" s="442">
        <v>10000</v>
      </c>
      <c r="F28" s="423"/>
      <c r="G28" s="417">
        <v>7400</v>
      </c>
      <c r="H28" s="263"/>
      <c r="I28" s="263">
        <v>21570</v>
      </c>
      <c r="J28" s="417"/>
      <c r="K28" s="961">
        <v>12599</v>
      </c>
      <c r="L28" s="404">
        <f t="shared" si="0"/>
        <v>0</v>
      </c>
      <c r="M28" s="846">
        <f t="shared" si="1"/>
        <v>41569</v>
      </c>
      <c r="N28" s="986">
        <v>41085</v>
      </c>
      <c r="O28" s="517"/>
      <c r="P28" s="516"/>
      <c r="Q28" s="171">
        <f>G28*0.05+R28+S28</f>
        <v>6281</v>
      </c>
      <c r="R28" s="171">
        <v>5541</v>
      </c>
      <c r="S28" s="171">
        <f t="shared" si="2"/>
        <v>370</v>
      </c>
      <c r="T28" s="131">
        <f t="shared" ref="T28:T43" si="8">+G28*0.05+Q28</f>
        <v>6651</v>
      </c>
      <c r="U28" s="138">
        <f t="shared" si="7"/>
        <v>7021</v>
      </c>
      <c r="V28" s="138">
        <f t="shared" si="4"/>
        <v>7391</v>
      </c>
      <c r="W28" s="138">
        <f>+G28*0.05+V28</f>
        <v>7761</v>
      </c>
      <c r="X28" s="155">
        <f t="shared" si="3"/>
        <v>8131</v>
      </c>
    </row>
    <row r="29" spans="1:24" x14ac:dyDescent="0.25">
      <c r="A29" s="81" t="s">
        <v>297</v>
      </c>
      <c r="B29" s="81" t="s">
        <v>184</v>
      </c>
      <c r="C29" s="265">
        <v>38097</v>
      </c>
      <c r="D29" s="275">
        <v>38561</v>
      </c>
      <c r="E29" s="404">
        <v>10000</v>
      </c>
      <c r="F29" s="419"/>
      <c r="G29" s="419">
        <v>2202</v>
      </c>
      <c r="H29" s="256"/>
      <c r="I29" s="263">
        <v>1820</v>
      </c>
      <c r="J29" s="406"/>
      <c r="K29" s="420">
        <v>178</v>
      </c>
      <c r="L29" s="404">
        <f t="shared" si="0"/>
        <v>0</v>
      </c>
      <c r="M29" s="846">
        <f t="shared" si="1"/>
        <v>4200</v>
      </c>
      <c r="N29" s="986">
        <v>40952</v>
      </c>
      <c r="O29" s="517"/>
      <c r="P29" s="516"/>
      <c r="Q29" s="168">
        <f>G29*0.05+R29</f>
        <v>4796.1000000000004</v>
      </c>
      <c r="R29" s="167">
        <v>4686</v>
      </c>
      <c r="S29" s="163">
        <f>Q29-R29</f>
        <v>110.10000000000036</v>
      </c>
      <c r="T29" s="131">
        <f t="shared" si="8"/>
        <v>4906.2000000000007</v>
      </c>
      <c r="U29" s="138">
        <f t="shared" si="7"/>
        <v>5016.3000000000011</v>
      </c>
      <c r="V29" s="138">
        <f t="shared" si="4"/>
        <v>5126.4000000000015</v>
      </c>
      <c r="W29" s="139">
        <f>+G29*0.05+V29</f>
        <v>5236.5000000000018</v>
      </c>
      <c r="X29" s="131">
        <f t="shared" si="3"/>
        <v>5346.6000000000022</v>
      </c>
    </row>
    <row r="30" spans="1:24" x14ac:dyDescent="0.25">
      <c r="A30" s="81" t="s">
        <v>236</v>
      </c>
      <c r="B30" s="81" t="s">
        <v>11</v>
      </c>
      <c r="C30" s="265">
        <v>38386</v>
      </c>
      <c r="D30" s="275">
        <v>38568</v>
      </c>
      <c r="E30" s="442">
        <v>7000</v>
      </c>
      <c r="F30" s="423"/>
      <c r="G30" s="423">
        <v>5923</v>
      </c>
      <c r="H30" s="256"/>
      <c r="I30" s="263">
        <v>20371</v>
      </c>
      <c r="J30" s="417"/>
      <c r="K30" s="961">
        <v>1889</v>
      </c>
      <c r="L30" s="404">
        <f t="shared" si="0"/>
        <v>0</v>
      </c>
      <c r="M30" s="846">
        <f t="shared" si="1"/>
        <v>28183</v>
      </c>
      <c r="N30" s="1021">
        <v>40805</v>
      </c>
      <c r="O30" s="517"/>
      <c r="P30" s="516"/>
      <c r="Q30" s="168">
        <f>G30*0.05+R30</f>
        <v>57196.15</v>
      </c>
      <c r="R30" s="167">
        <v>56900</v>
      </c>
      <c r="S30" s="163">
        <f>Q30-R30</f>
        <v>296.15000000000146</v>
      </c>
      <c r="T30" s="131">
        <f t="shared" si="8"/>
        <v>57492.3</v>
      </c>
      <c r="U30" s="138">
        <f t="shared" si="7"/>
        <v>57788.450000000004</v>
      </c>
      <c r="V30" s="138">
        <f t="shared" si="4"/>
        <v>58084.600000000006</v>
      </c>
      <c r="W30" s="139">
        <f>+G30*0.05+V30-100</f>
        <v>58280.750000000007</v>
      </c>
      <c r="X30" s="131">
        <f t="shared" si="3"/>
        <v>58576.900000000009</v>
      </c>
    </row>
    <row r="31" spans="1:24" x14ac:dyDescent="0.25">
      <c r="A31" s="81" t="s">
        <v>643</v>
      </c>
      <c r="B31" s="81" t="s">
        <v>644</v>
      </c>
      <c r="C31" s="265">
        <v>38441</v>
      </c>
      <c r="D31" s="275">
        <v>38563</v>
      </c>
      <c r="E31" s="442">
        <v>5000</v>
      </c>
      <c r="F31" s="423"/>
      <c r="G31" s="423">
        <v>850</v>
      </c>
      <c r="H31" s="256"/>
      <c r="I31" s="263">
        <v>1607</v>
      </c>
      <c r="J31" s="417"/>
      <c r="K31" s="961">
        <v>3761</v>
      </c>
      <c r="L31" s="404">
        <f t="shared" si="0"/>
        <v>0</v>
      </c>
      <c r="M31" s="846">
        <f t="shared" si="1"/>
        <v>6218</v>
      </c>
      <c r="N31" s="1021">
        <v>41230</v>
      </c>
      <c r="O31" s="517"/>
      <c r="P31" s="516"/>
      <c r="Q31" s="168"/>
      <c r="R31" s="167"/>
      <c r="S31" s="163"/>
      <c r="T31" s="131"/>
      <c r="U31" s="138"/>
      <c r="V31" s="138"/>
      <c r="W31" s="139"/>
      <c r="X31" s="131"/>
    </row>
    <row r="32" spans="1:24" x14ac:dyDescent="0.25">
      <c r="A32" s="81" t="s">
        <v>1142</v>
      </c>
      <c r="B32" s="81" t="s">
        <v>750</v>
      </c>
      <c r="C32" s="265">
        <v>38301</v>
      </c>
      <c r="D32" s="275">
        <v>38452</v>
      </c>
      <c r="E32" s="442">
        <v>2000</v>
      </c>
      <c r="F32" s="423"/>
      <c r="G32" s="423">
        <v>645</v>
      </c>
      <c r="H32" s="256"/>
      <c r="I32" s="263">
        <v>1250</v>
      </c>
      <c r="J32" s="417"/>
      <c r="K32" s="961">
        <v>462</v>
      </c>
      <c r="L32" s="404">
        <f t="shared" si="0"/>
        <v>0</v>
      </c>
      <c r="M32" s="846">
        <f t="shared" si="1"/>
        <v>2357</v>
      </c>
      <c r="N32" s="1021">
        <v>40268</v>
      </c>
      <c r="O32" s="517"/>
      <c r="P32" s="516"/>
      <c r="Q32" s="168"/>
      <c r="R32" s="167"/>
      <c r="S32" s="163"/>
      <c r="T32" s="131"/>
      <c r="U32" s="138"/>
      <c r="V32" s="138"/>
      <c r="W32" s="139"/>
      <c r="X32" s="131"/>
    </row>
    <row r="33" spans="1:24" x14ac:dyDescent="0.25">
      <c r="A33" s="387" t="s">
        <v>240</v>
      </c>
      <c r="B33" s="81" t="s">
        <v>27</v>
      </c>
      <c r="C33" s="265">
        <v>38425</v>
      </c>
      <c r="D33" s="275">
        <v>38579</v>
      </c>
      <c r="E33" s="442">
        <v>14285</v>
      </c>
      <c r="F33" s="423"/>
      <c r="G33" s="423">
        <v>13313</v>
      </c>
      <c r="H33" s="256"/>
      <c r="I33" s="263">
        <v>19836</v>
      </c>
      <c r="J33" s="417"/>
      <c r="K33" s="961">
        <v>3422</v>
      </c>
      <c r="L33" s="404">
        <f t="shared" si="0"/>
        <v>0</v>
      </c>
      <c r="M33" s="846">
        <f t="shared" si="1"/>
        <v>36571</v>
      </c>
      <c r="N33" s="986">
        <v>40509</v>
      </c>
      <c r="O33" s="517"/>
      <c r="P33" s="516"/>
      <c r="Q33" s="168">
        <f>G33*0.05+R33</f>
        <v>1415.65</v>
      </c>
      <c r="R33" s="167">
        <v>750</v>
      </c>
      <c r="S33" s="163">
        <f>Q33-R33</f>
        <v>665.65000000000009</v>
      </c>
      <c r="T33" s="131">
        <f t="shared" si="8"/>
        <v>2081.3000000000002</v>
      </c>
      <c r="U33" s="138">
        <f t="shared" ref="U33:U41" si="9">G33*0.05+T33</f>
        <v>2746.9500000000003</v>
      </c>
      <c r="V33" s="138">
        <f>+G33*0.05+U33</f>
        <v>3412.6000000000004</v>
      </c>
      <c r="W33" s="139">
        <f t="shared" ref="W33:W41" si="10">+G33*0.05+V33</f>
        <v>4078.2500000000005</v>
      </c>
      <c r="X33" s="131">
        <f>G33*0.05+W33</f>
        <v>4743.9000000000005</v>
      </c>
    </row>
    <row r="34" spans="1:24" x14ac:dyDescent="0.25">
      <c r="A34" s="81" t="s">
        <v>241</v>
      </c>
      <c r="B34" s="81" t="s">
        <v>40</v>
      </c>
      <c r="C34" s="265">
        <v>38526</v>
      </c>
      <c r="D34" s="275">
        <v>38655</v>
      </c>
      <c r="E34" s="442">
        <v>3000</v>
      </c>
      <c r="F34" s="423"/>
      <c r="G34" s="423">
        <v>1950</v>
      </c>
      <c r="H34" s="256"/>
      <c r="I34" s="263">
        <v>9642.5</v>
      </c>
      <c r="J34" s="417"/>
      <c r="K34" s="961">
        <v>987.25</v>
      </c>
      <c r="L34" s="404">
        <f t="shared" si="0"/>
        <v>0</v>
      </c>
      <c r="M34" s="846">
        <f t="shared" si="1"/>
        <v>12579.75</v>
      </c>
      <c r="N34" s="986">
        <v>40863</v>
      </c>
      <c r="O34" s="517"/>
      <c r="P34" s="516"/>
      <c r="Q34" s="168">
        <f>G34*0.05+R34</f>
        <v>9097.5</v>
      </c>
      <c r="R34" s="167">
        <v>9000</v>
      </c>
      <c r="S34" s="163">
        <f>Q34-R34</f>
        <v>97.5</v>
      </c>
      <c r="T34" s="131">
        <f t="shared" si="8"/>
        <v>9195</v>
      </c>
      <c r="U34" s="138">
        <f t="shared" si="9"/>
        <v>9292.5</v>
      </c>
      <c r="V34" s="138">
        <f>+G34*0.05+U34</f>
        <v>9390</v>
      </c>
      <c r="W34" s="139">
        <f t="shared" si="10"/>
        <v>9487.5</v>
      </c>
      <c r="X34" s="131">
        <f>G34*0.05+W34</f>
        <v>9585</v>
      </c>
    </row>
    <row r="35" spans="1:24" x14ac:dyDescent="0.25">
      <c r="A35" s="81" t="s">
        <v>299</v>
      </c>
      <c r="B35" s="81" t="s">
        <v>17</v>
      </c>
      <c r="C35" s="265">
        <v>38265</v>
      </c>
      <c r="D35" s="275">
        <v>38448</v>
      </c>
      <c r="E35" s="404">
        <v>6000</v>
      </c>
      <c r="F35" s="419"/>
      <c r="G35" s="406">
        <v>2958</v>
      </c>
      <c r="H35" s="263"/>
      <c r="I35" s="263">
        <v>9441</v>
      </c>
      <c r="J35" s="406"/>
      <c r="K35" s="420">
        <v>1233</v>
      </c>
      <c r="L35" s="404">
        <f t="shared" si="0"/>
        <v>0</v>
      </c>
      <c r="M35" s="846">
        <f t="shared" si="1"/>
        <v>13632</v>
      </c>
      <c r="N35" s="986">
        <v>40513</v>
      </c>
      <c r="O35" s="517"/>
      <c r="P35" s="516"/>
      <c r="Q35" s="171">
        <f>G35*0.05+R35+S35</f>
        <v>12437.3</v>
      </c>
      <c r="R35" s="171">
        <v>12141.5</v>
      </c>
      <c r="S35" s="171">
        <f>G35*0.05</f>
        <v>147.9</v>
      </c>
      <c r="T35" s="131">
        <f t="shared" si="8"/>
        <v>12585.199999999999</v>
      </c>
      <c r="U35" s="138">
        <f t="shared" si="9"/>
        <v>12733.099999999999</v>
      </c>
      <c r="V35" s="138">
        <f>+G35*0.05+U35-700</f>
        <v>12180.999999999998</v>
      </c>
      <c r="W35" s="138">
        <f t="shared" si="10"/>
        <v>12328.899999999998</v>
      </c>
      <c r="X35" s="155">
        <f>G35*0.05+W35</f>
        <v>12476.799999999997</v>
      </c>
    </row>
    <row r="36" spans="1:24" x14ac:dyDescent="0.25">
      <c r="A36" s="81" t="s">
        <v>640</v>
      </c>
      <c r="B36" s="81" t="s">
        <v>641</v>
      </c>
      <c r="C36" s="265">
        <v>38576</v>
      </c>
      <c r="D36" s="275">
        <v>38668</v>
      </c>
      <c r="E36" s="404">
        <v>4000</v>
      </c>
      <c r="F36" s="419">
        <v>10</v>
      </c>
      <c r="G36" s="419">
        <v>7150</v>
      </c>
      <c r="H36" s="256">
        <v>10</v>
      </c>
      <c r="I36" s="263">
        <v>84</v>
      </c>
      <c r="J36" s="406"/>
      <c r="K36" s="420">
        <v>50</v>
      </c>
      <c r="L36" s="404">
        <f t="shared" si="0"/>
        <v>20</v>
      </c>
      <c r="M36" s="846">
        <f t="shared" si="1"/>
        <v>7284</v>
      </c>
      <c r="N36" s="986">
        <v>41338</v>
      </c>
      <c r="O36" s="758"/>
      <c r="P36" s="516"/>
      <c r="Q36" s="171"/>
      <c r="R36" s="716"/>
      <c r="S36" s="171"/>
      <c r="T36" s="131"/>
      <c r="U36" s="138"/>
      <c r="V36" s="138"/>
      <c r="W36" s="139"/>
      <c r="X36" s="155"/>
    </row>
    <row r="37" spans="1:24" x14ac:dyDescent="0.25">
      <c r="A37" s="81" t="s">
        <v>245</v>
      </c>
      <c r="B37" s="81" t="s">
        <v>9</v>
      </c>
      <c r="C37" s="265">
        <v>38407</v>
      </c>
      <c r="D37" s="275">
        <v>38594</v>
      </c>
      <c r="E37" s="442">
        <v>3000</v>
      </c>
      <c r="F37" s="423"/>
      <c r="G37" s="423">
        <v>2050</v>
      </c>
      <c r="H37" s="256"/>
      <c r="I37" s="263">
        <v>4176</v>
      </c>
      <c r="J37" s="417"/>
      <c r="K37" s="961">
        <v>1529</v>
      </c>
      <c r="L37" s="404">
        <f t="shared" si="0"/>
        <v>0</v>
      </c>
      <c r="M37" s="846">
        <f t="shared" si="1"/>
        <v>7755</v>
      </c>
      <c r="N37" s="986">
        <v>40366</v>
      </c>
      <c r="O37" s="517"/>
      <c r="P37" s="516"/>
      <c r="Q37" s="168">
        <f>G37*0.05+R37</f>
        <v>1507.5</v>
      </c>
      <c r="R37" s="167">
        <v>1405</v>
      </c>
      <c r="S37" s="163">
        <f t="shared" ref="S37:S58" si="11">Q37-R37</f>
        <v>102.5</v>
      </c>
      <c r="T37" s="131">
        <f t="shared" si="8"/>
        <v>1610</v>
      </c>
      <c r="U37" s="138">
        <f t="shared" si="9"/>
        <v>1712.5</v>
      </c>
      <c r="V37" s="138">
        <f>+G37*0.05+U37</f>
        <v>1815</v>
      </c>
      <c r="W37" s="139">
        <f t="shared" si="10"/>
        <v>1917.5</v>
      </c>
      <c r="X37" s="131">
        <f t="shared" ref="X37:X49" si="12">G37*0.05+W37</f>
        <v>2020</v>
      </c>
    </row>
    <row r="38" spans="1:24" x14ac:dyDescent="0.25">
      <c r="A38" s="387" t="s">
        <v>249</v>
      </c>
      <c r="B38" s="81" t="s">
        <v>13</v>
      </c>
      <c r="C38" s="265">
        <v>38499</v>
      </c>
      <c r="D38" s="275">
        <v>38592</v>
      </c>
      <c r="E38" s="442">
        <v>6000</v>
      </c>
      <c r="F38" s="423"/>
      <c r="G38" s="423">
        <v>5473</v>
      </c>
      <c r="H38" s="256"/>
      <c r="I38" s="263">
        <v>11324</v>
      </c>
      <c r="J38" s="417"/>
      <c r="K38" s="961">
        <v>5056</v>
      </c>
      <c r="L38" s="404">
        <f t="shared" si="0"/>
        <v>0</v>
      </c>
      <c r="M38" s="846">
        <f t="shared" si="1"/>
        <v>21853</v>
      </c>
      <c r="N38" s="986">
        <v>40512</v>
      </c>
      <c r="O38" s="517"/>
      <c r="P38" s="516"/>
      <c r="Q38" s="168">
        <v>4883</v>
      </c>
      <c r="R38" s="167">
        <v>8447</v>
      </c>
      <c r="S38" s="163">
        <f t="shared" si="11"/>
        <v>-3564</v>
      </c>
      <c r="T38" s="131">
        <f t="shared" si="8"/>
        <v>5156.6499999999996</v>
      </c>
      <c r="U38" s="138">
        <f t="shared" si="9"/>
        <v>5430.2999999999993</v>
      </c>
      <c r="V38" s="138">
        <f>+G38*0.05+U38</f>
        <v>5703.9499999999989</v>
      </c>
      <c r="W38" s="139">
        <f t="shared" si="10"/>
        <v>5977.5999999999985</v>
      </c>
      <c r="X38" s="131">
        <f t="shared" si="12"/>
        <v>6251.2499999999982</v>
      </c>
    </row>
    <row r="39" spans="1:24" x14ac:dyDescent="0.25">
      <c r="A39" s="387" t="s">
        <v>251</v>
      </c>
      <c r="B39" s="81" t="s">
        <v>179</v>
      </c>
      <c r="C39" s="265">
        <v>38426</v>
      </c>
      <c r="D39" s="275">
        <v>38610</v>
      </c>
      <c r="E39" s="442">
        <v>3000</v>
      </c>
      <c r="F39" s="423"/>
      <c r="G39" s="423">
        <v>2000</v>
      </c>
      <c r="H39" s="256"/>
      <c r="I39" s="263">
        <v>11714</v>
      </c>
      <c r="J39" s="417"/>
      <c r="K39" s="961">
        <v>1144</v>
      </c>
      <c r="L39" s="404">
        <f t="shared" ref="L39:L58" si="13">+F39+H39+J39</f>
        <v>0</v>
      </c>
      <c r="M39" s="846">
        <f t="shared" ref="M39:M58" si="14">+G39+I39+K39</f>
        <v>14858</v>
      </c>
      <c r="N39" s="986">
        <v>41148</v>
      </c>
      <c r="O39" s="517"/>
      <c r="P39" s="516"/>
      <c r="Q39" s="168">
        <f>G39*0.05+R39</f>
        <v>11414</v>
      </c>
      <c r="R39" s="167">
        <v>11314</v>
      </c>
      <c r="S39" s="163">
        <f t="shared" si="11"/>
        <v>100</v>
      </c>
      <c r="T39" s="131">
        <f t="shared" si="8"/>
        <v>11514</v>
      </c>
      <c r="U39" s="138">
        <f t="shared" si="9"/>
        <v>11614</v>
      </c>
      <c r="V39" s="138">
        <f>+G39*0.05+U39</f>
        <v>11714</v>
      </c>
      <c r="W39" s="139">
        <f t="shared" si="10"/>
        <v>11814</v>
      </c>
      <c r="X39" s="131">
        <f t="shared" si="12"/>
        <v>11914</v>
      </c>
    </row>
    <row r="40" spans="1:24" x14ac:dyDescent="0.25">
      <c r="A40" s="387" t="s">
        <v>252</v>
      </c>
      <c r="B40" s="81" t="s">
        <v>1145</v>
      </c>
      <c r="C40" s="265">
        <v>38415</v>
      </c>
      <c r="D40" s="275">
        <v>38568</v>
      </c>
      <c r="E40" s="442">
        <v>3000</v>
      </c>
      <c r="F40" s="423"/>
      <c r="G40" s="423">
        <v>2100</v>
      </c>
      <c r="H40" s="256"/>
      <c r="I40" s="263">
        <v>8966</v>
      </c>
      <c r="J40" s="417"/>
      <c r="K40" s="961">
        <v>2535</v>
      </c>
      <c r="L40" s="404">
        <f t="shared" si="13"/>
        <v>0</v>
      </c>
      <c r="M40" s="846">
        <f t="shared" si="14"/>
        <v>13601</v>
      </c>
      <c r="N40" s="986">
        <v>40317</v>
      </c>
      <c r="O40" s="517"/>
      <c r="P40" s="516"/>
      <c r="Q40" s="168"/>
      <c r="R40" s="167"/>
      <c r="S40" s="163"/>
      <c r="T40" s="131"/>
      <c r="U40" s="138"/>
      <c r="V40" s="138"/>
      <c r="W40" s="139"/>
      <c r="X40" s="131"/>
    </row>
    <row r="41" spans="1:24" x14ac:dyDescent="0.25">
      <c r="A41" s="81" t="s">
        <v>253</v>
      </c>
      <c r="B41" s="279" t="s">
        <v>158</v>
      </c>
      <c r="C41" s="265">
        <v>38374</v>
      </c>
      <c r="D41" s="275">
        <v>38527</v>
      </c>
      <c r="E41" s="442">
        <v>5000</v>
      </c>
      <c r="F41" s="423"/>
      <c r="G41" s="423">
        <v>184</v>
      </c>
      <c r="H41" s="256"/>
      <c r="I41" s="263">
        <v>1124</v>
      </c>
      <c r="J41" s="417"/>
      <c r="K41" s="961">
        <f>1042-150</f>
        <v>892</v>
      </c>
      <c r="L41" s="404">
        <f t="shared" si="13"/>
        <v>0</v>
      </c>
      <c r="M41" s="846">
        <f t="shared" si="14"/>
        <v>2200</v>
      </c>
      <c r="N41" s="986">
        <v>40749</v>
      </c>
      <c r="O41" s="517"/>
      <c r="P41" s="516"/>
      <c r="Q41" s="168">
        <f>G41*0.05+R41</f>
        <v>27779.200000000001</v>
      </c>
      <c r="R41" s="167">
        <v>27770</v>
      </c>
      <c r="S41" s="163">
        <f t="shared" si="11"/>
        <v>9.2000000000007276</v>
      </c>
      <c r="T41" s="131">
        <f t="shared" si="8"/>
        <v>27788.400000000001</v>
      </c>
      <c r="U41" s="138">
        <f t="shared" si="9"/>
        <v>27797.600000000002</v>
      </c>
      <c r="V41" s="138">
        <f>+G41*0.05+U41</f>
        <v>27806.800000000003</v>
      </c>
      <c r="W41" s="139">
        <f t="shared" si="10"/>
        <v>27816.000000000004</v>
      </c>
      <c r="X41" s="131">
        <f t="shared" si="12"/>
        <v>27825.200000000004</v>
      </c>
    </row>
    <row r="42" spans="1:24" x14ac:dyDescent="0.25">
      <c r="A42" s="556" t="s">
        <v>306</v>
      </c>
      <c r="B42" s="556" t="s">
        <v>13</v>
      </c>
      <c r="C42" s="557">
        <v>38222</v>
      </c>
      <c r="D42" s="558">
        <v>38383</v>
      </c>
      <c r="E42" s="865">
        <v>5000</v>
      </c>
      <c r="F42" s="887"/>
      <c r="G42" s="656">
        <v>2880</v>
      </c>
      <c r="H42" s="497"/>
      <c r="I42" s="497">
        <v>10671</v>
      </c>
      <c r="J42" s="656"/>
      <c r="K42" s="864">
        <v>2935</v>
      </c>
      <c r="L42" s="865">
        <f t="shared" si="13"/>
        <v>0</v>
      </c>
      <c r="M42" s="966">
        <f t="shared" si="14"/>
        <v>16486</v>
      </c>
      <c r="N42" s="1031">
        <v>41288</v>
      </c>
      <c r="O42" s="517"/>
      <c r="P42" s="516"/>
      <c r="Q42" s="168"/>
      <c r="R42" s="167"/>
      <c r="S42" s="163"/>
      <c r="T42" s="131"/>
      <c r="U42" s="138"/>
      <c r="V42" s="138"/>
      <c r="W42" s="139"/>
      <c r="X42" s="131"/>
    </row>
    <row r="43" spans="1:24" x14ac:dyDescent="0.25">
      <c r="A43" s="81" t="s">
        <v>255</v>
      </c>
      <c r="B43" s="81" t="s">
        <v>13</v>
      </c>
      <c r="C43" s="265">
        <v>38546</v>
      </c>
      <c r="D43" s="275">
        <v>38699</v>
      </c>
      <c r="E43" s="442">
        <v>4000</v>
      </c>
      <c r="F43" s="423"/>
      <c r="G43" s="423">
        <v>3350</v>
      </c>
      <c r="H43" s="256"/>
      <c r="I43" s="263">
        <v>10272</v>
      </c>
      <c r="J43" s="417"/>
      <c r="K43" s="961">
        <f>2284-50</f>
        <v>2234</v>
      </c>
      <c r="L43" s="404">
        <f t="shared" si="13"/>
        <v>0</v>
      </c>
      <c r="M43" s="846">
        <f t="shared" si="14"/>
        <v>15856</v>
      </c>
      <c r="N43" s="986">
        <v>40602</v>
      </c>
      <c r="O43" s="517"/>
      <c r="P43" s="516"/>
      <c r="Q43" s="168">
        <f>G43*0.05+R43</f>
        <v>3013.5</v>
      </c>
      <c r="R43" s="167">
        <v>2846</v>
      </c>
      <c r="S43" s="163">
        <f t="shared" si="11"/>
        <v>167.5</v>
      </c>
      <c r="T43" s="131">
        <f t="shared" si="8"/>
        <v>3181</v>
      </c>
      <c r="U43" s="138">
        <f>G43*0.05+T43</f>
        <v>3348.5</v>
      </c>
      <c r="V43" s="138">
        <f>+G43*0.05+U43-50</f>
        <v>3466</v>
      </c>
      <c r="W43" s="139">
        <f>+G43*0.05+V43</f>
        <v>3633.5</v>
      </c>
      <c r="X43" s="131">
        <f t="shared" si="12"/>
        <v>3801</v>
      </c>
    </row>
    <row r="44" spans="1:24" x14ac:dyDescent="0.25">
      <c r="A44" s="81" t="s">
        <v>308</v>
      </c>
      <c r="B44" s="81" t="s">
        <v>13</v>
      </c>
      <c r="C44" s="265">
        <v>38229</v>
      </c>
      <c r="D44" s="275">
        <v>38603</v>
      </c>
      <c r="E44" s="404">
        <v>7000</v>
      </c>
      <c r="F44" s="419"/>
      <c r="G44" s="406">
        <v>6523</v>
      </c>
      <c r="H44" s="263"/>
      <c r="I44" s="263">
        <v>12855</v>
      </c>
      <c r="J44" s="406"/>
      <c r="K44" s="420"/>
      <c r="L44" s="404">
        <f t="shared" si="13"/>
        <v>0</v>
      </c>
      <c r="M44" s="846">
        <f t="shared" si="14"/>
        <v>19378</v>
      </c>
      <c r="N44" s="986">
        <v>41167</v>
      </c>
      <c r="O44" s="516"/>
      <c r="P44" s="516"/>
      <c r="Q44" s="171">
        <v>12114</v>
      </c>
      <c r="R44" s="171">
        <f>12264+334</f>
        <v>12598</v>
      </c>
      <c r="S44" s="171">
        <f>G44*0.05</f>
        <v>326.15000000000003</v>
      </c>
      <c r="T44" s="131">
        <v>12114</v>
      </c>
      <c r="U44" s="138">
        <f>G44*0.05+T44-15</f>
        <v>12425.15</v>
      </c>
      <c r="V44" s="138">
        <v>12079</v>
      </c>
      <c r="W44" s="138">
        <f>+G44*0.05+V44</f>
        <v>12405.15</v>
      </c>
      <c r="X44" s="131">
        <f t="shared" si="12"/>
        <v>12731.3</v>
      </c>
    </row>
    <row r="45" spans="1:24" x14ac:dyDescent="0.25">
      <c r="A45" s="81" t="s">
        <v>256</v>
      </c>
      <c r="B45" s="81" t="s">
        <v>12</v>
      </c>
      <c r="C45" s="265">
        <v>38482</v>
      </c>
      <c r="D45" s="275">
        <v>38575</v>
      </c>
      <c r="E45" s="442">
        <v>3500</v>
      </c>
      <c r="F45" s="423">
        <v>10</v>
      </c>
      <c r="G45" s="423">
        <v>1955</v>
      </c>
      <c r="H45" s="256">
        <v>20</v>
      </c>
      <c r="I45" s="263">
        <v>5647</v>
      </c>
      <c r="J45" s="417">
        <v>20</v>
      </c>
      <c r="K45" s="961">
        <v>1660</v>
      </c>
      <c r="L45" s="404">
        <f t="shared" si="13"/>
        <v>50</v>
      </c>
      <c r="M45" s="846">
        <f t="shared" si="14"/>
        <v>9262</v>
      </c>
      <c r="N45" s="986">
        <v>41435</v>
      </c>
      <c r="O45" s="517"/>
      <c r="P45" s="516"/>
      <c r="Q45" s="168">
        <v>2022.5</v>
      </c>
      <c r="R45" s="167">
        <v>37958.5</v>
      </c>
      <c r="S45" s="163">
        <f t="shared" si="11"/>
        <v>-35936</v>
      </c>
      <c r="T45" s="131">
        <v>2022.5</v>
      </c>
      <c r="U45" s="138">
        <v>1902</v>
      </c>
      <c r="V45" s="138">
        <v>1847</v>
      </c>
      <c r="W45" s="139">
        <f>+G45*0.05+V45</f>
        <v>1944.75</v>
      </c>
      <c r="X45" s="131">
        <f t="shared" si="12"/>
        <v>2042.5</v>
      </c>
    </row>
    <row r="46" spans="1:24" x14ac:dyDescent="0.25">
      <c r="A46" s="81" t="s">
        <v>637</v>
      </c>
      <c r="B46" s="81" t="s">
        <v>28</v>
      </c>
      <c r="C46" s="265">
        <v>38391</v>
      </c>
      <c r="D46" s="275">
        <v>38579</v>
      </c>
      <c r="E46" s="442">
        <v>3000</v>
      </c>
      <c r="F46" s="423"/>
      <c r="G46" s="423">
        <v>2410</v>
      </c>
      <c r="H46" s="256"/>
      <c r="I46" s="263">
        <v>11516</v>
      </c>
      <c r="J46" s="417"/>
      <c r="K46" s="961">
        <v>527</v>
      </c>
      <c r="L46" s="404">
        <f t="shared" si="13"/>
        <v>0</v>
      </c>
      <c r="M46" s="846">
        <f t="shared" si="14"/>
        <v>14453</v>
      </c>
      <c r="N46" s="986">
        <v>41071</v>
      </c>
      <c r="O46" s="517"/>
      <c r="P46" s="516"/>
      <c r="Q46" s="168">
        <v>11324</v>
      </c>
      <c r="R46" s="167">
        <v>11369</v>
      </c>
      <c r="S46" s="163">
        <f t="shared" si="11"/>
        <v>-45</v>
      </c>
      <c r="T46" s="131">
        <f>+G46*0.05+Q46</f>
        <v>11444.5</v>
      </c>
      <c r="U46" s="138">
        <f>G46*0.05+T46</f>
        <v>11565</v>
      </c>
      <c r="V46" s="138">
        <v>11324</v>
      </c>
      <c r="W46" s="139">
        <f>+G46*0.05+V46</f>
        <v>11444.5</v>
      </c>
      <c r="X46" s="131">
        <f t="shared" si="12"/>
        <v>11565</v>
      </c>
    </row>
    <row r="47" spans="1:24" x14ac:dyDescent="0.25">
      <c r="A47" s="81" t="s">
        <v>310</v>
      </c>
      <c r="B47" s="81" t="s">
        <v>13</v>
      </c>
      <c r="C47" s="265">
        <v>38189</v>
      </c>
      <c r="D47" s="275">
        <v>38383</v>
      </c>
      <c r="E47" s="404">
        <v>5000</v>
      </c>
      <c r="F47" s="419"/>
      <c r="G47" s="419">
        <v>1270</v>
      </c>
      <c r="H47" s="256"/>
      <c r="I47" s="263">
        <v>12082</v>
      </c>
      <c r="J47" s="406"/>
      <c r="K47" s="420">
        <v>769</v>
      </c>
      <c r="L47" s="404">
        <f t="shared" si="13"/>
        <v>0</v>
      </c>
      <c r="M47" s="846">
        <f t="shared" si="14"/>
        <v>14121</v>
      </c>
      <c r="N47" s="986">
        <v>40984</v>
      </c>
      <c r="O47" s="517"/>
      <c r="P47" s="516"/>
      <c r="Q47" s="168">
        <f>G47*0.05+R47</f>
        <v>5448.5</v>
      </c>
      <c r="R47" s="167">
        <v>5385</v>
      </c>
      <c r="S47" s="163">
        <f t="shared" si="11"/>
        <v>63.5</v>
      </c>
      <c r="T47" s="131">
        <f>+G47*0.05+Q47</f>
        <v>5512</v>
      </c>
      <c r="U47" s="138">
        <f>G47*0.05+T47</f>
        <v>5575.5</v>
      </c>
      <c r="V47" s="138">
        <f>+G47*0.05+U47</f>
        <v>5639</v>
      </c>
      <c r="W47" s="139">
        <f>+G47*0.05+V47</f>
        <v>5702.5</v>
      </c>
      <c r="X47" s="131">
        <f t="shared" si="12"/>
        <v>5766</v>
      </c>
    </row>
    <row r="48" spans="1:24" x14ac:dyDescent="0.25">
      <c r="A48" s="659" t="s">
        <v>259</v>
      </c>
      <c r="B48" s="556" t="s">
        <v>260</v>
      </c>
      <c r="C48" s="557">
        <v>38580</v>
      </c>
      <c r="D48" s="558">
        <v>38706</v>
      </c>
      <c r="E48" s="682">
        <v>3000</v>
      </c>
      <c r="F48" s="863"/>
      <c r="G48" s="863">
        <v>666</v>
      </c>
      <c r="H48" s="853"/>
      <c r="I48" s="497">
        <v>740</v>
      </c>
      <c r="J48" s="655"/>
      <c r="K48" s="910">
        <v>710</v>
      </c>
      <c r="L48" s="865">
        <f t="shared" si="13"/>
        <v>0</v>
      </c>
      <c r="M48" s="966">
        <f t="shared" si="14"/>
        <v>2116</v>
      </c>
      <c r="N48" s="1031">
        <v>41027</v>
      </c>
      <c r="O48" s="517"/>
      <c r="P48" s="516"/>
      <c r="Q48" s="168">
        <f>G48*0.05+R48</f>
        <v>9570.2999999999993</v>
      </c>
      <c r="R48" s="167">
        <v>9537</v>
      </c>
      <c r="S48" s="163">
        <f t="shared" si="11"/>
        <v>33.299999999999272</v>
      </c>
      <c r="T48" s="131">
        <f>+G48*0.05+Q48</f>
        <v>9603.5999999999985</v>
      </c>
      <c r="U48" s="138">
        <f t="shared" ref="U48:U54" si="15">G48*0.05+T48</f>
        <v>9636.8999999999978</v>
      </c>
      <c r="V48" s="138">
        <f t="shared" ref="V48:V54" si="16">+G48*0.05+U48</f>
        <v>9670.1999999999971</v>
      </c>
      <c r="W48" s="139">
        <f>+G48*0.05+V48-50</f>
        <v>9653.4999999999964</v>
      </c>
      <c r="X48" s="131">
        <f t="shared" si="12"/>
        <v>9686.7999999999956</v>
      </c>
    </row>
    <row r="49" spans="1:24" x14ac:dyDescent="0.25">
      <c r="A49" s="387" t="s">
        <v>312</v>
      </c>
      <c r="B49" s="387" t="s">
        <v>22</v>
      </c>
      <c r="C49" s="409">
        <v>38194</v>
      </c>
      <c r="D49" s="410">
        <v>38496</v>
      </c>
      <c r="E49" s="404">
        <v>6000</v>
      </c>
      <c r="F49" s="419"/>
      <c r="G49" s="419">
        <v>4500</v>
      </c>
      <c r="H49" s="256"/>
      <c r="I49" s="263">
        <v>8795</v>
      </c>
      <c r="J49" s="406"/>
      <c r="K49" s="420">
        <v>2410</v>
      </c>
      <c r="L49" s="404">
        <f t="shared" si="13"/>
        <v>0</v>
      </c>
      <c r="M49" s="846">
        <f t="shared" si="14"/>
        <v>15705</v>
      </c>
      <c r="N49" s="1021">
        <v>41289</v>
      </c>
      <c r="O49" s="517"/>
      <c r="P49" s="516"/>
      <c r="Q49" s="168">
        <f>G49*0.05+R49</f>
        <v>2931</v>
      </c>
      <c r="R49" s="167">
        <v>2706</v>
      </c>
      <c r="S49" s="163">
        <f t="shared" si="11"/>
        <v>225</v>
      </c>
      <c r="T49" s="131">
        <f>+G49*0.05+Q49</f>
        <v>3156</v>
      </c>
      <c r="U49" s="138">
        <f t="shared" si="15"/>
        <v>3381</v>
      </c>
      <c r="V49" s="138">
        <f t="shared" si="16"/>
        <v>3606</v>
      </c>
      <c r="W49" s="139">
        <f>+G49*0.05+V49-200</f>
        <v>3631</v>
      </c>
      <c r="X49" s="131">
        <f t="shared" si="12"/>
        <v>3856</v>
      </c>
    </row>
    <row r="50" spans="1:24" x14ac:dyDescent="0.25">
      <c r="A50" s="81" t="s">
        <v>686</v>
      </c>
      <c r="B50" s="81" t="s">
        <v>28</v>
      </c>
      <c r="C50" s="265">
        <v>38447</v>
      </c>
      <c r="D50" s="275">
        <v>38627</v>
      </c>
      <c r="E50" s="404">
        <v>10000</v>
      </c>
      <c r="F50" s="419"/>
      <c r="G50" s="419">
        <v>7560</v>
      </c>
      <c r="H50" s="256"/>
      <c r="I50" s="263">
        <v>4210</v>
      </c>
      <c r="J50" s="406"/>
      <c r="K50" s="420">
        <v>113</v>
      </c>
      <c r="L50" s="404">
        <f t="shared" si="13"/>
        <v>0</v>
      </c>
      <c r="M50" s="846">
        <f t="shared" si="14"/>
        <v>11883</v>
      </c>
      <c r="N50" s="986">
        <v>41096</v>
      </c>
      <c r="O50" s="517"/>
      <c r="P50" s="516"/>
      <c r="Q50" s="168">
        <f>G50*0.05+R50</f>
        <v>7116</v>
      </c>
      <c r="R50" s="167">
        <v>6738</v>
      </c>
      <c r="S50" s="163">
        <f t="shared" si="11"/>
        <v>378</v>
      </c>
      <c r="T50" s="131">
        <f>+G50*0.05+Q50</f>
        <v>7494</v>
      </c>
      <c r="U50" s="138">
        <f t="shared" si="15"/>
        <v>7872</v>
      </c>
      <c r="V50" s="138">
        <f t="shared" si="16"/>
        <v>8250</v>
      </c>
      <c r="W50" s="139">
        <f>+G50*0.05+V50</f>
        <v>8628</v>
      </c>
      <c r="X50" s="131">
        <f t="shared" ref="X50:X58" si="17">G50*0.05+W50</f>
        <v>9006</v>
      </c>
    </row>
    <row r="51" spans="1:24" x14ac:dyDescent="0.25">
      <c r="A51" s="264" t="s">
        <v>267</v>
      </c>
      <c r="B51" s="81" t="s">
        <v>11</v>
      </c>
      <c r="C51" s="265">
        <v>38467</v>
      </c>
      <c r="D51" s="275">
        <v>38656</v>
      </c>
      <c r="E51" s="442">
        <v>5000</v>
      </c>
      <c r="F51" s="423"/>
      <c r="G51" s="417">
        <v>1938</v>
      </c>
      <c r="H51" s="263"/>
      <c r="I51" s="263">
        <v>628</v>
      </c>
      <c r="J51" s="417"/>
      <c r="K51" s="961">
        <v>98</v>
      </c>
      <c r="L51" s="404">
        <f t="shared" si="13"/>
        <v>0</v>
      </c>
      <c r="M51" s="967">
        <f t="shared" si="14"/>
        <v>2664</v>
      </c>
      <c r="N51" s="992">
        <v>41258</v>
      </c>
      <c r="O51" s="517"/>
      <c r="P51" s="516"/>
      <c r="Q51" s="168"/>
      <c r="R51" s="167"/>
      <c r="S51" s="163"/>
      <c r="T51" s="131"/>
      <c r="U51" s="138"/>
      <c r="V51" s="138"/>
      <c r="W51" s="139"/>
      <c r="X51" s="131"/>
    </row>
    <row r="52" spans="1:24" x14ac:dyDescent="0.25">
      <c r="A52" s="960" t="s">
        <v>268</v>
      </c>
      <c r="B52" s="81" t="s">
        <v>1150</v>
      </c>
      <c r="C52" s="265">
        <v>38548</v>
      </c>
      <c r="D52" s="275">
        <v>38641</v>
      </c>
      <c r="E52" s="442">
        <v>2000</v>
      </c>
      <c r="F52" s="423"/>
      <c r="G52" s="423">
        <v>1070</v>
      </c>
      <c r="H52" s="256"/>
      <c r="I52" s="263">
        <v>11080</v>
      </c>
      <c r="J52" s="417"/>
      <c r="K52" s="961">
        <v>1777</v>
      </c>
      <c r="L52" s="404">
        <f t="shared" si="13"/>
        <v>0</v>
      </c>
      <c r="M52" s="967">
        <f t="shared" si="14"/>
        <v>13927</v>
      </c>
      <c r="N52" s="992">
        <v>41050</v>
      </c>
      <c r="O52" s="517"/>
      <c r="P52" s="516"/>
      <c r="Q52" s="168"/>
      <c r="R52" s="167"/>
      <c r="S52" s="163"/>
      <c r="T52" s="131"/>
      <c r="U52" s="138"/>
      <c r="V52" s="138"/>
      <c r="W52" s="139"/>
      <c r="X52" s="131"/>
    </row>
    <row r="53" spans="1:24" x14ac:dyDescent="0.25">
      <c r="A53" s="960" t="s">
        <v>271</v>
      </c>
      <c r="B53" s="81" t="s">
        <v>1151</v>
      </c>
      <c r="C53" s="265">
        <v>38461</v>
      </c>
      <c r="D53" s="275">
        <v>38645</v>
      </c>
      <c r="E53" s="442">
        <v>5000</v>
      </c>
      <c r="F53" s="423"/>
      <c r="G53" s="423">
        <v>1680</v>
      </c>
      <c r="H53" s="256"/>
      <c r="I53" s="263">
        <v>4784</v>
      </c>
      <c r="J53" s="417"/>
      <c r="K53" s="961">
        <v>2752</v>
      </c>
      <c r="L53" s="404">
        <f t="shared" si="13"/>
        <v>0</v>
      </c>
      <c r="M53" s="967">
        <f t="shared" si="14"/>
        <v>9216</v>
      </c>
      <c r="N53" s="992">
        <v>38598</v>
      </c>
      <c r="O53" s="517"/>
      <c r="P53" s="516"/>
      <c r="Q53" s="168"/>
      <c r="R53" s="167"/>
      <c r="S53" s="163"/>
      <c r="T53" s="131"/>
      <c r="U53" s="138"/>
      <c r="V53" s="138"/>
      <c r="W53" s="139"/>
      <c r="X53" s="131"/>
    </row>
    <row r="54" spans="1:24" x14ac:dyDescent="0.25">
      <c r="A54" s="81" t="s">
        <v>317</v>
      </c>
      <c r="B54" s="81" t="s">
        <v>11</v>
      </c>
      <c r="C54" s="265">
        <v>38247</v>
      </c>
      <c r="D54" s="275">
        <v>38610</v>
      </c>
      <c r="E54" s="404">
        <v>10000</v>
      </c>
      <c r="F54" s="419">
        <v>100</v>
      </c>
      <c r="G54" s="419">
        <v>9480</v>
      </c>
      <c r="H54" s="256">
        <v>100</v>
      </c>
      <c r="I54" s="263">
        <v>50896</v>
      </c>
      <c r="J54" s="406"/>
      <c r="K54" s="420">
        <v>7542</v>
      </c>
      <c r="L54" s="404">
        <f t="shared" si="13"/>
        <v>200</v>
      </c>
      <c r="M54" s="846">
        <f t="shared" si="14"/>
        <v>67918</v>
      </c>
      <c r="N54" s="986">
        <v>41444</v>
      </c>
      <c r="O54" s="517"/>
      <c r="P54" s="516"/>
      <c r="Q54" s="168">
        <f>G54*0.05+R54</f>
        <v>1020474</v>
      </c>
      <c r="R54" s="167">
        <v>1020000</v>
      </c>
      <c r="S54" s="163">
        <f t="shared" si="11"/>
        <v>474</v>
      </c>
      <c r="T54" s="131">
        <f>+G54*0.05+Q54</f>
        <v>1020948</v>
      </c>
      <c r="U54" s="138">
        <f t="shared" si="15"/>
        <v>1021422</v>
      </c>
      <c r="V54" s="138">
        <f t="shared" si="16"/>
        <v>1021896</v>
      </c>
      <c r="W54" s="139">
        <f>+G54*0.05+V54</f>
        <v>1022370</v>
      </c>
      <c r="X54" s="131">
        <f t="shared" si="17"/>
        <v>1022844</v>
      </c>
    </row>
    <row r="55" spans="1:24" x14ac:dyDescent="0.25">
      <c r="A55" s="81" t="s">
        <v>318</v>
      </c>
      <c r="B55" s="81" t="s">
        <v>9</v>
      </c>
      <c r="C55" s="265">
        <v>38226</v>
      </c>
      <c r="D55" s="275">
        <v>38411</v>
      </c>
      <c r="E55" s="404">
        <v>10000</v>
      </c>
      <c r="F55" s="888"/>
      <c r="G55" s="419">
        <v>4081</v>
      </c>
      <c r="H55" s="614"/>
      <c r="I55" s="263">
        <v>17710</v>
      </c>
      <c r="J55" s="561"/>
      <c r="K55" s="420">
        <v>3621</v>
      </c>
      <c r="L55" s="404">
        <f t="shared" si="13"/>
        <v>0</v>
      </c>
      <c r="M55" s="846">
        <f t="shared" si="14"/>
        <v>25412</v>
      </c>
      <c r="N55" s="986">
        <v>41320</v>
      </c>
      <c r="O55" s="517"/>
      <c r="P55" s="516"/>
      <c r="Q55" s="168">
        <v>7855</v>
      </c>
      <c r="R55" s="167">
        <v>7915</v>
      </c>
      <c r="S55" s="163">
        <f t="shared" si="11"/>
        <v>-60</v>
      </c>
      <c r="T55" s="131">
        <v>7855</v>
      </c>
      <c r="U55" s="138">
        <v>7785</v>
      </c>
      <c r="V55" s="138">
        <v>7755</v>
      </c>
      <c r="W55" s="139">
        <f>+G55*0.05+V55-70</f>
        <v>7889.05</v>
      </c>
      <c r="X55" s="131">
        <f t="shared" si="17"/>
        <v>8093.1</v>
      </c>
    </row>
    <row r="56" spans="1:24" x14ac:dyDescent="0.25">
      <c r="A56" s="81" t="s">
        <v>320</v>
      </c>
      <c r="B56" s="81" t="s">
        <v>17</v>
      </c>
      <c r="C56" s="265">
        <v>38202</v>
      </c>
      <c r="D56" s="275">
        <v>38383</v>
      </c>
      <c r="E56" s="404">
        <v>3000</v>
      </c>
      <c r="F56" s="419"/>
      <c r="G56" s="419">
        <v>2750</v>
      </c>
      <c r="H56" s="256"/>
      <c r="I56" s="263">
        <f>G56*0.05+X56</f>
        <v>1930</v>
      </c>
      <c r="J56" s="406"/>
      <c r="K56" s="420">
        <v>548</v>
      </c>
      <c r="L56" s="404">
        <f t="shared" si="13"/>
        <v>0</v>
      </c>
      <c r="M56" s="846">
        <f t="shared" si="14"/>
        <v>5228</v>
      </c>
      <c r="N56" s="986">
        <v>39520</v>
      </c>
      <c r="O56" s="517"/>
      <c r="P56" s="516"/>
      <c r="Q56" s="168">
        <v>1580</v>
      </c>
      <c r="R56" s="167">
        <v>3922</v>
      </c>
      <c r="S56" s="163">
        <f t="shared" si="11"/>
        <v>-2342</v>
      </c>
      <c r="T56" s="131">
        <v>1580</v>
      </c>
      <c r="U56" s="138">
        <v>1380</v>
      </c>
      <c r="V56" s="138">
        <f>+G56*0.05+U56</f>
        <v>1517.5</v>
      </c>
      <c r="W56" s="139">
        <f>+G56*0.05+V56</f>
        <v>1655</v>
      </c>
      <c r="X56" s="131">
        <f t="shared" si="17"/>
        <v>1792.5</v>
      </c>
    </row>
    <row r="57" spans="1:24" x14ac:dyDescent="0.25">
      <c r="A57" s="81" t="s">
        <v>276</v>
      </c>
      <c r="B57" s="81" t="s">
        <v>12</v>
      </c>
      <c r="C57" s="265">
        <v>38482</v>
      </c>
      <c r="D57" s="275">
        <v>38645</v>
      </c>
      <c r="E57" s="442">
        <v>2000</v>
      </c>
      <c r="F57" s="423">
        <v>100</v>
      </c>
      <c r="G57" s="423">
        <v>710</v>
      </c>
      <c r="H57" s="256">
        <v>100</v>
      </c>
      <c r="I57" s="263">
        <v>4390</v>
      </c>
      <c r="J57" s="417"/>
      <c r="K57" s="961">
        <v>2011</v>
      </c>
      <c r="L57" s="404">
        <f t="shared" si="13"/>
        <v>200</v>
      </c>
      <c r="M57" s="846">
        <f t="shared" si="14"/>
        <v>7111</v>
      </c>
      <c r="N57" s="986">
        <v>41415</v>
      </c>
      <c r="O57" s="517"/>
      <c r="P57" s="516"/>
      <c r="Q57" s="168">
        <f>G57*0.05+R57-100-200-100</f>
        <v>4494.5</v>
      </c>
      <c r="R57" s="167">
        <v>4859</v>
      </c>
      <c r="S57" s="163">
        <f t="shared" si="11"/>
        <v>-364.5</v>
      </c>
      <c r="T57" s="131">
        <v>4580</v>
      </c>
      <c r="U57" s="138">
        <f>G57*0.05+T57</f>
        <v>4615.5</v>
      </c>
      <c r="V57" s="138">
        <v>4259</v>
      </c>
      <c r="W57" s="139">
        <f>+G57*0.05+V57-200</f>
        <v>4094.5</v>
      </c>
      <c r="X57" s="131">
        <f t="shared" si="17"/>
        <v>4130</v>
      </c>
    </row>
    <row r="58" spans="1:24" ht="15.75" thickBot="1" x14ac:dyDescent="0.3">
      <c r="A58" s="284" t="s">
        <v>278</v>
      </c>
      <c r="B58" s="284" t="s">
        <v>9</v>
      </c>
      <c r="C58" s="285">
        <v>38377</v>
      </c>
      <c r="D58" s="586">
        <v>38563</v>
      </c>
      <c r="E58" s="683">
        <v>3000</v>
      </c>
      <c r="F58" s="684"/>
      <c r="G58" s="684">
        <v>2450</v>
      </c>
      <c r="H58" s="302"/>
      <c r="I58" s="302">
        <v>1937</v>
      </c>
      <c r="J58" s="685"/>
      <c r="K58" s="962">
        <v>2362</v>
      </c>
      <c r="L58" s="686">
        <f t="shared" si="13"/>
        <v>0</v>
      </c>
      <c r="M58" s="968">
        <f t="shared" si="14"/>
        <v>6749</v>
      </c>
      <c r="N58" s="994">
        <v>41320</v>
      </c>
      <c r="O58" s="518"/>
      <c r="P58" s="581"/>
      <c r="Q58" s="168">
        <f>G58*0.05+R58</f>
        <v>5912.5</v>
      </c>
      <c r="R58" s="167">
        <v>5790</v>
      </c>
      <c r="S58" s="163">
        <f t="shared" si="11"/>
        <v>122.5</v>
      </c>
      <c r="T58" s="131">
        <f>+G58*0.05+Q58</f>
        <v>6035</v>
      </c>
      <c r="U58" s="138">
        <f>G58*0.05+T58</f>
        <v>6157.5</v>
      </c>
      <c r="V58" s="138">
        <f>+G58*0.05+U58</f>
        <v>6280</v>
      </c>
      <c r="W58" s="139">
        <f>+G58*0.05+V58-50</f>
        <v>6352.5</v>
      </c>
      <c r="X58" s="131">
        <f t="shared" si="17"/>
        <v>6475</v>
      </c>
    </row>
    <row r="59" spans="1:24" ht="15.75" thickBot="1" x14ac:dyDescent="0.3">
      <c r="A59" s="633" t="s">
        <v>1230</v>
      </c>
      <c r="B59" s="633"/>
      <c r="C59" s="634"/>
      <c r="D59" s="634"/>
      <c r="E59" s="466">
        <f t="shared" ref="E59:M59" si="18">SUM(E7:E58)</f>
        <v>291785</v>
      </c>
      <c r="F59" s="390">
        <f t="shared" si="18"/>
        <v>270</v>
      </c>
      <c r="G59" s="370">
        <f t="shared" si="18"/>
        <v>187300</v>
      </c>
      <c r="H59" s="309">
        <f t="shared" si="18"/>
        <v>280</v>
      </c>
      <c r="I59" s="310">
        <f t="shared" si="18"/>
        <v>523668</v>
      </c>
      <c r="J59" s="309">
        <f t="shared" si="18"/>
        <v>20</v>
      </c>
      <c r="K59" s="391">
        <f t="shared" si="18"/>
        <v>135918.25</v>
      </c>
      <c r="L59" s="829">
        <f t="shared" si="18"/>
        <v>570</v>
      </c>
      <c r="M59" s="392">
        <f t="shared" si="18"/>
        <v>846886.25</v>
      </c>
      <c r="N59" s="1008"/>
      <c r="O59" s="519"/>
      <c r="P59" s="582"/>
      <c r="Q59" s="118"/>
      <c r="R59" s="121"/>
      <c r="S59" s="121"/>
      <c r="T59" s="121"/>
      <c r="U59" s="121"/>
      <c r="V59" s="121"/>
      <c r="W59" s="121"/>
      <c r="X59" s="121"/>
    </row>
    <row r="60" spans="1:24" x14ac:dyDescent="0.25">
      <c r="A60" s="35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1032"/>
      <c r="O60" s="351"/>
      <c r="P60" s="351"/>
    </row>
    <row r="65" spans="5:5" x14ac:dyDescent="0.25">
      <c r="E65" s="619" t="e">
        <f>+#REF!+#REF!+#REF!+#REF!+#REF!+#REF!+#REF!+#REF!+#REF!+#REF!+#REF!</f>
        <v>#REF!</v>
      </c>
    </row>
  </sheetData>
  <sortState ref="A7:O56">
    <sortCondition ref="A7"/>
  </sortState>
  <mergeCells count="4">
    <mergeCell ref="A1:N1"/>
    <mergeCell ref="A2:N2"/>
    <mergeCell ref="A3:N3"/>
    <mergeCell ref="E4:M4"/>
  </mergeCells>
  <pageMargins left="0.7" right="0.7" top="0.75" bottom="0.75" header="0.3" footer="0.3"/>
  <pageSetup paperSize="5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X34"/>
  <sheetViews>
    <sheetView topLeftCell="A10" workbookViewId="0">
      <selection activeCell="F4" sqref="F4:M4"/>
    </sheetView>
  </sheetViews>
  <sheetFormatPr defaultRowHeight="15" x14ac:dyDescent="0.25"/>
  <cols>
    <col min="1" max="1" width="20.28515625" customWidth="1"/>
    <col min="2" max="2" width="15.140625" customWidth="1"/>
    <col min="3" max="4" width="8.5703125" customWidth="1"/>
    <col min="5" max="5" width="11.5703125" customWidth="1"/>
    <col min="6" max="7" width="11.140625" customWidth="1"/>
    <col min="8" max="8" width="9.85546875" customWidth="1"/>
    <col min="9" max="9" width="12.140625" customWidth="1"/>
    <col min="10" max="10" width="10.140625" customWidth="1"/>
    <col min="11" max="11" width="10.7109375" customWidth="1"/>
    <col min="12" max="12" width="11.140625" customWidth="1"/>
    <col min="13" max="13" width="11.7109375" customWidth="1"/>
    <col min="14" max="14" width="11.42578125" style="971" customWidth="1"/>
    <col min="17" max="17" width="9.85546875" customWidth="1"/>
    <col min="18" max="18" width="10" customWidth="1"/>
    <col min="19" max="19" width="11.140625" customWidth="1"/>
    <col min="20" max="20" width="11.7109375" customWidth="1"/>
    <col min="21" max="21" width="10.42578125" customWidth="1"/>
    <col min="22" max="22" width="10.140625" customWidth="1"/>
    <col min="23" max="23" width="9.7109375" customWidth="1"/>
    <col min="24" max="24" width="11.5703125" customWidth="1"/>
  </cols>
  <sheetData>
    <row r="1" spans="1:24" ht="15.75" x14ac:dyDescent="0.25">
      <c r="A1" s="1358" t="s">
        <v>87</v>
      </c>
      <c r="B1" s="1358"/>
      <c r="C1" s="1358"/>
      <c r="D1" s="1358"/>
      <c r="E1" s="1358"/>
      <c r="F1" s="1358"/>
      <c r="G1" s="1358"/>
      <c r="H1" s="1358"/>
      <c r="I1" s="1358"/>
      <c r="J1" s="1358"/>
      <c r="K1" s="1358"/>
      <c r="L1" s="1358"/>
      <c r="M1" s="1358"/>
      <c r="N1" s="1358"/>
      <c r="O1" s="349"/>
      <c r="P1" s="349"/>
      <c r="Q1" s="141"/>
      <c r="R1" s="141"/>
      <c r="S1" s="141"/>
      <c r="T1" s="141"/>
      <c r="U1" s="141"/>
      <c r="V1" s="141"/>
      <c r="W1" s="121"/>
      <c r="X1" s="121"/>
    </row>
    <row r="2" spans="1:24" ht="15.75" x14ac:dyDescent="0.25">
      <c r="A2" s="1359" t="s">
        <v>324</v>
      </c>
      <c r="B2" s="1359"/>
      <c r="C2" s="1359"/>
      <c r="D2" s="1359"/>
      <c r="E2" s="1359"/>
      <c r="F2" s="1359"/>
      <c r="G2" s="1359"/>
      <c r="H2" s="1359"/>
      <c r="I2" s="1359"/>
      <c r="J2" s="1359"/>
      <c r="K2" s="1359"/>
      <c r="L2" s="1359"/>
      <c r="M2" s="1359"/>
      <c r="N2" s="1359"/>
      <c r="O2" s="350"/>
      <c r="P2" s="350"/>
      <c r="Q2" s="142"/>
      <c r="R2" s="142"/>
      <c r="S2" s="142"/>
      <c r="T2" s="142"/>
      <c r="U2" s="142"/>
      <c r="V2" s="142"/>
      <c r="W2" s="121"/>
      <c r="X2" s="121"/>
    </row>
    <row r="3" spans="1:24" ht="16.5" thickBot="1" x14ac:dyDescent="0.3">
      <c r="A3" s="1380" t="s">
        <v>1443</v>
      </c>
      <c r="B3" s="1380"/>
      <c r="C3" s="1380"/>
      <c r="D3" s="1380"/>
      <c r="E3" s="1380"/>
      <c r="F3" s="1359"/>
      <c r="G3" s="1359"/>
      <c r="H3" s="1359"/>
      <c r="I3" s="1359"/>
      <c r="J3" s="1359"/>
      <c r="K3" s="1359"/>
      <c r="L3" s="1359"/>
      <c r="M3" s="1359"/>
      <c r="N3" s="1380"/>
      <c r="O3" s="349"/>
      <c r="P3" s="349"/>
      <c r="Q3" s="141"/>
      <c r="R3" s="141"/>
      <c r="S3" s="141"/>
      <c r="T3" s="141"/>
      <c r="U3" s="141"/>
      <c r="V3" s="141"/>
      <c r="W3" s="121"/>
      <c r="X3" s="121"/>
    </row>
    <row r="4" spans="1:24" ht="15.75" thickBot="1" x14ac:dyDescent="0.3">
      <c r="A4" s="315"/>
      <c r="B4" s="316"/>
      <c r="C4" s="316" t="s">
        <v>139</v>
      </c>
      <c r="D4" s="317" t="s">
        <v>92</v>
      </c>
      <c r="E4" s="393"/>
      <c r="F4" s="1382" t="s">
        <v>1440</v>
      </c>
      <c r="G4" s="1360"/>
      <c r="H4" s="1360"/>
      <c r="I4" s="1360"/>
      <c r="J4" s="1360"/>
      <c r="K4" s="1360"/>
      <c r="L4" s="1360"/>
      <c r="M4" s="1383"/>
      <c r="N4" s="1041"/>
      <c r="O4" s="375"/>
      <c r="P4" s="577"/>
      <c r="Q4" s="152"/>
      <c r="R4" s="152"/>
      <c r="S4" s="169"/>
      <c r="T4" s="157"/>
      <c r="U4" s="165"/>
      <c r="V4" s="159"/>
      <c r="W4" s="121"/>
      <c r="X4" s="121"/>
    </row>
    <row r="5" spans="1:24" ht="15.75" thickBot="1" x14ac:dyDescent="0.3">
      <c r="A5" s="321" t="s">
        <v>2</v>
      </c>
      <c r="B5" s="322" t="s">
        <v>3</v>
      </c>
      <c r="C5" s="322" t="s">
        <v>90</v>
      </c>
      <c r="D5" s="323" t="s">
        <v>91</v>
      </c>
      <c r="E5" s="394" t="s">
        <v>6</v>
      </c>
      <c r="F5" s="241" t="s">
        <v>454</v>
      </c>
      <c r="G5" s="377" t="s">
        <v>6</v>
      </c>
      <c r="H5" s="241" t="s">
        <v>455</v>
      </c>
      <c r="I5" s="355" t="s">
        <v>19</v>
      </c>
      <c r="J5" s="241" t="s">
        <v>456</v>
      </c>
      <c r="K5" s="395" t="s">
        <v>80</v>
      </c>
      <c r="L5" s="241" t="s">
        <v>457</v>
      </c>
      <c r="M5" s="396" t="s">
        <v>400</v>
      </c>
      <c r="N5" s="979" t="s">
        <v>79</v>
      </c>
      <c r="O5" s="397" t="s">
        <v>418</v>
      </c>
      <c r="P5" s="574"/>
      <c r="Q5" s="164"/>
      <c r="R5" s="164"/>
      <c r="S5" s="169"/>
      <c r="T5" s="170"/>
      <c r="U5" s="163"/>
      <c r="V5" s="160"/>
      <c r="W5" s="121"/>
      <c r="X5" s="121"/>
    </row>
    <row r="6" spans="1:24" ht="15.75" thickBot="1" x14ac:dyDescent="0.3">
      <c r="A6" s="398"/>
      <c r="B6" s="330"/>
      <c r="C6" s="330"/>
      <c r="D6" s="331"/>
      <c r="E6" s="394"/>
      <c r="F6" s="247" t="s">
        <v>438</v>
      </c>
      <c r="G6" s="413"/>
      <c r="H6" s="247" t="s">
        <v>438</v>
      </c>
      <c r="I6" s="399"/>
      <c r="J6" s="247" t="s">
        <v>438</v>
      </c>
      <c r="K6" s="399"/>
      <c r="L6" s="247" t="s">
        <v>452</v>
      </c>
      <c r="M6" s="399"/>
      <c r="N6" s="1003"/>
      <c r="O6" s="400"/>
      <c r="P6" s="574"/>
      <c r="Q6" s="164"/>
      <c r="R6" s="164"/>
      <c r="S6" s="169"/>
      <c r="T6" s="157"/>
      <c r="U6" s="165"/>
      <c r="V6" s="159"/>
      <c r="W6" s="121"/>
      <c r="X6" s="121"/>
    </row>
    <row r="7" spans="1:24" x14ac:dyDescent="0.25">
      <c r="A7" s="81" t="s">
        <v>282</v>
      </c>
      <c r="B7" s="81" t="s">
        <v>17</v>
      </c>
      <c r="C7" s="265">
        <v>38173</v>
      </c>
      <c r="D7" s="275">
        <v>38351</v>
      </c>
      <c r="E7" s="418">
        <v>10000</v>
      </c>
      <c r="F7" s="405"/>
      <c r="G7" s="406">
        <v>8450</v>
      </c>
      <c r="H7" s="263"/>
      <c r="I7" s="263">
        <v>25450</v>
      </c>
      <c r="J7" s="406"/>
      <c r="K7" s="406">
        <v>1030</v>
      </c>
      <c r="L7" s="406">
        <f t="shared" ref="L7:L28" si="0">+F7+H7+J7</f>
        <v>0</v>
      </c>
      <c r="M7" s="407">
        <f t="shared" ref="M7:M28" si="1">+G7+I7+K7</f>
        <v>34930</v>
      </c>
      <c r="N7" s="1042">
        <v>40845</v>
      </c>
      <c r="O7" s="403"/>
      <c r="P7" s="578"/>
      <c r="Q7" s="171">
        <f>G7*0.05+R7+S7</f>
        <v>28345</v>
      </c>
      <c r="R7" s="171">
        <v>27500</v>
      </c>
      <c r="S7" s="171">
        <f t="shared" ref="S7:S13" si="2">G7*0.05</f>
        <v>422.5</v>
      </c>
      <c r="T7" s="131">
        <f>+G7*0.05+Q7</f>
        <v>28767.5</v>
      </c>
      <c r="U7" s="138">
        <v>27050</v>
      </c>
      <c r="V7" s="138">
        <v>26850</v>
      </c>
      <c r="W7" s="138">
        <f t="shared" ref="W7:W13" si="3">+G7*0.05+V7</f>
        <v>27272.5</v>
      </c>
      <c r="X7" s="155">
        <f t="shared" ref="X7:X28" si="4">G7*0.05+W7</f>
        <v>27695</v>
      </c>
    </row>
    <row r="8" spans="1:24" x14ac:dyDescent="0.25">
      <c r="A8" s="81" t="s">
        <v>286</v>
      </c>
      <c r="B8" s="81" t="s">
        <v>12</v>
      </c>
      <c r="C8" s="265">
        <v>38055</v>
      </c>
      <c r="D8" s="275">
        <v>38148</v>
      </c>
      <c r="E8" s="418">
        <v>3000</v>
      </c>
      <c r="F8" s="405"/>
      <c r="G8" s="406">
        <v>1970</v>
      </c>
      <c r="H8" s="263"/>
      <c r="I8" s="263">
        <v>3234</v>
      </c>
      <c r="J8" s="406"/>
      <c r="K8" s="406">
        <v>3217</v>
      </c>
      <c r="L8" s="406">
        <f t="shared" si="0"/>
        <v>0</v>
      </c>
      <c r="M8" s="407">
        <f t="shared" si="1"/>
        <v>8421</v>
      </c>
      <c r="N8" s="986">
        <v>40845</v>
      </c>
      <c r="O8" s="403"/>
      <c r="P8" s="578"/>
      <c r="Q8" s="171">
        <f>G8*0.05+R8+S8</f>
        <v>2640</v>
      </c>
      <c r="R8" s="171">
        <v>2443</v>
      </c>
      <c r="S8" s="171">
        <f t="shared" si="2"/>
        <v>98.5</v>
      </c>
      <c r="T8" s="131">
        <f>+G8*0.05+Q8</f>
        <v>2738.5</v>
      </c>
      <c r="U8" s="138">
        <f t="shared" ref="U8:U24" si="5">G8*0.05+T8</f>
        <v>2837</v>
      </c>
      <c r="V8" s="138">
        <f>+G8*0.05+U8</f>
        <v>2935.5</v>
      </c>
      <c r="W8" s="138">
        <f t="shared" si="3"/>
        <v>3034</v>
      </c>
      <c r="X8" s="155">
        <f t="shared" si="4"/>
        <v>3132.5</v>
      </c>
    </row>
    <row r="9" spans="1:24" x14ac:dyDescent="0.25">
      <c r="A9" s="81" t="s">
        <v>1137</v>
      </c>
      <c r="B9" s="81" t="s">
        <v>981</v>
      </c>
      <c r="C9" s="265">
        <v>37909</v>
      </c>
      <c r="D9" s="275">
        <v>38214</v>
      </c>
      <c r="E9" s="418">
        <v>7000</v>
      </c>
      <c r="F9" s="405"/>
      <c r="G9" s="406">
        <v>7000</v>
      </c>
      <c r="H9" s="263"/>
      <c r="I9" s="263">
        <v>27900</v>
      </c>
      <c r="J9" s="406"/>
      <c r="K9" s="406">
        <v>3435</v>
      </c>
      <c r="L9" s="406">
        <f t="shared" ref="L9" si="6">+F9+H9+J9</f>
        <v>0</v>
      </c>
      <c r="M9" s="407">
        <f t="shared" ref="M9" si="7">+G9+I9+K9</f>
        <v>38335</v>
      </c>
      <c r="N9" s="986">
        <v>39645</v>
      </c>
      <c r="O9" s="403"/>
      <c r="P9" s="578"/>
      <c r="Q9" s="171"/>
      <c r="R9" s="171"/>
      <c r="S9" s="171"/>
      <c r="T9" s="131"/>
      <c r="U9" s="138"/>
      <c r="V9" s="138"/>
      <c r="W9" s="138"/>
      <c r="X9" s="155"/>
    </row>
    <row r="10" spans="1:24" x14ac:dyDescent="0.25">
      <c r="A10" s="81" t="s">
        <v>288</v>
      </c>
      <c r="B10" s="81" t="s">
        <v>9</v>
      </c>
      <c r="C10" s="265">
        <v>38189</v>
      </c>
      <c r="D10" s="275">
        <v>38351</v>
      </c>
      <c r="E10" s="418">
        <v>3000</v>
      </c>
      <c r="F10" s="405">
        <v>50</v>
      </c>
      <c r="G10" s="406">
        <v>280</v>
      </c>
      <c r="H10" s="263">
        <v>50</v>
      </c>
      <c r="I10" s="263">
        <v>4009</v>
      </c>
      <c r="J10" s="406"/>
      <c r="K10" s="406">
        <v>354</v>
      </c>
      <c r="L10" s="406">
        <f t="shared" si="0"/>
        <v>100</v>
      </c>
      <c r="M10" s="407">
        <f t="shared" si="1"/>
        <v>4643</v>
      </c>
      <c r="N10" s="986">
        <v>41370</v>
      </c>
      <c r="O10" s="403"/>
      <c r="P10" s="578"/>
      <c r="Q10" s="171">
        <f>G10*0.05+R10+S10-200</f>
        <v>17502</v>
      </c>
      <c r="R10" s="171">
        <v>17674</v>
      </c>
      <c r="S10" s="171">
        <f t="shared" si="2"/>
        <v>14</v>
      </c>
      <c r="T10" s="131">
        <v>18123.7</v>
      </c>
      <c r="U10" s="138">
        <f t="shared" si="5"/>
        <v>18137.7</v>
      </c>
      <c r="V10" s="138">
        <f>+G10*0.05+U10</f>
        <v>18151.7</v>
      </c>
      <c r="W10" s="138">
        <f t="shared" si="3"/>
        <v>18165.7</v>
      </c>
      <c r="X10" s="155">
        <f t="shared" si="4"/>
        <v>18179.7</v>
      </c>
    </row>
    <row r="11" spans="1:24" x14ac:dyDescent="0.25">
      <c r="A11" s="81" t="s">
        <v>294</v>
      </c>
      <c r="B11" s="556" t="s">
        <v>13</v>
      </c>
      <c r="C11" s="557">
        <v>38026</v>
      </c>
      <c r="D11" s="558">
        <v>38269</v>
      </c>
      <c r="E11" s="664">
        <v>3000</v>
      </c>
      <c r="F11" s="665"/>
      <c r="G11" s="656">
        <v>66</v>
      </c>
      <c r="H11" s="497">
        <v>100</v>
      </c>
      <c r="I11" s="497">
        <v>1042</v>
      </c>
      <c r="J11" s="656"/>
      <c r="K11" s="656"/>
      <c r="L11" s="656">
        <f>+F11+H11+J11</f>
        <v>100</v>
      </c>
      <c r="M11" s="666">
        <f>+G11+I11+K11</f>
        <v>1108</v>
      </c>
      <c r="N11" s="1031">
        <v>41355</v>
      </c>
      <c r="O11" s="271"/>
      <c r="P11" s="579"/>
      <c r="Q11" s="171"/>
      <c r="R11" s="716"/>
      <c r="S11" s="171"/>
      <c r="T11" s="131"/>
      <c r="U11" s="138"/>
      <c r="V11" s="138"/>
      <c r="W11" s="138"/>
      <c r="X11" s="155"/>
    </row>
    <row r="12" spans="1:24" x14ac:dyDescent="0.25">
      <c r="A12" s="81" t="s">
        <v>295</v>
      </c>
      <c r="B12" s="81" t="s">
        <v>32</v>
      </c>
      <c r="C12" s="265">
        <v>38091</v>
      </c>
      <c r="D12" s="275">
        <v>38275</v>
      </c>
      <c r="E12" s="445">
        <v>5000</v>
      </c>
      <c r="F12" s="405"/>
      <c r="G12" s="406">
        <v>2559</v>
      </c>
      <c r="H12" s="263"/>
      <c r="I12" s="263">
        <f>G12*0.05+X12</f>
        <v>9173.6000000000058</v>
      </c>
      <c r="J12" s="406"/>
      <c r="K12" s="406">
        <v>3006</v>
      </c>
      <c r="L12" s="406">
        <f t="shared" si="0"/>
        <v>0</v>
      </c>
      <c r="M12" s="407">
        <f t="shared" si="1"/>
        <v>14738.600000000006</v>
      </c>
      <c r="N12" s="983">
        <v>38588</v>
      </c>
      <c r="O12" s="403"/>
      <c r="P12" s="578"/>
      <c r="Q12" s="171">
        <f>G12*0.05+R12+S12</f>
        <v>8405.9000000000015</v>
      </c>
      <c r="R12" s="172">
        <v>8150</v>
      </c>
      <c r="S12" s="171">
        <f t="shared" si="2"/>
        <v>127.95</v>
      </c>
      <c r="T12" s="131">
        <f t="shared" ref="T12:T27" si="8">+G12*0.05+Q12</f>
        <v>8533.8500000000022</v>
      </c>
      <c r="U12" s="138">
        <f t="shared" si="5"/>
        <v>8661.8000000000029</v>
      </c>
      <c r="V12" s="138">
        <f>+G12*0.05+U12</f>
        <v>8789.7500000000036</v>
      </c>
      <c r="W12" s="138">
        <f t="shared" si="3"/>
        <v>8917.7000000000044</v>
      </c>
      <c r="X12" s="155">
        <f t="shared" si="4"/>
        <v>9045.6500000000051</v>
      </c>
    </row>
    <row r="13" spans="1:24" x14ac:dyDescent="0.25">
      <c r="A13" s="81" t="s">
        <v>328</v>
      </c>
      <c r="B13" s="81" t="s">
        <v>436</v>
      </c>
      <c r="C13" s="265">
        <v>37890</v>
      </c>
      <c r="D13" s="275">
        <v>38260</v>
      </c>
      <c r="E13" s="384">
        <v>15000</v>
      </c>
      <c r="F13" s="385">
        <v>100</v>
      </c>
      <c r="G13" s="386">
        <v>7847</v>
      </c>
      <c r="H13" s="263">
        <v>200</v>
      </c>
      <c r="I13" s="263">
        <v>31127</v>
      </c>
      <c r="J13" s="386">
        <v>200</v>
      </c>
      <c r="K13" s="386">
        <v>11850</v>
      </c>
      <c r="L13" s="406">
        <f t="shared" si="0"/>
        <v>500</v>
      </c>
      <c r="M13" s="407">
        <f t="shared" si="1"/>
        <v>50824</v>
      </c>
      <c r="N13" s="986">
        <v>41430</v>
      </c>
      <c r="O13" s="403"/>
      <c r="P13" s="578"/>
      <c r="Q13" s="171">
        <f>G13*0.05+R13+S13</f>
        <v>2132.6999999999998</v>
      </c>
      <c r="R13" s="171">
        <v>1348</v>
      </c>
      <c r="S13" s="171">
        <f t="shared" si="2"/>
        <v>392.35</v>
      </c>
      <c r="T13" s="131">
        <f t="shared" si="8"/>
        <v>2525.0499999999997</v>
      </c>
      <c r="U13" s="138">
        <f t="shared" si="5"/>
        <v>2917.3999999999996</v>
      </c>
      <c r="V13" s="138">
        <f>+G13*0.05+U13</f>
        <v>3309.7499999999995</v>
      </c>
      <c r="W13" s="138">
        <f t="shared" si="3"/>
        <v>3702.0999999999995</v>
      </c>
      <c r="X13" s="155">
        <f t="shared" si="4"/>
        <v>4094.4499999999994</v>
      </c>
    </row>
    <row r="14" spans="1:24" x14ac:dyDescent="0.25">
      <c r="A14" s="81" t="s">
        <v>298</v>
      </c>
      <c r="B14" s="81" t="s">
        <v>458</v>
      </c>
      <c r="C14" s="265">
        <v>38189</v>
      </c>
      <c r="D14" s="275">
        <v>38352</v>
      </c>
      <c r="E14" s="418">
        <v>3000</v>
      </c>
      <c r="F14" s="405"/>
      <c r="G14" s="406">
        <v>1575</v>
      </c>
      <c r="H14" s="263"/>
      <c r="I14" s="263">
        <f>G14*0.05+X14</f>
        <v>27010.25</v>
      </c>
      <c r="J14" s="406"/>
      <c r="K14" s="406">
        <v>561</v>
      </c>
      <c r="L14" s="406">
        <f t="shared" si="0"/>
        <v>0</v>
      </c>
      <c r="M14" s="407">
        <f t="shared" si="1"/>
        <v>29146.25</v>
      </c>
      <c r="N14" s="986">
        <v>40007</v>
      </c>
      <c r="O14" s="578"/>
      <c r="P14" s="365"/>
      <c r="Q14" s="173">
        <f>G14*0.05+R14+S14-800</f>
        <v>28002.75</v>
      </c>
      <c r="R14" s="173">
        <v>28574</v>
      </c>
      <c r="S14" s="173">
        <f>E14*0.05</f>
        <v>150</v>
      </c>
      <c r="T14" s="138">
        <f t="shared" si="8"/>
        <v>28081.5</v>
      </c>
      <c r="U14" s="138">
        <f t="shared" si="5"/>
        <v>28160.25</v>
      </c>
      <c r="V14" s="138">
        <v>27074</v>
      </c>
      <c r="W14" s="138">
        <f>+G14*0.05+V14-300</f>
        <v>26852.75</v>
      </c>
      <c r="X14" s="155">
        <f t="shared" si="4"/>
        <v>26931.5</v>
      </c>
    </row>
    <row r="15" spans="1:24" x14ac:dyDescent="0.25">
      <c r="A15" s="81" t="s">
        <v>301</v>
      </c>
      <c r="B15" s="81" t="s">
        <v>1148</v>
      </c>
      <c r="C15" s="265">
        <v>38013</v>
      </c>
      <c r="D15" s="275">
        <v>38138</v>
      </c>
      <c r="E15" s="418">
        <v>3000</v>
      </c>
      <c r="F15" s="405"/>
      <c r="G15" s="406">
        <v>1520</v>
      </c>
      <c r="H15" s="263"/>
      <c r="I15" s="263">
        <v>3296</v>
      </c>
      <c r="J15" s="406"/>
      <c r="K15" s="406">
        <v>2117</v>
      </c>
      <c r="L15" s="406">
        <f t="shared" ref="L15" si="9">+F15+H15+J15</f>
        <v>0</v>
      </c>
      <c r="M15" s="407">
        <f t="shared" ref="M15" si="10">+G15+I15+K15</f>
        <v>6933</v>
      </c>
      <c r="N15" s="986">
        <v>39136</v>
      </c>
      <c r="O15" s="578"/>
      <c r="P15" s="365"/>
      <c r="Q15" s="173"/>
      <c r="R15" s="173"/>
      <c r="S15" s="173"/>
      <c r="T15" s="138"/>
      <c r="U15" s="138"/>
      <c r="V15" s="138"/>
      <c r="W15" s="138"/>
      <c r="X15" s="155"/>
    </row>
    <row r="16" spans="1:24" x14ac:dyDescent="0.25">
      <c r="A16" s="81" t="s">
        <v>303</v>
      </c>
      <c r="B16" s="81" t="s">
        <v>27</v>
      </c>
      <c r="C16" s="265">
        <v>38179</v>
      </c>
      <c r="D16" s="275">
        <v>38269</v>
      </c>
      <c r="E16" s="418">
        <v>3000</v>
      </c>
      <c r="F16" s="405"/>
      <c r="G16" s="406">
        <v>1268</v>
      </c>
      <c r="H16" s="263"/>
      <c r="I16" s="263">
        <v>4346</v>
      </c>
      <c r="J16" s="406"/>
      <c r="K16" s="406">
        <v>2058</v>
      </c>
      <c r="L16" s="406">
        <f t="shared" si="0"/>
        <v>0</v>
      </c>
      <c r="M16" s="407">
        <f t="shared" si="1"/>
        <v>7672</v>
      </c>
      <c r="N16" s="986">
        <v>41012</v>
      </c>
      <c r="O16" s="578"/>
      <c r="P16" s="365"/>
      <c r="Q16" s="173">
        <f t="shared" ref="Q16:Q25" si="11">G16*0.05+R16+S16</f>
        <v>8231.4</v>
      </c>
      <c r="R16" s="173">
        <v>8018</v>
      </c>
      <c r="S16" s="173">
        <f>E16*0.05</f>
        <v>150</v>
      </c>
      <c r="T16" s="138">
        <f t="shared" si="8"/>
        <v>8294.7999999999993</v>
      </c>
      <c r="U16" s="138">
        <f t="shared" si="5"/>
        <v>8358.1999999999989</v>
      </c>
      <c r="V16" s="138">
        <f>+G16*0.05+U16-800</f>
        <v>7621.5999999999985</v>
      </c>
      <c r="W16" s="138">
        <f>+G16*0.05+V16-539</f>
        <v>7145.9999999999982</v>
      </c>
      <c r="X16" s="155">
        <f t="shared" si="4"/>
        <v>7209.3999999999978</v>
      </c>
    </row>
    <row r="17" spans="1:24" x14ac:dyDescent="0.25">
      <c r="A17" s="81" t="s">
        <v>1149</v>
      </c>
      <c r="B17" s="81" t="s">
        <v>877</v>
      </c>
      <c r="C17" s="265">
        <v>38189</v>
      </c>
      <c r="D17" s="275">
        <v>38321</v>
      </c>
      <c r="E17" s="418">
        <v>4000</v>
      </c>
      <c r="F17" s="405"/>
      <c r="G17" s="406">
        <v>3000</v>
      </c>
      <c r="H17" s="263"/>
      <c r="I17" s="263">
        <v>15120</v>
      </c>
      <c r="J17" s="406"/>
      <c r="K17" s="406">
        <v>7144</v>
      </c>
      <c r="L17" s="406">
        <f t="shared" si="0"/>
        <v>0</v>
      </c>
      <c r="M17" s="407">
        <f t="shared" si="1"/>
        <v>25264</v>
      </c>
      <c r="N17" s="986">
        <v>41092</v>
      </c>
      <c r="O17" s="578"/>
      <c r="P17" s="365"/>
      <c r="Q17" s="173"/>
      <c r="R17" s="173"/>
      <c r="S17" s="173"/>
      <c r="T17" s="138"/>
      <c r="U17" s="138"/>
      <c r="V17" s="138"/>
      <c r="W17" s="138"/>
      <c r="X17" s="155"/>
    </row>
    <row r="18" spans="1:24" x14ac:dyDescent="0.25">
      <c r="A18" s="81" t="s">
        <v>331</v>
      </c>
      <c r="B18" s="81" t="s">
        <v>179</v>
      </c>
      <c r="C18" s="265">
        <v>37765</v>
      </c>
      <c r="D18" s="275">
        <v>38070</v>
      </c>
      <c r="E18" s="384">
        <v>8000</v>
      </c>
      <c r="F18" s="385">
        <v>50</v>
      </c>
      <c r="G18" s="386">
        <v>3108</v>
      </c>
      <c r="H18" s="263">
        <v>50</v>
      </c>
      <c r="I18" s="263">
        <v>15281</v>
      </c>
      <c r="J18" s="386"/>
      <c r="K18" s="386">
        <v>546</v>
      </c>
      <c r="L18" s="406">
        <f t="shared" si="0"/>
        <v>100</v>
      </c>
      <c r="M18" s="407">
        <f t="shared" si="1"/>
        <v>18935</v>
      </c>
      <c r="N18" s="986">
        <v>41412</v>
      </c>
      <c r="O18" s="403"/>
      <c r="P18" s="365"/>
      <c r="Q18" s="173">
        <f t="shared" si="11"/>
        <v>12763.4</v>
      </c>
      <c r="R18" s="173">
        <v>12208</v>
      </c>
      <c r="S18" s="173">
        <f>E18*0.05</f>
        <v>400</v>
      </c>
      <c r="T18" s="138">
        <f t="shared" si="8"/>
        <v>12918.8</v>
      </c>
      <c r="U18" s="138">
        <f t="shared" si="5"/>
        <v>13074.199999999999</v>
      </c>
      <c r="V18" s="138">
        <f>+G18*0.05+U18</f>
        <v>13229.599999999999</v>
      </c>
      <c r="W18" s="138">
        <f>+G18*0.05+V18</f>
        <v>13384.999999999998</v>
      </c>
      <c r="X18" s="155">
        <f t="shared" si="4"/>
        <v>13540.399999999998</v>
      </c>
    </row>
    <row r="19" spans="1:24" x14ac:dyDescent="0.25">
      <c r="A19" s="659" t="s">
        <v>332</v>
      </c>
      <c r="B19" s="556" t="s">
        <v>179</v>
      </c>
      <c r="C19" s="557">
        <v>37894</v>
      </c>
      <c r="D19" s="558">
        <v>38351</v>
      </c>
      <c r="E19" s="679">
        <v>4000</v>
      </c>
      <c r="F19" s="673"/>
      <c r="G19" s="663">
        <v>3830</v>
      </c>
      <c r="H19" s="497"/>
      <c r="I19" s="497">
        <v>19293</v>
      </c>
      <c r="J19" s="663"/>
      <c r="K19" s="663">
        <v>5894</v>
      </c>
      <c r="L19" s="656">
        <f>+F19+H19+J19</f>
        <v>0</v>
      </c>
      <c r="M19" s="666">
        <f>+G19+I19+K19</f>
        <v>29017</v>
      </c>
      <c r="N19" s="1031">
        <v>39493</v>
      </c>
      <c r="O19" s="403"/>
      <c r="P19" s="365"/>
      <c r="Q19" s="173"/>
      <c r="R19" s="173"/>
      <c r="S19" s="173"/>
      <c r="T19" s="138"/>
      <c r="U19" s="138"/>
      <c r="V19" s="138"/>
      <c r="W19" s="139"/>
      <c r="X19" s="155"/>
    </row>
    <row r="20" spans="1:24" ht="15.75" thickBot="1" x14ac:dyDescent="0.3">
      <c r="A20" s="556" t="s">
        <v>305</v>
      </c>
      <c r="B20" s="556" t="s">
        <v>27</v>
      </c>
      <c r="C20" s="557">
        <v>38145</v>
      </c>
      <c r="D20" s="558">
        <v>38240</v>
      </c>
      <c r="E20" s="664">
        <v>5000</v>
      </c>
      <c r="F20" s="665"/>
      <c r="G20" s="656">
        <v>96</v>
      </c>
      <c r="H20" s="497"/>
      <c r="I20" s="497">
        <v>152</v>
      </c>
      <c r="J20" s="656"/>
      <c r="K20" s="656">
        <v>556</v>
      </c>
      <c r="L20" s="656">
        <f>+F20+H20+J20</f>
        <v>0</v>
      </c>
      <c r="M20" s="666">
        <f>+G20+I20+K20</f>
        <v>804</v>
      </c>
      <c r="N20" s="1031">
        <v>41218</v>
      </c>
      <c r="O20" s="403"/>
      <c r="P20" s="365"/>
      <c r="Q20" s="173"/>
      <c r="R20" s="173"/>
      <c r="S20" s="173"/>
      <c r="T20" s="138"/>
      <c r="U20" s="138"/>
      <c r="V20" s="138"/>
      <c r="W20" s="139"/>
      <c r="X20" s="155"/>
    </row>
    <row r="21" spans="1:24" x14ac:dyDescent="0.25">
      <c r="A21" s="81" t="s">
        <v>333</v>
      </c>
      <c r="B21" s="81" t="s">
        <v>14</v>
      </c>
      <c r="C21" s="265">
        <v>37883</v>
      </c>
      <c r="D21" s="275">
        <v>38199</v>
      </c>
      <c r="E21" s="384">
        <v>13000</v>
      </c>
      <c r="F21" s="385"/>
      <c r="G21" s="386">
        <v>7533</v>
      </c>
      <c r="H21" s="263"/>
      <c r="I21" s="263">
        <v>29899</v>
      </c>
      <c r="J21" s="386"/>
      <c r="K21" s="386">
        <v>34804</v>
      </c>
      <c r="L21" s="406">
        <f t="shared" si="0"/>
        <v>0</v>
      </c>
      <c r="M21" s="407">
        <f t="shared" si="1"/>
        <v>72236</v>
      </c>
      <c r="N21" s="986">
        <v>40417</v>
      </c>
      <c r="O21" s="578"/>
      <c r="P21" s="365"/>
      <c r="Q21" s="173">
        <f t="shared" si="11"/>
        <v>27176.65</v>
      </c>
      <c r="R21" s="173">
        <v>26150</v>
      </c>
      <c r="S21" s="173">
        <f>E21*0.05</f>
        <v>650</v>
      </c>
      <c r="T21" s="138">
        <f t="shared" si="8"/>
        <v>27553.300000000003</v>
      </c>
      <c r="U21" s="138">
        <f t="shared" si="5"/>
        <v>27929.950000000004</v>
      </c>
      <c r="V21" s="138">
        <f>+G21*0.05+U21</f>
        <v>28306.600000000006</v>
      </c>
      <c r="W21" s="137">
        <f>+G21*0.05+V21-350</f>
        <v>28333.250000000007</v>
      </c>
      <c r="X21" s="155">
        <f t="shared" si="4"/>
        <v>28709.900000000009</v>
      </c>
    </row>
    <row r="22" spans="1:24" x14ac:dyDescent="0.25">
      <c r="A22" s="81" t="s">
        <v>336</v>
      </c>
      <c r="B22" s="81" t="s">
        <v>179</v>
      </c>
      <c r="C22" s="265">
        <v>37771</v>
      </c>
      <c r="D22" s="275">
        <v>38076</v>
      </c>
      <c r="E22" s="384">
        <v>3000</v>
      </c>
      <c r="F22" s="385"/>
      <c r="G22" s="386">
        <v>2098</v>
      </c>
      <c r="H22" s="263"/>
      <c r="I22" s="263">
        <v>8970</v>
      </c>
      <c r="J22" s="386"/>
      <c r="K22" s="386">
        <v>700</v>
      </c>
      <c r="L22" s="406">
        <f t="shared" si="0"/>
        <v>0</v>
      </c>
      <c r="M22" s="407">
        <f t="shared" si="1"/>
        <v>11768</v>
      </c>
      <c r="N22" s="986">
        <v>41128</v>
      </c>
      <c r="O22" s="403"/>
      <c r="P22" s="578"/>
      <c r="Q22" s="171">
        <f t="shared" si="11"/>
        <v>4104.8</v>
      </c>
      <c r="R22" s="171">
        <v>3895</v>
      </c>
      <c r="S22" s="171">
        <f t="shared" ref="S22:S28" si="12">G22*0.05</f>
        <v>104.9</v>
      </c>
      <c r="T22" s="131">
        <f t="shared" si="8"/>
        <v>4209.7</v>
      </c>
      <c r="U22" s="138">
        <f t="shared" si="5"/>
        <v>4314.5999999999995</v>
      </c>
      <c r="V22" s="138">
        <f>+G22*0.05+U22</f>
        <v>4419.4999999999991</v>
      </c>
      <c r="W22" s="138">
        <f>+G22*0.05+V22-300</f>
        <v>4224.3999999999987</v>
      </c>
      <c r="X22" s="155">
        <f t="shared" si="4"/>
        <v>4329.2999999999984</v>
      </c>
    </row>
    <row r="23" spans="1:24" x14ac:dyDescent="0.25">
      <c r="A23" s="81" t="s">
        <v>1252</v>
      </c>
      <c r="B23" s="81" t="s">
        <v>867</v>
      </c>
      <c r="C23" s="265">
        <v>38021</v>
      </c>
      <c r="D23" s="275">
        <v>38203</v>
      </c>
      <c r="E23" s="384">
        <v>5000</v>
      </c>
      <c r="F23" s="385">
        <v>1800</v>
      </c>
      <c r="G23" s="386">
        <v>299</v>
      </c>
      <c r="H23" s="263">
        <v>2300</v>
      </c>
      <c r="I23" s="263"/>
      <c r="J23" s="386">
        <v>300</v>
      </c>
      <c r="K23" s="386"/>
      <c r="L23" s="406">
        <f t="shared" ref="L23" si="13">+F23+H23+J23</f>
        <v>4400</v>
      </c>
      <c r="M23" s="407">
        <f t="shared" ref="M23" si="14">+G23+I23+K23</f>
        <v>299</v>
      </c>
      <c r="N23" s="986">
        <v>41439</v>
      </c>
      <c r="O23" s="403"/>
      <c r="P23" s="578"/>
      <c r="Q23" s="171"/>
      <c r="R23" s="171"/>
      <c r="S23" s="171"/>
      <c r="T23" s="131"/>
      <c r="U23" s="138"/>
      <c r="V23" s="138"/>
      <c r="W23" s="138"/>
      <c r="X23" s="155"/>
    </row>
    <row r="24" spans="1:24" x14ac:dyDescent="0.25">
      <c r="A24" s="81" t="s">
        <v>337</v>
      </c>
      <c r="B24" s="81" t="s">
        <v>21</v>
      </c>
      <c r="C24" s="265">
        <v>37802</v>
      </c>
      <c r="D24" s="275">
        <v>38168</v>
      </c>
      <c r="E24" s="384">
        <v>10000</v>
      </c>
      <c r="F24" s="385"/>
      <c r="G24" s="386">
        <v>2122</v>
      </c>
      <c r="H24" s="263"/>
      <c r="I24" s="263">
        <v>5483</v>
      </c>
      <c r="J24" s="386"/>
      <c r="K24" s="386">
        <v>1056</v>
      </c>
      <c r="L24" s="406">
        <f t="shared" si="0"/>
        <v>0</v>
      </c>
      <c r="M24" s="407">
        <f t="shared" si="1"/>
        <v>8661</v>
      </c>
      <c r="N24" s="986">
        <v>41122</v>
      </c>
      <c r="O24" s="403"/>
      <c r="P24" s="578"/>
      <c r="Q24" s="171">
        <f t="shared" si="11"/>
        <v>11187.2</v>
      </c>
      <c r="R24" s="171">
        <v>10975</v>
      </c>
      <c r="S24" s="171">
        <f t="shared" si="12"/>
        <v>106.10000000000001</v>
      </c>
      <c r="T24" s="131">
        <f t="shared" si="8"/>
        <v>11293.300000000001</v>
      </c>
      <c r="U24" s="138">
        <f t="shared" si="5"/>
        <v>11399.400000000001</v>
      </c>
      <c r="V24" s="138">
        <f>+G24*0.05+U24</f>
        <v>11505.500000000002</v>
      </c>
      <c r="W24" s="138">
        <f t="shared" ref="W24:W28" si="15">+G24*0.05+V24</f>
        <v>11611.600000000002</v>
      </c>
      <c r="X24" s="155">
        <f t="shared" si="4"/>
        <v>11717.700000000003</v>
      </c>
    </row>
    <row r="25" spans="1:24" x14ac:dyDescent="0.25">
      <c r="A25" s="81" t="s">
        <v>314</v>
      </c>
      <c r="B25" s="81" t="s">
        <v>9</v>
      </c>
      <c r="C25" s="265">
        <v>38016</v>
      </c>
      <c r="D25" s="275">
        <v>38321</v>
      </c>
      <c r="E25" s="418">
        <v>7000</v>
      </c>
      <c r="F25" s="405"/>
      <c r="G25" s="406">
        <v>5652</v>
      </c>
      <c r="H25" s="263"/>
      <c r="I25" s="263">
        <v>17543</v>
      </c>
      <c r="J25" s="406"/>
      <c r="K25" s="406">
        <v>8615</v>
      </c>
      <c r="L25" s="406">
        <f t="shared" si="0"/>
        <v>0</v>
      </c>
      <c r="M25" s="407">
        <f t="shared" si="1"/>
        <v>31810</v>
      </c>
      <c r="N25" s="986">
        <v>39804</v>
      </c>
      <c r="O25" s="403"/>
      <c r="P25" s="578"/>
      <c r="Q25" s="171">
        <f t="shared" si="11"/>
        <v>5979.2000000000007</v>
      </c>
      <c r="R25" s="171">
        <v>5414</v>
      </c>
      <c r="S25" s="171">
        <f t="shared" si="12"/>
        <v>282.60000000000002</v>
      </c>
      <c r="T25" s="131">
        <f t="shared" si="8"/>
        <v>6261.8000000000011</v>
      </c>
      <c r="U25" s="138">
        <f>G25*0.05+T25-159</f>
        <v>6385.4000000000015</v>
      </c>
      <c r="V25" s="138">
        <f>+G25*0.05+U25</f>
        <v>6668.0000000000018</v>
      </c>
      <c r="W25" s="138">
        <f t="shared" si="15"/>
        <v>6950.6000000000022</v>
      </c>
      <c r="X25" s="155">
        <f t="shared" si="4"/>
        <v>7233.2000000000025</v>
      </c>
    </row>
    <row r="26" spans="1:24" x14ac:dyDescent="0.25">
      <c r="A26" s="81" t="s">
        <v>315</v>
      </c>
      <c r="B26" s="81" t="s">
        <v>12</v>
      </c>
      <c r="C26" s="265">
        <v>38013</v>
      </c>
      <c r="D26" s="275">
        <v>38348</v>
      </c>
      <c r="E26" s="418">
        <v>10000</v>
      </c>
      <c r="F26" s="405">
        <v>1000</v>
      </c>
      <c r="G26" s="406">
        <v>4175</v>
      </c>
      <c r="H26" s="263">
        <v>1000</v>
      </c>
      <c r="I26" s="263">
        <v>14475</v>
      </c>
      <c r="J26" s="406"/>
      <c r="K26" s="406">
        <v>783</v>
      </c>
      <c r="L26" s="406">
        <f t="shared" si="0"/>
        <v>2000</v>
      </c>
      <c r="M26" s="407">
        <f t="shared" si="1"/>
        <v>19433</v>
      </c>
      <c r="N26" s="986">
        <v>41401</v>
      </c>
      <c r="O26" s="403"/>
      <c r="P26" s="578"/>
      <c r="Q26" s="171"/>
      <c r="R26" s="171">
        <v>2719.5</v>
      </c>
      <c r="S26" s="171">
        <f t="shared" si="12"/>
        <v>208.75</v>
      </c>
      <c r="T26" s="131">
        <f t="shared" si="8"/>
        <v>208.75</v>
      </c>
      <c r="U26" s="138">
        <f>G26*0.05+T26</f>
        <v>417.5</v>
      </c>
      <c r="V26" s="138"/>
      <c r="W26" s="138">
        <f t="shared" si="15"/>
        <v>208.75</v>
      </c>
      <c r="X26" s="155">
        <f t="shared" si="4"/>
        <v>417.5</v>
      </c>
    </row>
    <row r="27" spans="1:24" x14ac:dyDescent="0.25">
      <c r="A27" s="81" t="s">
        <v>338</v>
      </c>
      <c r="B27" s="81" t="s">
        <v>9</v>
      </c>
      <c r="C27" s="265">
        <v>37873</v>
      </c>
      <c r="D27" s="275">
        <v>38019</v>
      </c>
      <c r="E27" s="384">
        <v>3000</v>
      </c>
      <c r="F27" s="385">
        <v>50</v>
      </c>
      <c r="G27" s="386">
        <v>649</v>
      </c>
      <c r="H27" s="263">
        <v>50</v>
      </c>
      <c r="I27" s="263">
        <v>2786</v>
      </c>
      <c r="J27" s="386"/>
      <c r="K27" s="386">
        <v>150</v>
      </c>
      <c r="L27" s="406">
        <f t="shared" si="0"/>
        <v>100</v>
      </c>
      <c r="M27" s="407">
        <f t="shared" si="1"/>
        <v>3585</v>
      </c>
      <c r="N27" s="986">
        <v>41408</v>
      </c>
      <c r="O27" s="403"/>
      <c r="P27" s="578"/>
      <c r="Q27" s="171">
        <f>G27*0.05+R27+S27</f>
        <v>17607.900000000001</v>
      </c>
      <c r="R27" s="171">
        <v>17543</v>
      </c>
      <c r="S27" s="171">
        <f t="shared" si="12"/>
        <v>32.450000000000003</v>
      </c>
      <c r="T27" s="131">
        <f t="shared" si="8"/>
        <v>17640.350000000002</v>
      </c>
      <c r="U27" s="138">
        <f>G27*0.05+T27</f>
        <v>17672.800000000003</v>
      </c>
      <c r="V27" s="138">
        <f>+G27*0.05+U27</f>
        <v>17705.250000000004</v>
      </c>
      <c r="W27" s="138">
        <f t="shared" si="15"/>
        <v>17737.700000000004</v>
      </c>
      <c r="X27" s="155">
        <f t="shared" si="4"/>
        <v>17770.150000000005</v>
      </c>
    </row>
    <row r="28" spans="1:24" ht="15.75" thickBot="1" x14ac:dyDescent="0.3">
      <c r="A28" s="284" t="s">
        <v>339</v>
      </c>
      <c r="B28" s="284" t="s">
        <v>9</v>
      </c>
      <c r="C28" s="285">
        <v>37939</v>
      </c>
      <c r="D28" s="586">
        <v>38183</v>
      </c>
      <c r="E28" s="637">
        <v>8000</v>
      </c>
      <c r="F28" s="638"/>
      <c r="G28" s="639">
        <v>1837</v>
      </c>
      <c r="H28" s="302"/>
      <c r="I28" s="302">
        <v>1984</v>
      </c>
      <c r="J28" s="639"/>
      <c r="K28" s="639">
        <v>1579</v>
      </c>
      <c r="L28" s="411">
        <f t="shared" si="0"/>
        <v>0</v>
      </c>
      <c r="M28" s="412">
        <f t="shared" si="1"/>
        <v>5400</v>
      </c>
      <c r="N28" s="994">
        <v>41018</v>
      </c>
      <c r="O28" s="408"/>
      <c r="P28" s="580"/>
      <c r="Q28" s="171">
        <f>G28*0.05+R28+S28-500</f>
        <v>20456.699999999997</v>
      </c>
      <c r="R28" s="171">
        <v>20773</v>
      </c>
      <c r="S28" s="171">
        <f t="shared" si="12"/>
        <v>91.850000000000009</v>
      </c>
      <c r="T28" s="131">
        <v>20960.5</v>
      </c>
      <c r="U28" s="138">
        <f>G28*0.05+T28-500</f>
        <v>20552.349999999999</v>
      </c>
      <c r="V28" s="138">
        <f>+G28*0.05+U28</f>
        <v>20644.199999999997</v>
      </c>
      <c r="W28" s="138">
        <f t="shared" si="15"/>
        <v>20736.049999999996</v>
      </c>
      <c r="X28" s="155">
        <f t="shared" si="4"/>
        <v>20827.899999999994</v>
      </c>
    </row>
    <row r="29" spans="1:24" ht="15.75" thickBot="1" x14ac:dyDescent="0.3">
      <c r="A29" s="633" t="s">
        <v>1231</v>
      </c>
      <c r="B29" s="633"/>
      <c r="C29" s="634"/>
      <c r="D29" s="634"/>
      <c r="E29" s="435">
        <f t="shared" ref="E29:M29" si="16">SUM(E7:E28)</f>
        <v>135000</v>
      </c>
      <c r="F29" s="309">
        <f t="shared" si="16"/>
        <v>3050</v>
      </c>
      <c r="G29" s="310">
        <f t="shared" si="16"/>
        <v>66934</v>
      </c>
      <c r="H29" s="311">
        <f t="shared" si="16"/>
        <v>3750</v>
      </c>
      <c r="I29" s="635">
        <f t="shared" si="16"/>
        <v>267573.84999999998</v>
      </c>
      <c r="J29" s="309">
        <f t="shared" si="16"/>
        <v>500</v>
      </c>
      <c r="K29" s="310">
        <f t="shared" si="16"/>
        <v>89455</v>
      </c>
      <c r="L29" s="411">
        <f t="shared" si="16"/>
        <v>7300</v>
      </c>
      <c r="M29" s="636">
        <f t="shared" si="16"/>
        <v>423962.85</v>
      </c>
      <c r="N29" s="1029"/>
      <c r="O29" s="371"/>
      <c r="P29" s="371"/>
      <c r="Q29" s="121"/>
      <c r="R29" s="121"/>
      <c r="S29" s="121"/>
      <c r="T29" s="121"/>
      <c r="U29" s="121"/>
      <c r="V29" s="121"/>
      <c r="W29" s="121"/>
      <c r="X29" s="121"/>
    </row>
    <row r="30" spans="1:24" x14ac:dyDescent="0.25">
      <c r="I30" s="98"/>
      <c r="J30" s="98"/>
      <c r="L30" s="9"/>
    </row>
    <row r="34" spans="6:6" x14ac:dyDescent="0.25">
      <c r="F34" s="9" t="e">
        <f>+#REF!+#REF!+#REF!+#REF!+#REF!+#REF!+#REF!+#REF!+#REF!+#REF!</f>
        <v>#REF!</v>
      </c>
    </row>
  </sheetData>
  <sortState ref="A7:O49">
    <sortCondition ref="A7:A49"/>
  </sortState>
  <mergeCells count="4">
    <mergeCell ref="A1:N1"/>
    <mergeCell ref="A2:N2"/>
    <mergeCell ref="A3:N3"/>
    <mergeCell ref="F4:M4"/>
  </mergeCells>
  <pageMargins left="0.7" right="0.7" top="0.75" bottom="0.75" header="0.3" footer="0.3"/>
  <pageSetup paperSize="5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X32"/>
  <sheetViews>
    <sheetView topLeftCell="A7" workbookViewId="0">
      <selection activeCell="E4" sqref="E4:M4"/>
    </sheetView>
  </sheetViews>
  <sheetFormatPr defaultRowHeight="15" x14ac:dyDescent="0.25"/>
  <cols>
    <col min="1" max="1" width="19.5703125" customWidth="1"/>
    <col min="2" max="2" width="14.85546875" customWidth="1"/>
    <col min="3" max="3" width="10.140625" customWidth="1"/>
    <col min="4" max="4" width="8.5703125" customWidth="1"/>
    <col min="5" max="5" width="10" customWidth="1"/>
    <col min="6" max="6" width="10.7109375" customWidth="1"/>
    <col min="7" max="7" width="12.42578125" customWidth="1"/>
    <col min="8" max="8" width="10.140625" customWidth="1"/>
    <col min="9" max="9" width="11" customWidth="1"/>
    <col min="10" max="10" width="9.7109375" customWidth="1"/>
    <col min="11" max="11" width="10.42578125" customWidth="1"/>
    <col min="12" max="12" width="11.42578125" customWidth="1"/>
    <col min="13" max="13" width="11.140625" customWidth="1"/>
    <col min="14" max="14" width="11.28515625" style="971" customWidth="1"/>
    <col min="15" max="15" width="8.42578125" customWidth="1"/>
    <col min="16" max="16" width="12" customWidth="1"/>
    <col min="18" max="18" width="16.42578125" customWidth="1"/>
    <col min="19" max="19" width="12" customWidth="1"/>
    <col min="23" max="23" width="10.85546875" customWidth="1"/>
    <col min="24" max="25" width="10.5703125" customWidth="1"/>
  </cols>
  <sheetData>
    <row r="1" spans="1:24" ht="15.75" x14ac:dyDescent="0.25">
      <c r="A1" s="1358" t="s">
        <v>87</v>
      </c>
      <c r="B1" s="1358"/>
      <c r="C1" s="1358"/>
      <c r="D1" s="1358"/>
      <c r="E1" s="1358"/>
      <c r="F1" s="1358"/>
      <c r="G1" s="1358"/>
      <c r="H1" s="1358"/>
      <c r="I1" s="1358"/>
      <c r="J1" s="1358"/>
      <c r="K1" s="1358"/>
      <c r="L1" s="1358"/>
      <c r="M1" s="1358"/>
      <c r="N1" s="1358"/>
      <c r="O1" s="372"/>
      <c r="P1" s="141"/>
      <c r="Q1" s="141"/>
      <c r="R1" s="141"/>
      <c r="S1" s="141"/>
      <c r="T1" s="121"/>
      <c r="U1" s="121"/>
      <c r="V1" s="121"/>
      <c r="W1" s="121"/>
    </row>
    <row r="2" spans="1:24" ht="15.75" x14ac:dyDescent="0.25">
      <c r="A2" s="1359" t="s">
        <v>340</v>
      </c>
      <c r="B2" s="1359"/>
      <c r="C2" s="1359"/>
      <c r="D2" s="1359"/>
      <c r="E2" s="1359"/>
      <c r="F2" s="1359"/>
      <c r="G2" s="1359"/>
      <c r="H2" s="1359"/>
      <c r="I2" s="1359"/>
      <c r="J2" s="1359"/>
      <c r="K2" s="1359"/>
      <c r="L2" s="1359"/>
      <c r="M2" s="1359"/>
      <c r="N2" s="1359"/>
      <c r="O2" s="373"/>
      <c r="P2" s="142"/>
      <c r="Q2" s="142"/>
      <c r="R2" s="142"/>
      <c r="S2" s="142"/>
      <c r="T2" s="121"/>
      <c r="U2" s="121"/>
      <c r="V2" s="121"/>
      <c r="W2" s="121"/>
    </row>
    <row r="3" spans="1:24" ht="16.5" thickBot="1" x14ac:dyDescent="0.3">
      <c r="A3" s="1380" t="s">
        <v>1435</v>
      </c>
      <c r="B3" s="1380"/>
      <c r="C3" s="1380"/>
      <c r="D3" s="1380"/>
      <c r="E3" s="1380"/>
      <c r="F3" s="1380"/>
      <c r="G3" s="1380"/>
      <c r="H3" s="1380"/>
      <c r="I3" s="1380"/>
      <c r="J3" s="1380"/>
      <c r="K3" s="1380"/>
      <c r="L3" s="1380"/>
      <c r="M3" s="1380"/>
      <c r="N3" s="1380"/>
      <c r="O3" s="372"/>
      <c r="P3" s="141"/>
      <c r="Q3" s="141"/>
      <c r="R3" s="141"/>
      <c r="S3" s="141"/>
      <c r="T3" s="121"/>
      <c r="U3" s="121"/>
      <c r="V3" s="121"/>
      <c r="W3" s="121"/>
    </row>
    <row r="4" spans="1:24" ht="15.75" thickBot="1" x14ac:dyDescent="0.3">
      <c r="A4" s="315"/>
      <c r="B4" s="316"/>
      <c r="C4" s="316" t="s">
        <v>139</v>
      </c>
      <c r="D4" s="317" t="s">
        <v>92</v>
      </c>
      <c r="E4" s="1381" t="s">
        <v>1440</v>
      </c>
      <c r="F4" s="1369"/>
      <c r="G4" s="1369"/>
      <c r="H4" s="1369"/>
      <c r="I4" s="1369"/>
      <c r="J4" s="1369"/>
      <c r="K4" s="1369"/>
      <c r="L4" s="1369"/>
      <c r="M4" s="1370"/>
      <c r="N4" s="1037"/>
      <c r="O4" s="375"/>
      <c r="P4" s="152"/>
      <c r="Q4" s="166"/>
      <c r="R4" s="163"/>
      <c r="S4" s="160"/>
      <c r="T4" s="121"/>
      <c r="U4" s="121"/>
      <c r="V4" s="121"/>
      <c r="W4" s="121"/>
    </row>
    <row r="5" spans="1:24" ht="15.75" thickBot="1" x14ac:dyDescent="0.3">
      <c r="A5" s="321" t="s">
        <v>2</v>
      </c>
      <c r="B5" s="322" t="s">
        <v>3</v>
      </c>
      <c r="C5" s="322" t="s">
        <v>90</v>
      </c>
      <c r="D5" s="323" t="s">
        <v>91</v>
      </c>
      <c r="E5" s="376" t="s">
        <v>6</v>
      </c>
      <c r="F5" s="241" t="s">
        <v>454</v>
      </c>
      <c r="G5" s="377" t="s">
        <v>6</v>
      </c>
      <c r="H5" s="241" t="s">
        <v>455</v>
      </c>
      <c r="I5" s="355" t="s">
        <v>19</v>
      </c>
      <c r="J5" s="241" t="s">
        <v>456</v>
      </c>
      <c r="K5" s="355" t="s">
        <v>80</v>
      </c>
      <c r="L5" s="241" t="s">
        <v>457</v>
      </c>
      <c r="M5" s="399" t="s">
        <v>400</v>
      </c>
      <c r="N5" s="356" t="s">
        <v>79</v>
      </c>
      <c r="O5" s="948" t="s">
        <v>418</v>
      </c>
      <c r="P5" s="164"/>
      <c r="Q5" s="166"/>
      <c r="R5" s="163"/>
      <c r="S5" s="160"/>
      <c r="T5" s="121"/>
      <c r="U5" s="121"/>
      <c r="V5" s="121"/>
      <c r="W5" s="121"/>
    </row>
    <row r="6" spans="1:24" ht="15.75" thickBot="1" x14ac:dyDescent="0.3">
      <c r="A6" s="934"/>
      <c r="B6" s="330"/>
      <c r="C6" s="330"/>
      <c r="D6" s="331"/>
      <c r="E6" s="379"/>
      <c r="F6" s="360" t="s">
        <v>438</v>
      </c>
      <c r="G6" s="380"/>
      <c r="H6" s="360" t="s">
        <v>438</v>
      </c>
      <c r="I6" s="241"/>
      <c r="J6" s="360" t="s">
        <v>438</v>
      </c>
      <c r="K6" s="241"/>
      <c r="L6" s="360" t="s">
        <v>452</v>
      </c>
      <c r="M6" s="241"/>
      <c r="N6" s="1038"/>
      <c r="O6" s="522"/>
      <c r="P6" s="164"/>
      <c r="Q6" s="152"/>
      <c r="R6" s="165"/>
      <c r="S6" s="160"/>
      <c r="T6" s="121"/>
      <c r="U6" s="121"/>
      <c r="V6" s="121"/>
      <c r="W6" s="121"/>
    </row>
    <row r="7" spans="1:24" x14ac:dyDescent="0.25">
      <c r="A7" s="785" t="s">
        <v>630</v>
      </c>
      <c r="B7" s="381" t="s">
        <v>588</v>
      </c>
      <c r="C7" s="959">
        <v>37413</v>
      </c>
      <c r="D7" s="382">
        <v>37652</v>
      </c>
      <c r="E7" s="798">
        <v>5000</v>
      </c>
      <c r="F7" s="794"/>
      <c r="G7" s="444">
        <v>1515</v>
      </c>
      <c r="H7" s="430"/>
      <c r="I7" s="430">
        <v>2508</v>
      </c>
      <c r="J7" s="430"/>
      <c r="K7" s="430">
        <v>2571</v>
      </c>
      <c r="L7" s="363">
        <f t="shared" ref="L7:L25" si="0">+F7+H7+J7</f>
        <v>0</v>
      </c>
      <c r="M7" s="363">
        <f t="shared" ref="M7:M25" si="1">+G7+I7+K7</f>
        <v>6594</v>
      </c>
      <c r="N7" s="1039">
        <v>41269</v>
      </c>
      <c r="O7" s="515"/>
      <c r="P7" s="947"/>
      <c r="Q7" s="152"/>
      <c r="R7" s="165"/>
      <c r="S7" s="160"/>
      <c r="T7" s="121"/>
      <c r="U7" s="121"/>
      <c r="V7" s="121"/>
      <c r="W7" s="121"/>
    </row>
    <row r="8" spans="1:24" x14ac:dyDescent="0.25">
      <c r="A8" s="556" t="s">
        <v>342</v>
      </c>
      <c r="B8" s="556" t="s">
        <v>27</v>
      </c>
      <c r="C8" s="557">
        <v>37464</v>
      </c>
      <c r="D8" s="558">
        <v>37648</v>
      </c>
      <c r="E8" s="676">
        <v>2000</v>
      </c>
      <c r="F8" s="560"/>
      <c r="G8" s="559">
        <v>136</v>
      </c>
      <c r="H8" s="497"/>
      <c r="I8" s="497">
        <v>336</v>
      </c>
      <c r="J8" s="559"/>
      <c r="K8" s="559">
        <v>173</v>
      </c>
      <c r="L8" s="559">
        <f t="shared" si="0"/>
        <v>0</v>
      </c>
      <c r="M8" s="559">
        <f t="shared" si="1"/>
        <v>645</v>
      </c>
      <c r="N8" s="1035">
        <v>41111</v>
      </c>
      <c r="O8" s="869"/>
      <c r="P8" s="23"/>
      <c r="Q8" s="84">
        <f>G8*0.05+R8+S8</f>
        <v>16548.8</v>
      </c>
      <c r="R8" s="84">
        <v>16442</v>
      </c>
      <c r="S8" s="92">
        <f>E8*0.05</f>
        <v>100</v>
      </c>
      <c r="T8" s="93">
        <f>+G8*0.05+Q8</f>
        <v>16555.599999999999</v>
      </c>
      <c r="U8" s="93">
        <f>G8*0.05+T8</f>
        <v>16562.399999999998</v>
      </c>
      <c r="V8" s="93">
        <f>+G8*0.05+U8</f>
        <v>16569.199999999997</v>
      </c>
      <c r="W8" s="19">
        <f>+G8*0.05+V8</f>
        <v>16575.999999999996</v>
      </c>
      <c r="X8" s="9">
        <f>G8*0.05+W8</f>
        <v>16582.799999999996</v>
      </c>
    </row>
    <row r="9" spans="1:24" x14ac:dyDescent="0.25">
      <c r="A9" s="81" t="s">
        <v>343</v>
      </c>
      <c r="B9" s="81" t="s">
        <v>9</v>
      </c>
      <c r="C9" s="265">
        <v>37572</v>
      </c>
      <c r="D9" s="275">
        <v>37726</v>
      </c>
      <c r="E9" s="443">
        <v>5000</v>
      </c>
      <c r="F9" s="795">
        <v>50</v>
      </c>
      <c r="G9" s="368">
        <v>3079</v>
      </c>
      <c r="H9" s="263">
        <v>50</v>
      </c>
      <c r="I9" s="263">
        <v>16092</v>
      </c>
      <c r="J9" s="368"/>
      <c r="K9" s="368">
        <v>150</v>
      </c>
      <c r="L9" s="368">
        <f t="shared" si="0"/>
        <v>100</v>
      </c>
      <c r="M9" s="368">
        <f t="shared" si="1"/>
        <v>19321</v>
      </c>
      <c r="N9" s="1006">
        <v>41426</v>
      </c>
      <c r="O9" s="515"/>
      <c r="P9" s="23"/>
      <c r="Q9" s="84"/>
      <c r="R9" s="84"/>
      <c r="S9" s="92"/>
      <c r="T9" s="93"/>
      <c r="U9" s="93"/>
      <c r="V9" s="93"/>
      <c r="W9" s="19"/>
      <c r="X9" s="9"/>
    </row>
    <row r="10" spans="1:24" x14ac:dyDescent="0.25">
      <c r="A10" s="81" t="s">
        <v>344</v>
      </c>
      <c r="B10" s="81" t="s">
        <v>32</v>
      </c>
      <c r="C10" s="265">
        <v>37397</v>
      </c>
      <c r="D10" s="275">
        <v>37701</v>
      </c>
      <c r="E10" s="443">
        <v>5000</v>
      </c>
      <c r="F10" s="795"/>
      <c r="G10" s="368">
        <v>1735</v>
      </c>
      <c r="H10" s="263"/>
      <c r="I10" s="263">
        <v>1591</v>
      </c>
      <c r="J10" s="368"/>
      <c r="K10" s="368">
        <v>500</v>
      </c>
      <c r="L10" s="368">
        <f t="shared" si="0"/>
        <v>0</v>
      </c>
      <c r="M10" s="368">
        <f t="shared" si="1"/>
        <v>3826</v>
      </c>
      <c r="N10" s="1006">
        <v>40680</v>
      </c>
      <c r="O10" s="520"/>
      <c r="P10" s="23"/>
      <c r="Q10" s="84">
        <f>G10*0.05+R10+S10</f>
        <v>4440.75</v>
      </c>
      <c r="R10" s="84">
        <f>3991+113</f>
        <v>4104</v>
      </c>
      <c r="S10" s="92">
        <f>E10*0.05</f>
        <v>250</v>
      </c>
      <c r="T10" s="93">
        <f>+G10*0.05+Q10</f>
        <v>4527.5</v>
      </c>
      <c r="U10" s="93">
        <f>G10*0.05+T10</f>
        <v>4614.25</v>
      </c>
      <c r="V10" s="93">
        <f>+G10*0.05+U10</f>
        <v>4701</v>
      </c>
      <c r="W10" s="19">
        <f>+G10*0.05+V10-500</f>
        <v>4287.75</v>
      </c>
      <c r="X10" s="9">
        <f>G10*0.05+W10</f>
        <v>4374.5</v>
      </c>
    </row>
    <row r="11" spans="1:24" x14ac:dyDescent="0.25">
      <c r="A11" s="556" t="s">
        <v>326</v>
      </c>
      <c r="B11" s="556" t="s">
        <v>15</v>
      </c>
      <c r="C11" s="557">
        <v>37694</v>
      </c>
      <c r="D11" s="558">
        <v>37878</v>
      </c>
      <c r="E11" s="672">
        <v>3000</v>
      </c>
      <c r="F11" s="674">
        <v>50</v>
      </c>
      <c r="G11" s="663">
        <v>615</v>
      </c>
      <c r="H11" s="497">
        <v>50</v>
      </c>
      <c r="I11" s="497">
        <v>1975</v>
      </c>
      <c r="J11" s="663"/>
      <c r="K11" s="663">
        <v>566</v>
      </c>
      <c r="L11" s="559">
        <f t="shared" si="0"/>
        <v>100</v>
      </c>
      <c r="M11" s="559">
        <f t="shared" si="1"/>
        <v>3156</v>
      </c>
      <c r="N11" s="1035">
        <v>41346</v>
      </c>
      <c r="O11" s="303"/>
      <c r="P11" s="23"/>
      <c r="Q11" s="84"/>
      <c r="R11" s="84"/>
      <c r="S11" s="92"/>
      <c r="T11" s="93"/>
      <c r="U11" s="93"/>
      <c r="V11" s="93"/>
      <c r="W11" s="19"/>
      <c r="X11" s="9"/>
    </row>
    <row r="12" spans="1:24" x14ac:dyDescent="0.25">
      <c r="A12" s="81" t="s">
        <v>350</v>
      </c>
      <c r="B12" s="81" t="s">
        <v>21</v>
      </c>
      <c r="C12" s="265">
        <v>37469</v>
      </c>
      <c r="D12" s="275">
        <v>37834</v>
      </c>
      <c r="E12" s="443">
        <v>5000</v>
      </c>
      <c r="F12" s="795"/>
      <c r="G12" s="368">
        <v>2332</v>
      </c>
      <c r="H12" s="263"/>
      <c r="I12" s="263">
        <v>816</v>
      </c>
      <c r="J12" s="368"/>
      <c r="K12" s="368">
        <v>4566</v>
      </c>
      <c r="L12" s="368">
        <f t="shared" si="0"/>
        <v>0</v>
      </c>
      <c r="M12" s="368">
        <f t="shared" si="1"/>
        <v>7714</v>
      </c>
      <c r="N12" s="1006">
        <v>41128</v>
      </c>
      <c r="O12" s="515"/>
      <c r="P12" s="23"/>
      <c r="Q12" s="84">
        <f>G12*0.05+R12+S12-1000</f>
        <v>17319.599999999999</v>
      </c>
      <c r="R12" s="84">
        <v>17953</v>
      </c>
      <c r="S12" s="92">
        <f>E12*0.05</f>
        <v>250</v>
      </c>
      <c r="T12" s="93">
        <f>+G12*0.05+Q12</f>
        <v>17436.199999999997</v>
      </c>
      <c r="U12" s="93">
        <f>G12*0.05+T12</f>
        <v>17552.799999999996</v>
      </c>
      <c r="V12" s="93">
        <f>+G12*0.05+U12</f>
        <v>17669.399999999994</v>
      </c>
      <c r="W12" s="93">
        <f>+G12*0.05+V12-300</f>
        <v>17485.999999999993</v>
      </c>
      <c r="X12" s="9">
        <f>G12*0.05+W12</f>
        <v>17602.599999999991</v>
      </c>
    </row>
    <row r="13" spans="1:24" x14ac:dyDescent="0.25">
      <c r="A13" s="81" t="s">
        <v>351</v>
      </c>
      <c r="B13" s="81" t="s">
        <v>27</v>
      </c>
      <c r="C13" s="265">
        <v>37362</v>
      </c>
      <c r="D13" s="275">
        <v>37668</v>
      </c>
      <c r="E13" s="443">
        <v>7000</v>
      </c>
      <c r="F13" s="795"/>
      <c r="G13" s="368">
        <v>575</v>
      </c>
      <c r="H13" s="263"/>
      <c r="I13" s="263"/>
      <c r="J13" s="368"/>
      <c r="K13" s="368">
        <v>2734</v>
      </c>
      <c r="L13" s="368">
        <f t="shared" si="0"/>
        <v>0</v>
      </c>
      <c r="M13" s="368">
        <f t="shared" si="1"/>
        <v>3309</v>
      </c>
      <c r="N13" s="1006">
        <v>41305</v>
      </c>
      <c r="O13" s="515"/>
      <c r="P13" s="23"/>
      <c r="Q13" s="84">
        <v>3589</v>
      </c>
      <c r="R13" s="84">
        <v>3689</v>
      </c>
      <c r="S13" s="92">
        <f>E13*0.05</f>
        <v>350</v>
      </c>
      <c r="T13" s="93">
        <v>3589</v>
      </c>
      <c r="U13" s="93">
        <f>G13*0.05+T13-100</f>
        <v>3517.75</v>
      </c>
      <c r="V13" s="93">
        <f>+G13*0.05+U13</f>
        <v>3546.5</v>
      </c>
      <c r="W13" s="93">
        <f>+G13*0.05+V13</f>
        <v>3575.25</v>
      </c>
      <c r="X13" s="9">
        <f t="shared" ref="X13:X20" si="2">G13*0.05+W13</f>
        <v>3604</v>
      </c>
    </row>
    <row r="14" spans="1:24" x14ac:dyDescent="0.25">
      <c r="A14" s="81" t="s">
        <v>352</v>
      </c>
      <c r="B14" s="81" t="s">
        <v>13</v>
      </c>
      <c r="C14" s="265">
        <v>37537</v>
      </c>
      <c r="D14" s="275">
        <v>37741</v>
      </c>
      <c r="E14" s="443">
        <v>3000</v>
      </c>
      <c r="F14" s="795"/>
      <c r="G14" s="368">
        <v>1475</v>
      </c>
      <c r="H14" s="263"/>
      <c r="I14" s="263">
        <v>5440</v>
      </c>
      <c r="J14" s="368"/>
      <c r="K14" s="368">
        <v>1561</v>
      </c>
      <c r="L14" s="368">
        <f t="shared" si="0"/>
        <v>0</v>
      </c>
      <c r="M14" s="368">
        <f t="shared" si="1"/>
        <v>8476</v>
      </c>
      <c r="N14" s="1006">
        <v>40586</v>
      </c>
      <c r="O14" s="515"/>
      <c r="P14" s="23"/>
      <c r="Q14" s="84">
        <v>5510</v>
      </c>
      <c r="R14" s="84">
        <v>5660</v>
      </c>
      <c r="S14" s="92">
        <f>E14*0.05</f>
        <v>150</v>
      </c>
      <c r="T14" s="93">
        <f>+G14*0.05+Q14</f>
        <v>5583.75</v>
      </c>
      <c r="U14" s="93">
        <v>5350</v>
      </c>
      <c r="V14" s="93">
        <v>5315</v>
      </c>
      <c r="W14" s="93">
        <f>+G14*0.05+V14-20</f>
        <v>5368.75</v>
      </c>
      <c r="X14" s="9">
        <f t="shared" si="2"/>
        <v>5442.5</v>
      </c>
    </row>
    <row r="15" spans="1:24" x14ac:dyDescent="0.25">
      <c r="A15" s="81" t="s">
        <v>329</v>
      </c>
      <c r="B15" s="81" t="s">
        <v>27</v>
      </c>
      <c r="C15" s="265">
        <v>37712</v>
      </c>
      <c r="D15" s="275">
        <v>37773</v>
      </c>
      <c r="E15" s="799">
        <v>20000</v>
      </c>
      <c r="F15" s="796">
        <v>40</v>
      </c>
      <c r="G15" s="386">
        <v>16270</v>
      </c>
      <c r="H15" s="263">
        <v>80</v>
      </c>
      <c r="I15" s="263">
        <v>42690</v>
      </c>
      <c r="J15" s="386">
        <v>80</v>
      </c>
      <c r="K15" s="386">
        <v>19563</v>
      </c>
      <c r="L15" s="368">
        <f t="shared" si="0"/>
        <v>200</v>
      </c>
      <c r="M15" s="368">
        <f t="shared" si="1"/>
        <v>78523</v>
      </c>
      <c r="N15" s="1006">
        <v>41622</v>
      </c>
      <c r="O15" s="515" t="s">
        <v>666</v>
      </c>
      <c r="P15" s="173">
        <f>G15*0.05+Q15+R15-200-400</f>
        <v>68913.5</v>
      </c>
      <c r="Q15" s="173">
        <v>67700</v>
      </c>
      <c r="R15" s="173">
        <f>E15*0.05</f>
        <v>1000</v>
      </c>
      <c r="S15" s="138">
        <f>+G15*0.05+P15</f>
        <v>69727</v>
      </c>
      <c r="T15" s="138">
        <v>66400</v>
      </c>
      <c r="U15" s="138">
        <v>66340</v>
      </c>
      <c r="V15" s="138">
        <f>+G15*0.05+U15-120</f>
        <v>67033.5</v>
      </c>
      <c r="W15" s="131">
        <f>G15*0.05+V15</f>
        <v>67847</v>
      </c>
      <c r="X15" s="9">
        <f t="shared" si="2"/>
        <v>68660.5</v>
      </c>
    </row>
    <row r="16" spans="1:24" x14ac:dyDescent="0.25">
      <c r="A16" s="81" t="s">
        <v>355</v>
      </c>
      <c r="B16" s="81" t="s">
        <v>17</v>
      </c>
      <c r="C16" s="265">
        <v>37503</v>
      </c>
      <c r="D16" s="275">
        <v>37863</v>
      </c>
      <c r="E16" s="443">
        <v>5000</v>
      </c>
      <c r="F16" s="795"/>
      <c r="G16" s="368">
        <v>3653</v>
      </c>
      <c r="H16" s="263"/>
      <c r="I16" s="263">
        <v>11804.95</v>
      </c>
      <c r="J16" s="368"/>
      <c r="K16" s="368"/>
      <c r="L16" s="368">
        <f t="shared" si="0"/>
        <v>0</v>
      </c>
      <c r="M16" s="368">
        <f t="shared" si="1"/>
        <v>15457.95</v>
      </c>
      <c r="N16" s="1006">
        <v>40473</v>
      </c>
      <c r="O16" s="515"/>
      <c r="P16" s="23"/>
      <c r="Q16" s="84">
        <f>G16*0.05+R16+S16</f>
        <v>13574.65</v>
      </c>
      <c r="R16" s="84">
        <v>13142</v>
      </c>
      <c r="S16" s="92">
        <f>E16*0.05</f>
        <v>250</v>
      </c>
      <c r="T16" s="93">
        <f>+G16*0.05+Q16</f>
        <v>13757.3</v>
      </c>
      <c r="U16" s="93">
        <f>G16*0.05+T16</f>
        <v>13939.949999999999</v>
      </c>
      <c r="V16" s="93">
        <v>12142</v>
      </c>
      <c r="W16" s="93">
        <f>+G16*0.05+V16</f>
        <v>12324.65</v>
      </c>
      <c r="X16" s="9">
        <f t="shared" si="2"/>
        <v>12507.3</v>
      </c>
    </row>
    <row r="17" spans="1:24" x14ac:dyDescent="0.25">
      <c r="A17" s="81" t="s">
        <v>357</v>
      </c>
      <c r="B17" s="81" t="s">
        <v>1152</v>
      </c>
      <c r="C17" s="265">
        <v>38219</v>
      </c>
      <c r="D17" s="275">
        <v>37680</v>
      </c>
      <c r="E17" s="443">
        <v>3000</v>
      </c>
      <c r="F17" s="795"/>
      <c r="G17" s="368">
        <v>1845</v>
      </c>
      <c r="H17" s="263"/>
      <c r="I17" s="263">
        <v>2247</v>
      </c>
      <c r="J17" s="368"/>
      <c r="K17" s="368">
        <v>422</v>
      </c>
      <c r="L17" s="368">
        <f t="shared" si="0"/>
        <v>0</v>
      </c>
      <c r="M17" s="368">
        <f t="shared" si="1"/>
        <v>4514</v>
      </c>
      <c r="N17" s="1006">
        <v>41041</v>
      </c>
      <c r="O17" s="515"/>
      <c r="P17" s="23"/>
      <c r="Q17" s="84"/>
      <c r="R17" s="84"/>
      <c r="S17" s="92">
        <f>E17*0.05</f>
        <v>150</v>
      </c>
      <c r="T17" s="93"/>
      <c r="U17" s="93"/>
      <c r="V17" s="93"/>
      <c r="W17" s="93"/>
      <c r="X17" s="9"/>
    </row>
    <row r="18" spans="1:24" x14ac:dyDescent="0.25">
      <c r="A18" s="387" t="s">
        <v>359</v>
      </c>
      <c r="B18" s="81" t="s">
        <v>12</v>
      </c>
      <c r="C18" s="265">
        <v>37519</v>
      </c>
      <c r="D18" s="275">
        <v>37651</v>
      </c>
      <c r="E18" s="443">
        <v>5000</v>
      </c>
      <c r="F18" s="795"/>
      <c r="G18" s="368">
        <v>2506</v>
      </c>
      <c r="H18" s="263"/>
      <c r="I18" s="263">
        <v>313</v>
      </c>
      <c r="J18" s="368"/>
      <c r="K18" s="368">
        <v>132</v>
      </c>
      <c r="L18" s="368">
        <f t="shared" si="0"/>
        <v>0</v>
      </c>
      <c r="M18" s="368">
        <f t="shared" si="1"/>
        <v>2951</v>
      </c>
      <c r="N18" s="1006">
        <v>41330</v>
      </c>
      <c r="O18" s="515"/>
      <c r="P18" s="23"/>
      <c r="Q18" s="84"/>
      <c r="R18" s="84"/>
      <c r="S18" s="92">
        <f>E18*0.05</f>
        <v>250</v>
      </c>
      <c r="T18" s="93"/>
      <c r="U18" s="93"/>
      <c r="V18" s="93"/>
      <c r="W18" s="93">
        <f>+G18*0.05+V18-15</f>
        <v>110.30000000000001</v>
      </c>
      <c r="X18" s="9">
        <f t="shared" si="2"/>
        <v>235.60000000000002</v>
      </c>
    </row>
    <row r="19" spans="1:24" x14ac:dyDescent="0.25">
      <c r="A19" s="81" t="s">
        <v>360</v>
      </c>
      <c r="B19" s="81" t="s">
        <v>12</v>
      </c>
      <c r="C19" s="265">
        <v>37470</v>
      </c>
      <c r="D19" s="275">
        <v>37654</v>
      </c>
      <c r="E19" s="443">
        <v>8000</v>
      </c>
      <c r="F19" s="795"/>
      <c r="G19" s="368">
        <v>579</v>
      </c>
      <c r="H19" s="263"/>
      <c r="I19" s="263">
        <v>174</v>
      </c>
      <c r="J19" s="368"/>
      <c r="K19" s="368">
        <v>98</v>
      </c>
      <c r="L19" s="368">
        <f t="shared" si="0"/>
        <v>0</v>
      </c>
      <c r="M19" s="368">
        <f t="shared" si="1"/>
        <v>851</v>
      </c>
      <c r="N19" s="1006">
        <v>41330</v>
      </c>
      <c r="O19" s="515"/>
      <c r="P19" s="23"/>
      <c r="Q19" s="84">
        <v>171</v>
      </c>
      <c r="R19" s="84">
        <v>211.5</v>
      </c>
      <c r="S19" s="92">
        <f>E19*0.05</f>
        <v>400</v>
      </c>
      <c r="T19" s="93">
        <v>171</v>
      </c>
      <c r="U19" s="93">
        <v>166</v>
      </c>
      <c r="V19" s="93">
        <v>156</v>
      </c>
      <c r="W19" s="93">
        <f>+G19*0.05+V19-15</f>
        <v>169.95</v>
      </c>
      <c r="X19" s="9">
        <f t="shared" si="2"/>
        <v>198.89999999999998</v>
      </c>
    </row>
    <row r="20" spans="1:24" x14ac:dyDescent="0.25">
      <c r="A20" s="556" t="s">
        <v>334</v>
      </c>
      <c r="B20" s="556" t="s">
        <v>13</v>
      </c>
      <c r="C20" s="557">
        <v>37645</v>
      </c>
      <c r="D20" s="558">
        <v>37832</v>
      </c>
      <c r="E20" s="672">
        <v>3000</v>
      </c>
      <c r="F20" s="674"/>
      <c r="G20" s="663">
        <v>54</v>
      </c>
      <c r="H20" s="497"/>
      <c r="I20" s="497">
        <v>1856</v>
      </c>
      <c r="J20" s="663"/>
      <c r="K20" s="663">
        <v>345</v>
      </c>
      <c r="L20" s="559">
        <f t="shared" si="0"/>
        <v>0</v>
      </c>
      <c r="M20" s="559">
        <f t="shared" si="1"/>
        <v>2255</v>
      </c>
      <c r="N20" s="1035">
        <v>41164</v>
      </c>
      <c r="O20" s="303"/>
      <c r="P20" s="23"/>
      <c r="Q20" s="84">
        <f>G20*0.05+R20+S20</f>
        <v>2025.7</v>
      </c>
      <c r="R20" s="84">
        <v>1873</v>
      </c>
      <c r="S20" s="92">
        <f>E20*0.05</f>
        <v>150</v>
      </c>
      <c r="T20" s="93">
        <f>+G20*0.05+Q20</f>
        <v>2028.4</v>
      </c>
      <c r="U20" s="93">
        <f>G20*0.05+T20</f>
        <v>2031.1000000000001</v>
      </c>
      <c r="V20" s="93">
        <f>+G20*0.05+U20</f>
        <v>2033.8000000000002</v>
      </c>
      <c r="W20" s="93">
        <f>+G20*0.05+V20</f>
        <v>2036.5000000000002</v>
      </c>
      <c r="X20" s="9">
        <f t="shared" si="2"/>
        <v>2039.2000000000003</v>
      </c>
    </row>
    <row r="21" spans="1:24" x14ac:dyDescent="0.25">
      <c r="A21" s="556" t="s">
        <v>369</v>
      </c>
      <c r="B21" s="556" t="s">
        <v>8</v>
      </c>
      <c r="C21" s="557">
        <v>37474</v>
      </c>
      <c r="D21" s="558">
        <v>37680</v>
      </c>
      <c r="E21" s="676">
        <v>3000</v>
      </c>
      <c r="F21" s="560"/>
      <c r="G21" s="559">
        <v>84</v>
      </c>
      <c r="H21" s="497"/>
      <c r="I21" s="497">
        <v>2830</v>
      </c>
      <c r="J21" s="559"/>
      <c r="K21" s="559"/>
      <c r="L21" s="559">
        <f t="shared" si="0"/>
        <v>0</v>
      </c>
      <c r="M21" s="559">
        <f t="shared" si="1"/>
        <v>2914</v>
      </c>
      <c r="N21" s="1035">
        <v>41310</v>
      </c>
      <c r="O21" s="303"/>
      <c r="P21" s="23"/>
      <c r="Q21" s="84"/>
      <c r="R21" s="84"/>
      <c r="S21" s="92"/>
      <c r="T21" s="93"/>
      <c r="U21" s="93"/>
      <c r="V21" s="93"/>
      <c r="W21" s="93"/>
      <c r="X21" s="9"/>
    </row>
    <row r="22" spans="1:24" x14ac:dyDescent="0.25">
      <c r="A22" s="81" t="s">
        <v>372</v>
      </c>
      <c r="B22" s="81" t="s">
        <v>32</v>
      </c>
      <c r="C22" s="265">
        <v>37440</v>
      </c>
      <c r="D22" s="275">
        <v>37624</v>
      </c>
      <c r="E22" s="443">
        <v>3000</v>
      </c>
      <c r="F22" s="795"/>
      <c r="G22" s="368">
        <v>649</v>
      </c>
      <c r="H22" s="263"/>
      <c r="I22" s="263">
        <f>G22*0.05+X22</f>
        <v>32.450000000000003</v>
      </c>
      <c r="J22" s="368"/>
      <c r="K22" s="368">
        <v>701</v>
      </c>
      <c r="L22" s="368">
        <f t="shared" si="0"/>
        <v>0</v>
      </c>
      <c r="M22" s="368">
        <f t="shared" si="1"/>
        <v>1382.45</v>
      </c>
      <c r="N22" s="1006">
        <v>39043</v>
      </c>
      <c r="O22" s="515"/>
      <c r="P22" s="23"/>
      <c r="Q22" s="84"/>
      <c r="R22" s="84"/>
      <c r="S22" s="92"/>
      <c r="T22" s="93"/>
      <c r="U22" s="93"/>
      <c r="V22" s="93"/>
      <c r="W22" s="93"/>
      <c r="X22" s="9"/>
    </row>
    <row r="23" spans="1:24" x14ac:dyDescent="0.25">
      <c r="A23" s="556" t="s">
        <v>1058</v>
      </c>
      <c r="B23" s="81" t="s">
        <v>32</v>
      </c>
      <c r="C23" s="265">
        <v>37783</v>
      </c>
      <c r="D23" s="275">
        <v>37966</v>
      </c>
      <c r="E23" s="443">
        <v>2500</v>
      </c>
      <c r="F23" s="795"/>
      <c r="G23" s="368">
        <v>700</v>
      </c>
      <c r="H23" s="263"/>
      <c r="I23" s="263">
        <v>900</v>
      </c>
      <c r="J23" s="368"/>
      <c r="K23" s="368">
        <v>750</v>
      </c>
      <c r="L23" s="368">
        <f t="shared" si="0"/>
        <v>0</v>
      </c>
      <c r="M23" s="368">
        <f t="shared" si="1"/>
        <v>2350</v>
      </c>
      <c r="N23" s="1006">
        <v>41325</v>
      </c>
      <c r="O23" s="515"/>
      <c r="P23" s="173"/>
      <c r="Q23" s="173"/>
      <c r="R23" s="173"/>
      <c r="S23" s="138"/>
      <c r="T23" s="138"/>
      <c r="U23" s="138"/>
      <c r="V23" s="138"/>
      <c r="W23" s="131"/>
    </row>
    <row r="24" spans="1:24" x14ac:dyDescent="0.25">
      <c r="A24" s="81" t="s">
        <v>375</v>
      </c>
      <c r="B24" s="81" t="s">
        <v>12</v>
      </c>
      <c r="C24" s="265">
        <v>37468</v>
      </c>
      <c r="D24" s="275">
        <v>37652</v>
      </c>
      <c r="E24" s="443">
        <v>5000</v>
      </c>
      <c r="F24" s="795"/>
      <c r="G24" s="368">
        <v>2461</v>
      </c>
      <c r="H24" s="263"/>
      <c r="I24" s="263">
        <v>6615</v>
      </c>
      <c r="J24" s="368"/>
      <c r="K24" s="368">
        <v>946</v>
      </c>
      <c r="L24" s="868">
        <f t="shared" si="0"/>
        <v>0</v>
      </c>
      <c r="M24" s="868">
        <f t="shared" si="1"/>
        <v>10022</v>
      </c>
      <c r="N24" s="1006">
        <v>41326</v>
      </c>
      <c r="O24" s="515"/>
      <c r="P24" s="173"/>
      <c r="Q24" s="173"/>
      <c r="R24" s="173"/>
      <c r="S24" s="138"/>
      <c r="T24" s="138"/>
      <c r="U24" s="138"/>
      <c r="V24" s="138"/>
      <c r="W24" s="199"/>
    </row>
    <row r="25" spans="1:24" ht="15.75" thickBot="1" x14ac:dyDescent="0.3">
      <c r="A25" s="589" t="s">
        <v>379</v>
      </c>
      <c r="B25" s="589" t="s">
        <v>13</v>
      </c>
      <c r="C25" s="590">
        <v>37501</v>
      </c>
      <c r="D25" s="866">
        <v>37710</v>
      </c>
      <c r="E25" s="867">
        <v>3000</v>
      </c>
      <c r="F25" s="592"/>
      <c r="G25" s="591">
        <v>1433</v>
      </c>
      <c r="H25" s="500"/>
      <c r="I25" s="500">
        <v>5978</v>
      </c>
      <c r="J25" s="591"/>
      <c r="K25" s="591">
        <v>3076</v>
      </c>
      <c r="L25" s="591">
        <f t="shared" si="0"/>
        <v>0</v>
      </c>
      <c r="M25" s="591">
        <f t="shared" si="1"/>
        <v>10487</v>
      </c>
      <c r="N25" s="1040">
        <v>41071</v>
      </c>
      <c r="O25" s="869"/>
      <c r="P25" s="23"/>
      <c r="Q25" s="84">
        <f>G25*0.05+R25+S25</f>
        <v>11492.65</v>
      </c>
      <c r="R25" s="84">
        <v>11271</v>
      </c>
      <c r="S25" s="92">
        <f>E25*0.05</f>
        <v>150</v>
      </c>
      <c r="T25" s="93">
        <f>+G25*0.05+Q25</f>
        <v>11564.3</v>
      </c>
      <c r="U25" s="93">
        <f>G25*0.05+T25</f>
        <v>11635.949999999999</v>
      </c>
      <c r="V25" s="93">
        <v>6943</v>
      </c>
      <c r="W25" s="19">
        <f>+G25*0.05+V25</f>
        <v>7014.65</v>
      </c>
      <c r="X25" s="9">
        <f>G25*0.05+W25</f>
        <v>7086.2999999999993</v>
      </c>
    </row>
    <row r="26" spans="1:24" ht="15.75" thickBot="1" x14ac:dyDescent="0.3">
      <c r="A26" s="633" t="s">
        <v>1232</v>
      </c>
      <c r="B26" s="633"/>
      <c r="C26" s="634"/>
      <c r="D26" s="793"/>
      <c r="E26" s="391">
        <f t="shared" ref="E26:M26" si="3">SUM(E7:E25)</f>
        <v>95500</v>
      </c>
      <c r="F26" s="390">
        <f t="shared" si="3"/>
        <v>140</v>
      </c>
      <c r="G26" s="370">
        <f t="shared" si="3"/>
        <v>41696</v>
      </c>
      <c r="H26" s="309">
        <f t="shared" si="3"/>
        <v>180</v>
      </c>
      <c r="I26" s="310">
        <f t="shared" si="3"/>
        <v>104198.39999999999</v>
      </c>
      <c r="J26" s="309">
        <f t="shared" si="3"/>
        <v>80</v>
      </c>
      <c r="K26" s="309">
        <f t="shared" si="3"/>
        <v>38854</v>
      </c>
      <c r="L26" s="391">
        <f t="shared" si="3"/>
        <v>400</v>
      </c>
      <c r="M26" s="449">
        <f t="shared" si="3"/>
        <v>184748.40000000002</v>
      </c>
      <c r="N26" s="1003"/>
      <c r="O26" s="521"/>
      <c r="P26" s="121"/>
      <c r="Q26" s="121"/>
      <c r="R26" s="121"/>
      <c r="S26" s="121"/>
      <c r="T26" s="121"/>
      <c r="U26" s="121"/>
      <c r="V26" s="121"/>
      <c r="W26" s="121"/>
    </row>
    <row r="32" spans="1:24" x14ac:dyDescent="0.25">
      <c r="F32" s="619" t="e">
        <f>+#REF!+#REF!+#REF!+#REF!+#REF!+#REF!+#REF!+#REF!+#REF!+#REF!</f>
        <v>#REF!</v>
      </c>
    </row>
  </sheetData>
  <sortState ref="A7:O24">
    <sortCondition ref="A7"/>
  </sortState>
  <mergeCells count="4">
    <mergeCell ref="A1:N1"/>
    <mergeCell ref="A2:N2"/>
    <mergeCell ref="A3:N3"/>
    <mergeCell ref="E4:M4"/>
  </mergeCells>
  <pageMargins left="0.7" right="0.7" top="0.75" bottom="0.75" header="0.3" footer="0.3"/>
  <pageSetup paperSize="5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54"/>
  <sheetViews>
    <sheetView workbookViewId="0">
      <selection activeCell="G4" sqref="G4:M4"/>
    </sheetView>
  </sheetViews>
  <sheetFormatPr defaultRowHeight="15" x14ac:dyDescent="0.25"/>
  <cols>
    <col min="1" max="1" width="20.28515625" customWidth="1"/>
    <col min="2" max="2" width="15" customWidth="1"/>
    <col min="3" max="3" width="9" customWidth="1"/>
    <col min="4" max="4" width="9.5703125" customWidth="1"/>
    <col min="5" max="6" width="11" customWidth="1"/>
    <col min="7" max="7" width="10.85546875" customWidth="1"/>
    <col min="8" max="8" width="9.85546875" customWidth="1"/>
    <col min="9" max="9" width="11" customWidth="1"/>
    <col min="10" max="10" width="10.28515625" customWidth="1"/>
    <col min="11" max="11" width="10.140625" customWidth="1"/>
    <col min="12" max="12" width="11.28515625" customWidth="1"/>
    <col min="13" max="13" width="11" customWidth="1"/>
    <col min="14" max="14" width="10.140625" style="971" customWidth="1"/>
    <col min="15" max="15" width="8.140625" customWidth="1"/>
    <col min="16" max="16" width="11" customWidth="1"/>
    <col min="17" max="17" width="9.28515625" customWidth="1"/>
    <col min="18" max="18" width="11.28515625" customWidth="1"/>
    <col min="19" max="19" width="12.42578125" customWidth="1"/>
    <col min="20" max="20" width="13.28515625" customWidth="1"/>
    <col min="21" max="21" width="11.140625" customWidth="1"/>
    <col min="24" max="24" width="10.85546875" customWidth="1"/>
  </cols>
  <sheetData>
    <row r="1" spans="1:24" ht="15.75" x14ac:dyDescent="0.25">
      <c r="A1" s="1358" t="s">
        <v>87</v>
      </c>
      <c r="B1" s="1358"/>
      <c r="C1" s="1358"/>
      <c r="D1" s="1358"/>
      <c r="E1" s="1358"/>
      <c r="F1" s="1358"/>
      <c r="G1" s="1358"/>
      <c r="H1" s="1358"/>
      <c r="I1" s="1358"/>
      <c r="J1" s="1358"/>
      <c r="K1" s="1358"/>
      <c r="L1" s="1358"/>
      <c r="M1" s="1358"/>
      <c r="N1" s="1358"/>
      <c r="O1" s="349"/>
      <c r="P1" s="86"/>
      <c r="Q1" s="86"/>
      <c r="R1" s="86"/>
      <c r="S1" s="86"/>
      <c r="T1" s="86"/>
      <c r="U1" s="86"/>
    </row>
    <row r="2" spans="1:24" ht="15.75" x14ac:dyDescent="0.25">
      <c r="A2" s="1359" t="s">
        <v>380</v>
      </c>
      <c r="B2" s="1359"/>
      <c r="C2" s="1359"/>
      <c r="D2" s="1359"/>
      <c r="E2" s="1359"/>
      <c r="F2" s="1359"/>
      <c r="G2" s="1359"/>
      <c r="H2" s="1359"/>
      <c r="I2" s="1359"/>
      <c r="J2" s="1359"/>
      <c r="K2" s="1359"/>
      <c r="L2" s="1359"/>
      <c r="M2" s="1359"/>
      <c r="N2" s="1359"/>
      <c r="O2" s="350"/>
      <c r="P2" s="87"/>
      <c r="Q2" s="87"/>
      <c r="R2" s="87"/>
      <c r="S2" s="87"/>
      <c r="T2" s="87"/>
      <c r="U2" s="87"/>
    </row>
    <row r="3" spans="1:24" ht="15.75" thickBot="1" x14ac:dyDescent="0.3">
      <c r="A3" s="351"/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1032"/>
      <c r="O3" s="351"/>
    </row>
    <row r="4" spans="1:24" ht="15.75" thickBot="1" x14ac:dyDescent="0.3">
      <c r="A4" s="315"/>
      <c r="B4" s="316"/>
      <c r="C4" s="316" t="s">
        <v>139</v>
      </c>
      <c r="D4" s="317" t="s">
        <v>92</v>
      </c>
      <c r="E4" s="802"/>
      <c r="F4" s="551"/>
      <c r="G4" s="1360" t="s">
        <v>1436</v>
      </c>
      <c r="H4" s="1360"/>
      <c r="I4" s="1360"/>
      <c r="J4" s="1360"/>
      <c r="K4" s="1360"/>
      <c r="L4" s="1360"/>
      <c r="M4" s="1383"/>
      <c r="N4" s="1033"/>
      <c r="O4" s="303"/>
      <c r="P4" s="105"/>
      <c r="Q4" s="23"/>
      <c r="R4" s="23"/>
      <c r="S4" s="24"/>
      <c r="T4" s="25"/>
      <c r="U4" s="26"/>
      <c r="V4" s="1"/>
    </row>
    <row r="5" spans="1:24" ht="15.75" thickBot="1" x14ac:dyDescent="0.3">
      <c r="A5" s="321" t="s">
        <v>2</v>
      </c>
      <c r="B5" s="322" t="s">
        <v>3</v>
      </c>
      <c r="C5" s="322" t="s">
        <v>90</v>
      </c>
      <c r="D5" s="323" t="s">
        <v>91</v>
      </c>
      <c r="E5" s="247" t="s">
        <v>406</v>
      </c>
      <c r="F5" s="552" t="s">
        <v>454</v>
      </c>
      <c r="G5" s="353" t="s">
        <v>6</v>
      </c>
      <c r="H5" s="241" t="s">
        <v>455</v>
      </c>
      <c r="I5" s="354" t="s">
        <v>19</v>
      </c>
      <c r="J5" s="241" t="s">
        <v>456</v>
      </c>
      <c r="K5" s="355" t="s">
        <v>80</v>
      </c>
      <c r="L5" s="770" t="s">
        <v>457</v>
      </c>
      <c r="M5" s="399" t="s">
        <v>400</v>
      </c>
      <c r="N5" s="328" t="s">
        <v>79</v>
      </c>
      <c r="O5" s="329" t="s">
        <v>418</v>
      </c>
      <c r="P5" s="106"/>
      <c r="Q5" s="23"/>
      <c r="R5" s="23"/>
      <c r="S5" s="24"/>
      <c r="T5" s="25"/>
      <c r="U5" s="26"/>
      <c r="V5" s="1"/>
    </row>
    <row r="6" spans="1:24" ht="15.75" thickBot="1" x14ac:dyDescent="0.3">
      <c r="A6" s="398"/>
      <c r="B6" s="330"/>
      <c r="C6" s="330"/>
      <c r="D6" s="331"/>
      <c r="E6" s="360"/>
      <c r="F6" s="800" t="s">
        <v>438</v>
      </c>
      <c r="G6" s="359"/>
      <c r="H6" s="360" t="s">
        <v>438</v>
      </c>
      <c r="I6" s="357"/>
      <c r="J6" s="360" t="s">
        <v>438</v>
      </c>
      <c r="K6" s="328"/>
      <c r="L6" s="769" t="s">
        <v>452</v>
      </c>
      <c r="M6" s="241"/>
      <c r="N6" s="1033"/>
      <c r="O6" s="303"/>
      <c r="P6" s="105"/>
      <c r="Q6" s="23"/>
      <c r="R6" s="23"/>
      <c r="S6" s="24"/>
      <c r="T6" s="29"/>
      <c r="U6" s="78"/>
      <c r="V6" s="1"/>
    </row>
    <row r="7" spans="1:24" x14ac:dyDescent="0.25">
      <c r="A7" s="81" t="s">
        <v>341</v>
      </c>
      <c r="B7" s="81" t="s">
        <v>13</v>
      </c>
      <c r="C7" s="265">
        <v>37413</v>
      </c>
      <c r="D7" s="275">
        <v>37589</v>
      </c>
      <c r="E7" s="443">
        <v>5000</v>
      </c>
      <c r="F7" s="801"/>
      <c r="G7" s="363">
        <v>2310</v>
      </c>
      <c r="H7" s="364"/>
      <c r="I7" s="364">
        <f>G7*0.05+X7</f>
        <v>11180.5</v>
      </c>
      <c r="J7" s="363"/>
      <c r="K7" s="363">
        <f>5531-500</f>
        <v>5031</v>
      </c>
      <c r="L7" s="362">
        <f t="shared" ref="L7:M9" si="0">+F7+H7+J7</f>
        <v>0</v>
      </c>
      <c r="M7" s="443">
        <f t="shared" si="0"/>
        <v>18521.5</v>
      </c>
      <c r="N7" s="1006">
        <v>40358</v>
      </c>
      <c r="O7" s="365"/>
      <c r="P7" s="23"/>
      <c r="Q7" s="84">
        <f>G7*0.05+R7+S7</f>
        <v>10987.5</v>
      </c>
      <c r="R7" s="84">
        <v>10622</v>
      </c>
      <c r="S7" s="92">
        <f t="shared" ref="S7:S18" si="1">E7*0.05</f>
        <v>250</v>
      </c>
      <c r="T7" s="94">
        <f>+G7*0.05+Q7</f>
        <v>11103</v>
      </c>
      <c r="U7" s="94">
        <f>G7*0.05+T7</f>
        <v>11218.5</v>
      </c>
      <c r="V7" s="93">
        <f>+G7*0.05+U7-500</f>
        <v>10834</v>
      </c>
      <c r="W7" s="100">
        <f>+G7*0.05+V7</f>
        <v>10949.5</v>
      </c>
      <c r="X7" s="9">
        <f>G7*0.05+W7</f>
        <v>11065</v>
      </c>
    </row>
    <row r="8" spans="1:24" x14ac:dyDescent="0.25">
      <c r="A8" s="81" t="s">
        <v>346</v>
      </c>
      <c r="B8" s="81" t="s">
        <v>796</v>
      </c>
      <c r="C8" s="265">
        <v>37413</v>
      </c>
      <c r="D8" s="275">
        <v>37560</v>
      </c>
      <c r="E8" s="443">
        <v>5000</v>
      </c>
      <c r="F8" s="955"/>
      <c r="G8" s="868">
        <v>741</v>
      </c>
      <c r="H8" s="256"/>
      <c r="I8" s="256">
        <v>2966</v>
      </c>
      <c r="J8" s="868"/>
      <c r="K8" s="868">
        <v>3243</v>
      </c>
      <c r="L8" s="675">
        <f t="shared" si="0"/>
        <v>0</v>
      </c>
      <c r="M8" s="676">
        <f t="shared" si="0"/>
        <v>6950</v>
      </c>
      <c r="N8" s="1006">
        <v>38353</v>
      </c>
      <c r="O8" s="578"/>
      <c r="P8" s="23"/>
      <c r="Q8" s="84"/>
      <c r="R8" s="84"/>
      <c r="S8" s="92"/>
      <c r="T8" s="94"/>
      <c r="U8" s="94"/>
      <c r="V8" s="93"/>
      <c r="W8" s="94"/>
      <c r="X8" s="9"/>
    </row>
    <row r="9" spans="1:24" x14ac:dyDescent="0.25">
      <c r="A9" s="556" t="s">
        <v>347</v>
      </c>
      <c r="B9" s="556" t="s">
        <v>13</v>
      </c>
      <c r="C9" s="557">
        <v>37337</v>
      </c>
      <c r="D9" s="558">
        <v>37490</v>
      </c>
      <c r="E9" s="676">
        <v>2000</v>
      </c>
      <c r="F9" s="560"/>
      <c r="G9" s="559">
        <v>1150</v>
      </c>
      <c r="H9" s="497"/>
      <c r="I9" s="497">
        <v>3112</v>
      </c>
      <c r="J9" s="559"/>
      <c r="K9" s="559">
        <f>3332+25</f>
        <v>3357</v>
      </c>
      <c r="L9" s="675">
        <f t="shared" si="0"/>
        <v>0</v>
      </c>
      <c r="M9" s="676">
        <f t="shared" si="0"/>
        <v>7619</v>
      </c>
      <c r="N9" s="1035">
        <v>40597</v>
      </c>
      <c r="O9" s="758" t="s">
        <v>888</v>
      </c>
      <c r="P9" s="23"/>
      <c r="Q9" s="84"/>
      <c r="R9" s="84"/>
      <c r="S9" s="92"/>
      <c r="T9" s="94"/>
      <c r="U9" s="94"/>
      <c r="V9" s="93"/>
      <c r="W9" s="94"/>
      <c r="X9" s="9"/>
    </row>
    <row r="10" spans="1:24" x14ac:dyDescent="0.25">
      <c r="A10" s="81" t="s">
        <v>631</v>
      </c>
      <c r="B10" s="81" t="s">
        <v>549</v>
      </c>
      <c r="C10" s="265">
        <v>37705</v>
      </c>
      <c r="D10" s="275">
        <v>37498</v>
      </c>
      <c r="E10" s="443">
        <v>5000</v>
      </c>
      <c r="F10" s="795"/>
      <c r="G10" s="368">
        <v>2511</v>
      </c>
      <c r="H10" s="263"/>
      <c r="I10" s="263">
        <v>8062</v>
      </c>
      <c r="J10" s="368"/>
      <c r="K10" s="368">
        <v>2529</v>
      </c>
      <c r="L10" s="362">
        <f t="shared" ref="L10:L18" si="2">+F10+H10+J10</f>
        <v>0</v>
      </c>
      <c r="M10" s="443">
        <f t="shared" ref="M10:M18" si="3">+G10+I10+K10</f>
        <v>13102</v>
      </c>
      <c r="N10" s="1006">
        <v>41134</v>
      </c>
      <c r="O10" s="303"/>
      <c r="P10" s="23"/>
      <c r="Q10" s="84"/>
      <c r="R10" s="84"/>
      <c r="S10" s="92">
        <f t="shared" si="1"/>
        <v>250</v>
      </c>
      <c r="T10" s="93"/>
      <c r="U10" s="93"/>
      <c r="V10" s="93"/>
      <c r="W10" s="93"/>
      <c r="X10" s="9"/>
    </row>
    <row r="11" spans="1:24" x14ac:dyDescent="0.25">
      <c r="A11" s="81" t="s">
        <v>362</v>
      </c>
      <c r="B11" s="81" t="s">
        <v>29</v>
      </c>
      <c r="C11" s="265">
        <v>37392</v>
      </c>
      <c r="D11" s="275">
        <v>37576</v>
      </c>
      <c r="E11" s="443">
        <v>6000</v>
      </c>
      <c r="F11" s="795"/>
      <c r="G11" s="368">
        <v>1960</v>
      </c>
      <c r="H11" s="263"/>
      <c r="I11" s="263">
        <v>5292</v>
      </c>
      <c r="J11" s="368"/>
      <c r="K11" s="368">
        <v>2493</v>
      </c>
      <c r="L11" s="362">
        <f t="shared" si="2"/>
        <v>0</v>
      </c>
      <c r="M11" s="443">
        <f t="shared" si="3"/>
        <v>9745</v>
      </c>
      <c r="N11" s="1006">
        <v>41134</v>
      </c>
      <c r="O11" s="303"/>
      <c r="P11" s="23"/>
      <c r="Q11" s="84">
        <f>G11*0.05+R11+S11</f>
        <v>6740</v>
      </c>
      <c r="R11" s="84">
        <v>6342</v>
      </c>
      <c r="S11" s="92">
        <f t="shared" si="1"/>
        <v>300</v>
      </c>
      <c r="T11" s="93">
        <f t="shared" ref="T11:T18" si="4">+G11*0.05+Q11</f>
        <v>6838</v>
      </c>
      <c r="U11" s="93">
        <f>G11*0.05+T11</f>
        <v>6936</v>
      </c>
      <c r="V11" s="93">
        <f>+G11*0.05+U11</f>
        <v>7034</v>
      </c>
      <c r="W11" s="93">
        <f>+G11*0.05+V11</f>
        <v>7132</v>
      </c>
      <c r="X11" s="9">
        <f t="shared" ref="X11:X18" si="5">G11*0.05+W11</f>
        <v>7230</v>
      </c>
    </row>
    <row r="12" spans="1:24" x14ac:dyDescent="0.25">
      <c r="A12" s="556" t="s">
        <v>363</v>
      </c>
      <c r="B12" s="556" t="s">
        <v>13</v>
      </c>
      <c r="C12" s="557">
        <v>37440</v>
      </c>
      <c r="D12" s="558">
        <v>37593</v>
      </c>
      <c r="E12" s="676">
        <v>3000</v>
      </c>
      <c r="F12" s="560">
        <v>30</v>
      </c>
      <c r="G12" s="559">
        <v>2390</v>
      </c>
      <c r="H12" s="497">
        <v>30</v>
      </c>
      <c r="I12" s="497">
        <v>463</v>
      </c>
      <c r="J12" s="559"/>
      <c r="K12" s="559">
        <v>1297</v>
      </c>
      <c r="L12" s="675">
        <f>+F12+H12+J12</f>
        <v>60</v>
      </c>
      <c r="M12" s="676">
        <f>+G12+I12+K12</f>
        <v>4150</v>
      </c>
      <c r="N12" s="1035">
        <v>41405</v>
      </c>
      <c r="O12" s="303"/>
      <c r="P12" s="23"/>
      <c r="Q12" s="84"/>
      <c r="R12" s="84"/>
      <c r="S12" s="92"/>
      <c r="T12" s="93"/>
      <c r="U12" s="93"/>
      <c r="V12" s="93"/>
      <c r="W12" s="93"/>
      <c r="X12" s="9"/>
    </row>
    <row r="13" spans="1:24" x14ac:dyDescent="0.25">
      <c r="A13" s="556" t="s">
        <v>366</v>
      </c>
      <c r="B13" s="556" t="s">
        <v>8</v>
      </c>
      <c r="C13" s="557">
        <v>37428</v>
      </c>
      <c r="D13" s="558">
        <v>37611</v>
      </c>
      <c r="E13" s="676">
        <v>3000</v>
      </c>
      <c r="F13" s="560"/>
      <c r="G13" s="559">
        <v>584</v>
      </c>
      <c r="H13" s="497"/>
      <c r="I13" s="497">
        <v>500</v>
      </c>
      <c r="J13" s="559"/>
      <c r="K13" s="559">
        <f>428-20-40</f>
        <v>368</v>
      </c>
      <c r="L13" s="675">
        <f>+F13+H13+J13</f>
        <v>0</v>
      </c>
      <c r="M13" s="676">
        <f>+G13+I13+K13</f>
        <v>1452</v>
      </c>
      <c r="N13" s="1036">
        <v>40862</v>
      </c>
      <c r="O13" s="303"/>
      <c r="P13" s="23"/>
      <c r="Q13" s="84"/>
      <c r="R13" s="84"/>
      <c r="S13" s="92"/>
      <c r="T13" s="93"/>
      <c r="U13" s="93"/>
      <c r="V13" s="93"/>
      <c r="W13" s="93"/>
      <c r="X13" s="9"/>
    </row>
    <row r="14" spans="1:24" x14ac:dyDescent="0.25">
      <c r="A14" s="81" t="s">
        <v>370</v>
      </c>
      <c r="B14" s="81" t="s">
        <v>416</v>
      </c>
      <c r="C14" s="265">
        <v>37414</v>
      </c>
      <c r="D14" s="275">
        <v>37498</v>
      </c>
      <c r="E14" s="443">
        <v>3000</v>
      </c>
      <c r="F14" s="795">
        <v>50</v>
      </c>
      <c r="G14" s="368">
        <v>1318</v>
      </c>
      <c r="H14" s="263">
        <v>50</v>
      </c>
      <c r="I14" s="263">
        <v>6194</v>
      </c>
      <c r="J14" s="368"/>
      <c r="K14" s="368">
        <v>290</v>
      </c>
      <c r="L14" s="362">
        <f t="shared" si="2"/>
        <v>100</v>
      </c>
      <c r="M14" s="443">
        <f t="shared" si="3"/>
        <v>7802</v>
      </c>
      <c r="N14" s="1006">
        <v>41416</v>
      </c>
      <c r="O14" s="303"/>
      <c r="P14" s="23"/>
      <c r="Q14" s="84">
        <f>G14*0.05+R14+S14</f>
        <v>6568.9</v>
      </c>
      <c r="R14" s="84">
        <v>6353</v>
      </c>
      <c r="S14" s="92">
        <f t="shared" si="1"/>
        <v>150</v>
      </c>
      <c r="T14" s="93">
        <f t="shared" si="4"/>
        <v>6634.7999999999993</v>
      </c>
      <c r="U14" s="93">
        <f>G14*0.05+T14</f>
        <v>6700.6999999999989</v>
      </c>
      <c r="V14" s="93">
        <f>+G14*0.05+U14</f>
        <v>6766.5999999999985</v>
      </c>
      <c r="W14" s="93">
        <f>+G14*0.05+V14-50</f>
        <v>6782.4999999999982</v>
      </c>
      <c r="X14" s="9">
        <f t="shared" si="5"/>
        <v>6848.3999999999978</v>
      </c>
    </row>
    <row r="15" spans="1:24" x14ac:dyDescent="0.25">
      <c r="A15" s="81" t="s">
        <v>371</v>
      </c>
      <c r="B15" s="81" t="s">
        <v>29</v>
      </c>
      <c r="C15" s="265">
        <v>37328</v>
      </c>
      <c r="D15" s="275">
        <v>37573</v>
      </c>
      <c r="E15" s="443">
        <v>4000</v>
      </c>
      <c r="F15" s="795"/>
      <c r="G15" s="368">
        <v>981</v>
      </c>
      <c r="H15" s="263"/>
      <c r="I15" s="263">
        <v>5570</v>
      </c>
      <c r="J15" s="368"/>
      <c r="K15" s="368">
        <v>2398</v>
      </c>
      <c r="L15" s="362">
        <f t="shared" si="2"/>
        <v>0</v>
      </c>
      <c r="M15" s="443">
        <f t="shared" si="3"/>
        <v>8949</v>
      </c>
      <c r="N15" s="1006">
        <v>40763</v>
      </c>
      <c r="O15" s="303"/>
      <c r="P15" s="23"/>
      <c r="Q15" s="84">
        <v>6663.5</v>
      </c>
      <c r="R15" s="84">
        <v>9503</v>
      </c>
      <c r="S15" s="92">
        <f t="shared" si="1"/>
        <v>200</v>
      </c>
      <c r="T15" s="93">
        <f t="shared" si="4"/>
        <v>6712.55</v>
      </c>
      <c r="U15" s="93">
        <v>6373</v>
      </c>
      <c r="V15" s="93">
        <v>6248</v>
      </c>
      <c r="W15" s="93">
        <f>+G15*0.05+V15-90</f>
        <v>6207.05</v>
      </c>
      <c r="X15" s="9">
        <f t="shared" si="5"/>
        <v>6256.1</v>
      </c>
    </row>
    <row r="16" spans="1:24" x14ac:dyDescent="0.25">
      <c r="A16" s="556" t="s">
        <v>374</v>
      </c>
      <c r="B16" s="556" t="s">
        <v>13</v>
      </c>
      <c r="C16" s="557">
        <v>37428</v>
      </c>
      <c r="D16" s="558">
        <v>37611</v>
      </c>
      <c r="E16" s="676">
        <v>2000</v>
      </c>
      <c r="F16" s="560"/>
      <c r="G16" s="559">
        <v>67</v>
      </c>
      <c r="H16" s="497"/>
      <c r="I16" s="497">
        <v>1435</v>
      </c>
      <c r="J16" s="559"/>
      <c r="K16" s="559">
        <v>2022</v>
      </c>
      <c r="L16" s="803">
        <f>+F16+H16+J16</f>
        <v>0</v>
      </c>
      <c r="M16" s="805">
        <f>+G16+I16+K16</f>
        <v>3524</v>
      </c>
      <c r="N16" s="1035">
        <v>41143</v>
      </c>
      <c r="O16" s="258"/>
      <c r="P16" s="23"/>
      <c r="Q16" s="84"/>
      <c r="R16" s="84"/>
      <c r="S16" s="92"/>
      <c r="T16" s="93"/>
      <c r="U16" s="93"/>
      <c r="V16" s="93"/>
      <c r="W16" s="93"/>
      <c r="X16" s="9"/>
    </row>
    <row r="17" spans="1:24" x14ac:dyDescent="0.25">
      <c r="A17" s="81" t="s">
        <v>373</v>
      </c>
      <c r="B17" s="81" t="s">
        <v>15</v>
      </c>
      <c r="C17" s="265">
        <v>37446</v>
      </c>
      <c r="D17" s="266">
        <v>37620</v>
      </c>
      <c r="E17" s="443">
        <v>5000</v>
      </c>
      <c r="F17" s="795"/>
      <c r="G17" s="368">
        <v>2320</v>
      </c>
      <c r="H17" s="263"/>
      <c r="I17" s="263">
        <v>5261</v>
      </c>
      <c r="J17" s="368"/>
      <c r="K17" s="368">
        <v>4581</v>
      </c>
      <c r="L17" s="362">
        <f t="shared" si="2"/>
        <v>0</v>
      </c>
      <c r="M17" s="443">
        <f t="shared" si="3"/>
        <v>12162</v>
      </c>
      <c r="N17" s="1006">
        <v>40546</v>
      </c>
      <c r="O17" s="303"/>
      <c r="P17" s="23"/>
      <c r="Q17" s="84">
        <f>G17*0.05+R17+S17</f>
        <v>6117</v>
      </c>
      <c r="R17" s="84">
        <v>5751</v>
      </c>
      <c r="S17" s="92">
        <f t="shared" si="1"/>
        <v>250</v>
      </c>
      <c r="T17" s="93">
        <f t="shared" si="4"/>
        <v>6233</v>
      </c>
      <c r="U17" s="93">
        <f>G17*0.05+T17</f>
        <v>6349</v>
      </c>
      <c r="V17" s="93">
        <f>+G17*0.05+U17</f>
        <v>6465</v>
      </c>
      <c r="W17" s="93">
        <f>+G17*0.05+V17</f>
        <v>6581</v>
      </c>
      <c r="X17" s="9">
        <f t="shared" si="5"/>
        <v>6697</v>
      </c>
    </row>
    <row r="18" spans="1:24" ht="15.75" thickBot="1" x14ac:dyDescent="0.3">
      <c r="A18" s="284" t="s">
        <v>377</v>
      </c>
      <c r="B18" s="284" t="s">
        <v>13</v>
      </c>
      <c r="C18" s="285">
        <v>37328</v>
      </c>
      <c r="D18" s="286">
        <v>37573</v>
      </c>
      <c r="E18" s="443">
        <v>5000</v>
      </c>
      <c r="F18" s="797"/>
      <c r="G18" s="389">
        <v>1437</v>
      </c>
      <c r="H18" s="302"/>
      <c r="I18" s="302">
        <v>1608</v>
      </c>
      <c r="J18" s="389"/>
      <c r="K18" s="389">
        <v>720</v>
      </c>
      <c r="L18" s="804">
        <f t="shared" si="2"/>
        <v>0</v>
      </c>
      <c r="M18" s="654">
        <f t="shared" si="3"/>
        <v>3765</v>
      </c>
      <c r="N18" s="1006">
        <v>40727</v>
      </c>
      <c r="O18" s="303"/>
      <c r="P18" s="23"/>
      <c r="Q18" s="84">
        <v>2133</v>
      </c>
      <c r="R18" s="84">
        <v>2433</v>
      </c>
      <c r="S18" s="92">
        <f t="shared" si="1"/>
        <v>250</v>
      </c>
      <c r="T18" s="93">
        <f t="shared" si="4"/>
        <v>2204.85</v>
      </c>
      <c r="U18" s="93">
        <f>G18*0.05+T18-300</f>
        <v>1976.6999999999998</v>
      </c>
      <c r="V18" s="93">
        <v>1658</v>
      </c>
      <c r="W18" s="93">
        <f>+G18*0.05+V18-75</f>
        <v>1654.85</v>
      </c>
      <c r="X18" s="9">
        <f t="shared" si="5"/>
        <v>1726.6999999999998</v>
      </c>
    </row>
    <row r="19" spans="1:24" ht="15.75" thickBot="1" x14ac:dyDescent="0.3">
      <c r="A19" s="633" t="s">
        <v>1233</v>
      </c>
      <c r="B19" s="633"/>
      <c r="C19" s="634"/>
      <c r="D19" s="634"/>
      <c r="E19" s="466">
        <f t="shared" ref="E19:M19" si="6">SUM(E7:E18)</f>
        <v>48000</v>
      </c>
      <c r="F19" s="309">
        <f t="shared" si="6"/>
        <v>80</v>
      </c>
      <c r="G19" s="309">
        <f t="shared" si="6"/>
        <v>17769</v>
      </c>
      <c r="H19" s="309">
        <f t="shared" si="6"/>
        <v>80</v>
      </c>
      <c r="I19" s="310">
        <f t="shared" si="6"/>
        <v>51643.5</v>
      </c>
      <c r="J19" s="310">
        <f t="shared" si="6"/>
        <v>0</v>
      </c>
      <c r="K19" s="310">
        <f t="shared" si="6"/>
        <v>28329</v>
      </c>
      <c r="L19" s="311">
        <f t="shared" si="6"/>
        <v>160</v>
      </c>
      <c r="M19" s="312">
        <f t="shared" si="6"/>
        <v>97741.5</v>
      </c>
      <c r="N19" s="1008"/>
      <c r="O19" s="371"/>
      <c r="U19" s="89"/>
    </row>
    <row r="20" spans="1:24" x14ac:dyDescent="0.25">
      <c r="A20" s="351"/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1032"/>
      <c r="O20" s="351"/>
      <c r="U20" s="11"/>
    </row>
    <row r="21" spans="1:24" x14ac:dyDescent="0.25">
      <c r="A21" s="351"/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1032"/>
      <c r="O21" s="351"/>
      <c r="U21" s="1"/>
    </row>
    <row r="22" spans="1:24" x14ac:dyDescent="0.25">
      <c r="A22" s="351"/>
      <c r="B22" s="351"/>
      <c r="C22" s="351"/>
      <c r="D22" s="351"/>
      <c r="E22" s="351"/>
      <c r="F22" s="619" t="e">
        <f>+#REF!+#REF!+#REF!+#REF!+#REF!+#REF!+#REF!+#REF!+#REF!+#REF!</f>
        <v>#REF!</v>
      </c>
      <c r="G22" s="351"/>
      <c r="H22" s="351"/>
      <c r="I22" s="351"/>
      <c r="J22" s="351"/>
      <c r="K22" s="351"/>
      <c r="L22" s="351"/>
      <c r="M22" s="351"/>
      <c r="N22" s="1032"/>
      <c r="O22" s="351"/>
      <c r="U22" s="1"/>
    </row>
    <row r="23" spans="1:24" x14ac:dyDescent="0.25">
      <c r="A23" s="351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1032"/>
      <c r="O23" s="351"/>
      <c r="U23" s="1"/>
    </row>
    <row r="24" spans="1:24" x14ac:dyDescent="0.25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1032"/>
      <c r="O24" s="351"/>
      <c r="U24" s="1"/>
    </row>
    <row r="25" spans="1:24" x14ac:dyDescent="0.25">
      <c r="A25" s="351"/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1032"/>
      <c r="O25" s="351"/>
      <c r="U25" s="1"/>
    </row>
    <row r="26" spans="1:24" x14ac:dyDescent="0.25">
      <c r="U26" s="89"/>
    </row>
    <row r="27" spans="1:24" x14ac:dyDescent="0.25">
      <c r="U27" s="1"/>
    </row>
    <row r="28" spans="1:24" x14ac:dyDescent="0.25">
      <c r="U28" s="1"/>
    </row>
    <row r="29" spans="1:24" x14ac:dyDescent="0.25">
      <c r="U29" s="1"/>
    </row>
    <row r="30" spans="1:24" x14ac:dyDescent="0.25">
      <c r="U30" s="89"/>
    </row>
    <row r="31" spans="1:24" x14ac:dyDescent="0.25">
      <c r="U31" s="1"/>
    </row>
    <row r="32" spans="1:24" x14ac:dyDescent="0.25">
      <c r="U32" s="89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  <row r="36" spans="21:21" x14ac:dyDescent="0.25">
      <c r="U36" s="89"/>
    </row>
    <row r="37" spans="21:21" x14ac:dyDescent="0.25">
      <c r="U37" s="1"/>
    </row>
    <row r="38" spans="21:21" x14ac:dyDescent="0.25">
      <c r="U38" s="90"/>
    </row>
    <row r="39" spans="21:21" x14ac:dyDescent="0.25">
      <c r="U39" s="89"/>
    </row>
    <row r="40" spans="21:21" x14ac:dyDescent="0.25">
      <c r="U40" s="89"/>
    </row>
    <row r="41" spans="21:21" x14ac:dyDescent="0.25">
      <c r="U41" s="89"/>
    </row>
    <row r="42" spans="21:21" x14ac:dyDescent="0.25">
      <c r="U42" s="1"/>
    </row>
    <row r="43" spans="21:21" x14ac:dyDescent="0.25">
      <c r="U43" s="1"/>
    </row>
    <row r="44" spans="21:21" x14ac:dyDescent="0.25">
      <c r="U44" s="1"/>
    </row>
    <row r="45" spans="21:21" x14ac:dyDescent="0.25">
      <c r="U45" s="1"/>
    </row>
    <row r="46" spans="21:21" x14ac:dyDescent="0.25">
      <c r="U46" s="90"/>
    </row>
    <row r="47" spans="21:21" x14ac:dyDescent="0.25">
      <c r="U47" s="89"/>
    </row>
    <row r="48" spans="21:21" x14ac:dyDescent="0.25">
      <c r="U48" s="1"/>
    </row>
    <row r="49" spans="21:21" x14ac:dyDescent="0.25">
      <c r="U49" s="1"/>
    </row>
    <row r="50" spans="21:21" x14ac:dyDescent="0.25">
      <c r="U50" s="1"/>
    </row>
    <row r="51" spans="21:21" x14ac:dyDescent="0.25">
      <c r="U51" s="1"/>
    </row>
    <row r="52" spans="21:21" x14ac:dyDescent="0.25">
      <c r="U52" s="89"/>
    </row>
    <row r="53" spans="21:21" x14ac:dyDescent="0.25">
      <c r="U53" s="1"/>
    </row>
    <row r="54" spans="21:21" ht="15.75" thickBot="1" x14ac:dyDescent="0.3">
      <c r="U54" s="5"/>
    </row>
  </sheetData>
  <sortState ref="A7:X24">
    <sortCondition ref="A7:A24"/>
  </sortState>
  <mergeCells count="3">
    <mergeCell ref="G4:M4"/>
    <mergeCell ref="A1:N1"/>
    <mergeCell ref="A2:N2"/>
  </mergeCells>
  <pageMargins left="0.5" right="0.5" top="0.75" bottom="0.75" header="0.3" footer="0.3"/>
  <pageSetup paperSize="5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O25"/>
  <sheetViews>
    <sheetView workbookViewId="0">
      <selection activeCell="A8" sqref="A8:XFD8"/>
    </sheetView>
  </sheetViews>
  <sheetFormatPr defaultRowHeight="15" x14ac:dyDescent="0.25"/>
  <cols>
    <col min="1" max="1" width="21.7109375" customWidth="1"/>
    <col min="2" max="2" width="16.42578125" customWidth="1"/>
    <col min="3" max="3" width="7.7109375" customWidth="1"/>
    <col min="4" max="4" width="7.5703125" customWidth="1"/>
    <col min="5" max="5" width="12" customWidth="1"/>
    <col min="6" max="6" width="10.28515625" customWidth="1"/>
    <col min="7" max="7" width="11.28515625" customWidth="1"/>
    <col min="8" max="8" width="10.42578125" customWidth="1"/>
    <col min="9" max="9" width="12.5703125" customWidth="1"/>
    <col min="10" max="10" width="9.7109375" customWidth="1"/>
    <col min="11" max="11" width="10.85546875" customWidth="1"/>
    <col min="12" max="12" width="10.5703125" customWidth="1"/>
    <col min="13" max="13" width="12" customWidth="1"/>
    <col min="14" max="14" width="10.28515625" style="971" customWidth="1"/>
    <col min="15" max="15" width="9.28515625" customWidth="1"/>
  </cols>
  <sheetData>
    <row r="1" spans="1:15" x14ac:dyDescent="0.25">
      <c r="A1" s="1358" t="s">
        <v>87</v>
      </c>
      <c r="B1" s="1358"/>
      <c r="C1" s="1358"/>
      <c r="D1" s="1358"/>
      <c r="E1" s="1358"/>
      <c r="F1" s="1358"/>
      <c r="G1" s="1358"/>
      <c r="H1" s="1358"/>
      <c r="I1" s="1358"/>
      <c r="J1" s="1358"/>
      <c r="K1" s="1358"/>
      <c r="L1" s="1358"/>
      <c r="M1" s="1358"/>
      <c r="N1" s="1358"/>
    </row>
    <row r="2" spans="1:15" x14ac:dyDescent="0.25">
      <c r="A2" s="1359" t="s">
        <v>890</v>
      </c>
      <c r="B2" s="1359"/>
      <c r="C2" s="1359"/>
      <c r="D2" s="1359"/>
      <c r="E2" s="1359"/>
      <c r="F2" s="1359"/>
      <c r="G2" s="1359"/>
      <c r="H2" s="1359"/>
      <c r="I2" s="1359"/>
      <c r="J2" s="1359"/>
      <c r="K2" s="1359"/>
      <c r="L2" s="1359"/>
      <c r="M2" s="1359"/>
      <c r="N2" s="1359"/>
    </row>
    <row r="3" spans="1:15" ht="15.75" thickBot="1" x14ac:dyDescent="0.3">
      <c r="A3" s="759"/>
      <c r="B3" s="759"/>
      <c r="C3" s="759"/>
      <c r="D3" s="759"/>
      <c r="E3" s="759"/>
      <c r="F3" s="759"/>
      <c r="G3" s="759"/>
      <c r="H3" s="759"/>
      <c r="I3" s="759"/>
      <c r="J3" s="759"/>
      <c r="K3" s="759"/>
      <c r="L3" s="759"/>
      <c r="M3" s="759"/>
      <c r="N3" s="1028"/>
    </row>
    <row r="4" spans="1:15" ht="15.75" thickBot="1" x14ac:dyDescent="0.3">
      <c r="A4" s="315"/>
      <c r="B4" s="316"/>
      <c r="C4" s="316" t="s">
        <v>139</v>
      </c>
      <c r="D4" s="649" t="s">
        <v>92</v>
      </c>
      <c r="E4" s="1381" t="s">
        <v>1440</v>
      </c>
      <c r="F4" s="1369"/>
      <c r="G4" s="1369"/>
      <c r="H4" s="1369"/>
      <c r="I4" s="1369"/>
      <c r="J4" s="1369"/>
      <c r="K4" s="1369"/>
      <c r="L4" s="1369"/>
      <c r="M4" s="1370"/>
      <c r="N4" s="1020"/>
      <c r="O4" s="807"/>
    </row>
    <row r="5" spans="1:15" ht="15.75" thickBot="1" x14ac:dyDescent="0.3">
      <c r="A5" s="321" t="s">
        <v>2</v>
      </c>
      <c r="B5" s="322" t="s">
        <v>3</v>
      </c>
      <c r="C5" s="322" t="s">
        <v>90</v>
      </c>
      <c r="D5" s="651" t="s">
        <v>91</v>
      </c>
      <c r="E5" s="376" t="s">
        <v>6</v>
      </c>
      <c r="F5" s="241" t="s">
        <v>454</v>
      </c>
      <c r="G5" s="377" t="s">
        <v>6</v>
      </c>
      <c r="H5" s="241" t="s">
        <v>455</v>
      </c>
      <c r="I5" s="355" t="s">
        <v>19</v>
      </c>
      <c r="J5" s="241" t="s">
        <v>456</v>
      </c>
      <c r="K5" s="355" t="s">
        <v>80</v>
      </c>
      <c r="L5" s="241" t="s">
        <v>457</v>
      </c>
      <c r="M5" s="399" t="s">
        <v>400</v>
      </c>
      <c r="N5" s="247" t="s">
        <v>79</v>
      </c>
      <c r="O5" s="1024" t="s">
        <v>418</v>
      </c>
    </row>
    <row r="6" spans="1:15" x14ac:dyDescent="0.25">
      <c r="A6" s="768"/>
      <c r="B6" s="330"/>
      <c r="C6" s="330"/>
      <c r="D6" s="650"/>
      <c r="E6" s="379"/>
      <c r="F6" s="360" t="s">
        <v>438</v>
      </c>
      <c r="G6" s="380"/>
      <c r="H6" s="360" t="s">
        <v>438</v>
      </c>
      <c r="I6" s="241"/>
      <c r="J6" s="360" t="s">
        <v>438</v>
      </c>
      <c r="K6" s="241"/>
      <c r="L6" s="360" t="s">
        <v>452</v>
      </c>
      <c r="M6" s="241"/>
      <c r="N6" s="1030"/>
      <c r="O6" s="1025"/>
    </row>
    <row r="7" spans="1:15" x14ac:dyDescent="0.25">
      <c r="A7" s="81" t="s">
        <v>891</v>
      </c>
      <c r="B7" s="81" t="s">
        <v>892</v>
      </c>
      <c r="C7" s="771">
        <v>40728</v>
      </c>
      <c r="D7" s="772">
        <v>40912</v>
      </c>
      <c r="E7" s="366">
        <v>150000</v>
      </c>
      <c r="F7" s="367">
        <v>10000</v>
      </c>
      <c r="G7" s="368">
        <v>130000</v>
      </c>
      <c r="H7" s="263">
        <v>5000</v>
      </c>
      <c r="I7" s="263">
        <v>90250</v>
      </c>
      <c r="J7" s="368"/>
      <c r="K7" s="368">
        <v>47941</v>
      </c>
      <c r="L7" s="369">
        <f t="shared" ref="L7:L24" si="0">F7+H7+J7</f>
        <v>15000</v>
      </c>
      <c r="M7" s="443">
        <f t="shared" ref="M7:M24" si="1">G7+I7+K7</f>
        <v>268191</v>
      </c>
      <c r="N7" s="986">
        <v>41417</v>
      </c>
      <c r="O7" s="1027"/>
    </row>
    <row r="8" spans="1:15" x14ac:dyDescent="0.25">
      <c r="A8" s="81" t="s">
        <v>893</v>
      </c>
      <c r="B8" s="81" t="s">
        <v>894</v>
      </c>
      <c r="C8" s="771">
        <v>40060</v>
      </c>
      <c r="D8" s="772">
        <v>40425</v>
      </c>
      <c r="E8" s="366">
        <v>60000</v>
      </c>
      <c r="F8" s="367"/>
      <c r="G8" s="368">
        <v>60000</v>
      </c>
      <c r="H8" s="263"/>
      <c r="I8" s="263">
        <v>117000</v>
      </c>
      <c r="J8" s="368"/>
      <c r="K8" s="368">
        <v>117266</v>
      </c>
      <c r="L8" s="369">
        <f t="shared" si="0"/>
        <v>0</v>
      </c>
      <c r="M8" s="443">
        <f t="shared" si="1"/>
        <v>294266</v>
      </c>
      <c r="N8" s="986" t="s">
        <v>76</v>
      </c>
      <c r="O8" s="1027"/>
    </row>
    <row r="9" spans="1:15" x14ac:dyDescent="0.25">
      <c r="A9" s="387" t="s">
        <v>898</v>
      </c>
      <c r="B9" s="81" t="s">
        <v>461</v>
      </c>
      <c r="C9" s="771">
        <v>39323</v>
      </c>
      <c r="D9" s="772">
        <v>39416</v>
      </c>
      <c r="E9" s="366">
        <v>50000</v>
      </c>
      <c r="F9" s="367"/>
      <c r="G9" s="368">
        <v>27740</v>
      </c>
      <c r="H9" s="263"/>
      <c r="I9" s="263">
        <v>29248</v>
      </c>
      <c r="J9" s="368"/>
      <c r="K9" s="368">
        <v>25880</v>
      </c>
      <c r="L9" s="369">
        <f t="shared" si="0"/>
        <v>0</v>
      </c>
      <c r="M9" s="443">
        <f t="shared" si="1"/>
        <v>82868</v>
      </c>
      <c r="N9" s="986">
        <v>40638</v>
      </c>
      <c r="O9" s="1027"/>
    </row>
    <row r="10" spans="1:15" x14ac:dyDescent="0.25">
      <c r="A10" s="81" t="s">
        <v>900</v>
      </c>
      <c r="B10" s="81" t="s">
        <v>901</v>
      </c>
      <c r="C10" s="771">
        <v>40274</v>
      </c>
      <c r="D10" s="772">
        <v>40365</v>
      </c>
      <c r="E10" s="366">
        <v>50000</v>
      </c>
      <c r="F10" s="367"/>
      <c r="G10" s="368">
        <v>50000</v>
      </c>
      <c r="H10" s="263"/>
      <c r="I10" s="263">
        <v>95000</v>
      </c>
      <c r="J10" s="368"/>
      <c r="K10" s="368">
        <v>25970</v>
      </c>
      <c r="L10" s="369">
        <f t="shared" si="0"/>
        <v>0</v>
      </c>
      <c r="M10" s="443">
        <f t="shared" si="1"/>
        <v>170970</v>
      </c>
      <c r="N10" s="986" t="s">
        <v>76</v>
      </c>
      <c r="O10" s="1027"/>
    </row>
    <row r="11" spans="1:15" x14ac:dyDescent="0.25">
      <c r="A11" s="81" t="s">
        <v>1062</v>
      </c>
      <c r="B11" s="556" t="s">
        <v>755</v>
      </c>
      <c r="C11" s="773">
        <v>40973</v>
      </c>
      <c r="D11" s="932">
        <v>41279</v>
      </c>
      <c r="E11" s="678">
        <v>24000</v>
      </c>
      <c r="F11" s="677"/>
      <c r="G11" s="559">
        <v>24000</v>
      </c>
      <c r="H11" s="497"/>
      <c r="I11" s="497">
        <v>16800</v>
      </c>
      <c r="J11" s="559"/>
      <c r="K11" s="559">
        <v>1974</v>
      </c>
      <c r="L11" s="369">
        <f t="shared" si="0"/>
        <v>0</v>
      </c>
      <c r="M11" s="443">
        <f t="shared" si="1"/>
        <v>42774</v>
      </c>
      <c r="N11" s="1031" t="s">
        <v>76</v>
      </c>
      <c r="O11" s="403"/>
    </row>
    <row r="12" spans="1:15" x14ac:dyDescent="0.25">
      <c r="A12" s="81" t="s">
        <v>1498</v>
      </c>
      <c r="B12" s="81" t="s">
        <v>903</v>
      </c>
      <c r="C12" s="771">
        <v>39746</v>
      </c>
      <c r="D12" s="772">
        <v>40111</v>
      </c>
      <c r="E12" s="366">
        <v>60000</v>
      </c>
      <c r="F12" s="367"/>
      <c r="G12" s="368">
        <v>60000</v>
      </c>
      <c r="H12" s="263"/>
      <c r="I12" s="263">
        <v>150000</v>
      </c>
      <c r="J12" s="368"/>
      <c r="K12" s="368">
        <v>19413</v>
      </c>
      <c r="L12" s="369">
        <f t="shared" si="0"/>
        <v>0</v>
      </c>
      <c r="M12" s="443">
        <f t="shared" si="1"/>
        <v>229413</v>
      </c>
      <c r="N12" s="986" t="s">
        <v>76</v>
      </c>
      <c r="O12" s="1027"/>
    </row>
    <row r="13" spans="1:15" x14ac:dyDescent="0.25">
      <c r="A13" s="607" t="s">
        <v>904</v>
      </c>
      <c r="B13" s="607" t="s">
        <v>511</v>
      </c>
      <c r="C13" s="776">
        <v>40365</v>
      </c>
      <c r="D13" s="777">
        <v>40549</v>
      </c>
      <c r="E13" s="778">
        <v>135000</v>
      </c>
      <c r="F13" s="779">
        <v>400</v>
      </c>
      <c r="G13" s="780">
        <v>134600</v>
      </c>
      <c r="H13" s="301">
        <v>700</v>
      </c>
      <c r="I13" s="301">
        <v>203400</v>
      </c>
      <c r="J13" s="780">
        <v>700</v>
      </c>
      <c r="K13" s="780">
        <v>44006</v>
      </c>
      <c r="L13" s="369">
        <f t="shared" si="0"/>
        <v>1800</v>
      </c>
      <c r="M13" s="443">
        <f t="shared" si="1"/>
        <v>382006</v>
      </c>
      <c r="N13" s="992">
        <v>41452</v>
      </c>
      <c r="O13" s="1026"/>
    </row>
    <row r="14" spans="1:15" x14ac:dyDescent="0.25">
      <c r="A14" s="607" t="s">
        <v>902</v>
      </c>
      <c r="B14" s="607" t="s">
        <v>879</v>
      </c>
      <c r="C14" s="776">
        <v>40645</v>
      </c>
      <c r="D14" s="777">
        <v>40951</v>
      </c>
      <c r="E14" s="778">
        <v>200000</v>
      </c>
      <c r="F14" s="779">
        <v>5000</v>
      </c>
      <c r="G14" s="780">
        <v>74665</v>
      </c>
      <c r="H14" s="301">
        <v>10000</v>
      </c>
      <c r="I14" s="301">
        <v>83333</v>
      </c>
      <c r="J14" s="780"/>
      <c r="K14" s="780">
        <v>18150</v>
      </c>
      <c r="L14" s="369">
        <f t="shared" si="0"/>
        <v>15000</v>
      </c>
      <c r="M14" s="443">
        <f t="shared" si="1"/>
        <v>176148</v>
      </c>
      <c r="N14" s="992">
        <v>41616</v>
      </c>
      <c r="O14" s="1026" t="s">
        <v>666</v>
      </c>
    </row>
    <row r="15" spans="1:15" x14ac:dyDescent="0.25">
      <c r="A15" s="607" t="s">
        <v>897</v>
      </c>
      <c r="B15" s="781" t="s">
        <v>43</v>
      </c>
      <c r="C15" s="776">
        <v>40341</v>
      </c>
      <c r="D15" s="777">
        <v>40614</v>
      </c>
      <c r="E15" s="778">
        <v>70000</v>
      </c>
      <c r="F15" s="779"/>
      <c r="G15" s="780">
        <v>30000</v>
      </c>
      <c r="H15" s="301"/>
      <c r="I15" s="301">
        <v>13000</v>
      </c>
      <c r="J15" s="780"/>
      <c r="K15" s="780">
        <v>10674</v>
      </c>
      <c r="L15" s="369">
        <f t="shared" si="0"/>
        <v>0</v>
      </c>
      <c r="M15" s="443">
        <f t="shared" si="1"/>
        <v>53674</v>
      </c>
      <c r="N15" s="992">
        <v>41391</v>
      </c>
      <c r="O15" s="1026"/>
    </row>
    <row r="16" spans="1:15" x14ac:dyDescent="0.25">
      <c r="A16" s="607" t="s">
        <v>905</v>
      </c>
      <c r="B16" s="607" t="s">
        <v>43</v>
      </c>
      <c r="C16" s="776">
        <v>41052</v>
      </c>
      <c r="D16" s="933">
        <v>41297</v>
      </c>
      <c r="E16" s="778">
        <v>200000</v>
      </c>
      <c r="F16" s="779"/>
      <c r="G16" s="780">
        <v>200000</v>
      </c>
      <c r="H16" s="301"/>
      <c r="I16" s="301">
        <v>70000</v>
      </c>
      <c r="J16" s="780"/>
      <c r="K16" s="780">
        <v>5366</v>
      </c>
      <c r="L16" s="369">
        <f t="shared" si="0"/>
        <v>0</v>
      </c>
      <c r="M16" s="443">
        <f t="shared" si="1"/>
        <v>275366</v>
      </c>
      <c r="N16" s="992" t="s">
        <v>785</v>
      </c>
      <c r="O16" s="1026"/>
    </row>
    <row r="17" spans="1:15" x14ac:dyDescent="0.25">
      <c r="A17" s="607" t="s">
        <v>906</v>
      </c>
      <c r="B17" s="607" t="s">
        <v>907</v>
      </c>
      <c r="C17" s="776">
        <v>40513</v>
      </c>
      <c r="D17" s="777">
        <v>40695</v>
      </c>
      <c r="E17" s="778">
        <v>50000</v>
      </c>
      <c r="F17" s="779"/>
      <c r="G17" s="780">
        <v>45000</v>
      </c>
      <c r="H17" s="301"/>
      <c r="I17" s="301">
        <v>31750</v>
      </c>
      <c r="J17" s="780"/>
      <c r="K17" s="780">
        <v>9262</v>
      </c>
      <c r="L17" s="369">
        <f t="shared" si="0"/>
        <v>0</v>
      </c>
      <c r="M17" s="443">
        <f t="shared" si="1"/>
        <v>86012</v>
      </c>
      <c r="N17" s="992">
        <v>41099</v>
      </c>
      <c r="O17" s="1026"/>
    </row>
    <row r="18" spans="1:15" x14ac:dyDescent="0.25">
      <c r="A18" s="607" t="s">
        <v>906</v>
      </c>
      <c r="B18" s="607" t="s">
        <v>907</v>
      </c>
      <c r="C18" s="776">
        <v>40501</v>
      </c>
      <c r="D18" s="777">
        <v>40682</v>
      </c>
      <c r="E18" s="778">
        <v>150000</v>
      </c>
      <c r="F18" s="779"/>
      <c r="G18" s="780">
        <v>130000</v>
      </c>
      <c r="H18" s="301"/>
      <c r="I18" s="301">
        <v>185000</v>
      </c>
      <c r="J18" s="780"/>
      <c r="K18" s="780">
        <v>23508</v>
      </c>
      <c r="L18" s="369">
        <f t="shared" si="0"/>
        <v>0</v>
      </c>
      <c r="M18" s="443">
        <f t="shared" si="1"/>
        <v>338508</v>
      </c>
      <c r="N18" s="992">
        <v>40826</v>
      </c>
      <c r="O18" s="1026"/>
    </row>
    <row r="19" spans="1:15" x14ac:dyDescent="0.25">
      <c r="A19" s="607" t="s">
        <v>910</v>
      </c>
      <c r="B19" s="607" t="s">
        <v>461</v>
      </c>
      <c r="C19" s="776">
        <v>39318</v>
      </c>
      <c r="D19" s="777">
        <v>39502</v>
      </c>
      <c r="E19" s="778">
        <v>30000</v>
      </c>
      <c r="F19" s="779"/>
      <c r="G19" s="780">
        <v>20000</v>
      </c>
      <c r="H19" s="301"/>
      <c r="I19" s="301">
        <v>43800</v>
      </c>
      <c r="J19" s="780"/>
      <c r="K19" s="780">
        <v>23019</v>
      </c>
      <c r="L19" s="369">
        <f t="shared" si="0"/>
        <v>0</v>
      </c>
      <c r="M19" s="443">
        <f t="shared" si="1"/>
        <v>86819</v>
      </c>
      <c r="N19" s="992">
        <v>40126</v>
      </c>
      <c r="O19" s="1026"/>
    </row>
    <row r="20" spans="1:15" x14ac:dyDescent="0.25">
      <c r="A20" s="607" t="s">
        <v>908</v>
      </c>
      <c r="B20" s="607" t="s">
        <v>909</v>
      </c>
      <c r="C20" s="776">
        <v>39808</v>
      </c>
      <c r="D20" s="777">
        <v>40152</v>
      </c>
      <c r="E20" s="778">
        <v>50000</v>
      </c>
      <c r="F20" s="779">
        <v>500</v>
      </c>
      <c r="G20" s="780">
        <v>30358</v>
      </c>
      <c r="H20" s="301">
        <v>500</v>
      </c>
      <c r="I20" s="301">
        <v>45107</v>
      </c>
      <c r="J20" s="780"/>
      <c r="K20" s="780">
        <v>9500</v>
      </c>
      <c r="L20" s="369">
        <f t="shared" si="0"/>
        <v>1000</v>
      </c>
      <c r="M20" s="443">
        <f t="shared" si="1"/>
        <v>84965</v>
      </c>
      <c r="N20" s="992">
        <v>41429</v>
      </c>
      <c r="O20" s="1026"/>
    </row>
    <row r="21" spans="1:15" x14ac:dyDescent="0.25">
      <c r="A21" s="607" t="s">
        <v>895</v>
      </c>
      <c r="B21" s="607" t="s">
        <v>896</v>
      </c>
      <c r="C21" s="776">
        <v>40331</v>
      </c>
      <c r="D21" s="777">
        <v>40545</v>
      </c>
      <c r="E21" s="782">
        <v>40000</v>
      </c>
      <c r="F21" s="783">
        <v>500</v>
      </c>
      <c r="G21" s="784">
        <v>15300</v>
      </c>
      <c r="H21" s="301">
        <v>500</v>
      </c>
      <c r="I21" s="301">
        <v>11230</v>
      </c>
      <c r="J21" s="784"/>
      <c r="K21" s="784">
        <v>2000</v>
      </c>
      <c r="L21" s="369">
        <f t="shared" si="0"/>
        <v>1000</v>
      </c>
      <c r="M21" s="443">
        <f t="shared" si="1"/>
        <v>28530</v>
      </c>
      <c r="N21" s="992">
        <v>41424</v>
      </c>
      <c r="O21" s="1026"/>
    </row>
    <row r="22" spans="1:15" x14ac:dyDescent="0.25">
      <c r="A22" s="607" t="s">
        <v>911</v>
      </c>
      <c r="B22" s="607" t="s">
        <v>879</v>
      </c>
      <c r="C22" s="776">
        <v>40520</v>
      </c>
      <c r="D22" s="777">
        <v>40702</v>
      </c>
      <c r="E22" s="778">
        <v>100000</v>
      </c>
      <c r="F22" s="779"/>
      <c r="G22" s="780">
        <v>100000</v>
      </c>
      <c r="H22" s="301"/>
      <c r="I22" s="301">
        <v>65000</v>
      </c>
      <c r="J22" s="780"/>
      <c r="K22" s="780">
        <v>14155</v>
      </c>
      <c r="L22" s="369">
        <f t="shared" si="0"/>
        <v>0</v>
      </c>
      <c r="M22" s="443">
        <f t="shared" si="1"/>
        <v>179155</v>
      </c>
      <c r="N22" s="992">
        <v>41114</v>
      </c>
      <c r="O22" s="1026"/>
    </row>
    <row r="23" spans="1:15" x14ac:dyDescent="0.25">
      <c r="A23" s="607" t="s">
        <v>912</v>
      </c>
      <c r="B23" s="607" t="s">
        <v>913</v>
      </c>
      <c r="C23" s="776">
        <v>40337</v>
      </c>
      <c r="D23" s="777">
        <v>40520</v>
      </c>
      <c r="E23" s="778">
        <v>50000</v>
      </c>
      <c r="F23" s="779">
        <v>10000</v>
      </c>
      <c r="G23" s="780">
        <v>38000</v>
      </c>
      <c r="H23" s="301">
        <v>10000</v>
      </c>
      <c r="I23" s="301">
        <v>60400</v>
      </c>
      <c r="J23" s="780"/>
      <c r="K23" s="780">
        <v>10217</v>
      </c>
      <c r="L23" s="369">
        <f t="shared" si="0"/>
        <v>20000</v>
      </c>
      <c r="M23" s="443">
        <f t="shared" si="1"/>
        <v>108617</v>
      </c>
      <c r="N23" s="992">
        <v>41635</v>
      </c>
      <c r="O23" s="1026" t="s">
        <v>666</v>
      </c>
    </row>
    <row r="24" spans="1:15" ht="15.75" thickBot="1" x14ac:dyDescent="0.3">
      <c r="A24" s="284" t="s">
        <v>914</v>
      </c>
      <c r="B24" s="284" t="s">
        <v>755</v>
      </c>
      <c r="C24" s="774">
        <v>41057</v>
      </c>
      <c r="D24" s="775">
        <v>41361</v>
      </c>
      <c r="E24" s="652">
        <v>28000</v>
      </c>
      <c r="F24" s="388"/>
      <c r="G24" s="389">
        <v>27700</v>
      </c>
      <c r="H24" s="302">
        <v>1400</v>
      </c>
      <c r="I24" s="302">
        <v>1605</v>
      </c>
      <c r="J24" s="389"/>
      <c r="K24" s="389">
        <v>2032</v>
      </c>
      <c r="L24" s="653">
        <f t="shared" si="0"/>
        <v>1400</v>
      </c>
      <c r="M24" s="654">
        <f t="shared" si="1"/>
        <v>31337</v>
      </c>
      <c r="N24" s="994">
        <v>41380</v>
      </c>
      <c r="O24" s="1026"/>
    </row>
    <row r="25" spans="1:15" ht="15.75" thickBot="1" x14ac:dyDescent="0.3">
      <c r="A25" s="306" t="s">
        <v>1060</v>
      </c>
      <c r="B25" s="306"/>
      <c r="C25" s="307"/>
      <c r="D25" s="308"/>
      <c r="E25" s="390">
        <f t="shared" ref="E25:M25" si="2">SUM(E7:E24)</f>
        <v>1497000</v>
      </c>
      <c r="F25" s="309">
        <f t="shared" si="2"/>
        <v>26400</v>
      </c>
      <c r="G25" s="370">
        <f t="shared" si="2"/>
        <v>1197363</v>
      </c>
      <c r="H25" s="309">
        <f t="shared" si="2"/>
        <v>28100</v>
      </c>
      <c r="I25" s="310">
        <f t="shared" si="2"/>
        <v>1311923</v>
      </c>
      <c r="J25" s="309">
        <f t="shared" si="2"/>
        <v>700</v>
      </c>
      <c r="K25" s="309">
        <f t="shared" si="2"/>
        <v>410333</v>
      </c>
      <c r="L25" s="447">
        <f t="shared" si="2"/>
        <v>55200</v>
      </c>
      <c r="M25" s="392">
        <f t="shared" si="2"/>
        <v>2919619</v>
      </c>
      <c r="N25" s="1008"/>
      <c r="O25" s="521"/>
    </row>
  </sheetData>
  <sortState ref="A8:O37">
    <sortCondition ref="A8"/>
  </sortState>
  <mergeCells count="3">
    <mergeCell ref="E4:M4"/>
    <mergeCell ref="A1:N1"/>
    <mergeCell ref="A2:N2"/>
  </mergeCells>
  <pageMargins left="0.5" right="0.5" top="0.75" bottom="0.75" header="0.3" footer="0.3"/>
  <pageSetup paperSize="5" orientation="landscape" horizontalDpi="4294967294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P39"/>
  <sheetViews>
    <sheetView workbookViewId="0">
      <selection activeCell="A17" sqref="A17"/>
    </sheetView>
  </sheetViews>
  <sheetFormatPr defaultRowHeight="15" x14ac:dyDescent="0.25"/>
  <cols>
    <col min="1" max="1" width="19.28515625" customWidth="1"/>
    <col min="2" max="2" width="15.5703125" customWidth="1"/>
    <col min="3" max="3" width="8.7109375" customWidth="1"/>
    <col min="4" max="4" width="7.5703125" customWidth="1"/>
    <col min="5" max="5" width="11" customWidth="1"/>
    <col min="6" max="6" width="9.42578125" customWidth="1"/>
    <col min="7" max="7" width="12.28515625" customWidth="1"/>
    <col min="8" max="8" width="9.7109375" customWidth="1"/>
    <col min="9" max="9" width="12.5703125" customWidth="1"/>
    <col min="10" max="10" width="9.28515625" customWidth="1"/>
    <col min="11" max="11" width="13" customWidth="1"/>
    <col min="12" max="12" width="9.5703125" customWidth="1"/>
    <col min="13" max="13" width="12.7109375" customWidth="1"/>
    <col min="14" max="14" width="10.28515625" style="971" customWidth="1"/>
    <col min="16" max="16" width="10.7109375" customWidth="1"/>
  </cols>
  <sheetData>
    <row r="2" spans="1:16" ht="15.75" thickBot="1" x14ac:dyDescent="0.3">
      <c r="A2" s="831" t="s">
        <v>918</v>
      </c>
    </row>
    <row r="3" spans="1:16" ht="15.75" thickBot="1" x14ac:dyDescent="0.3">
      <c r="A3" s="315"/>
      <c r="B3" s="316"/>
      <c r="C3" s="316" t="s">
        <v>139</v>
      </c>
      <c r="D3" s="626" t="s">
        <v>92</v>
      </c>
      <c r="E3" s="318"/>
      <c r="F3" s="319"/>
      <c r="G3" s="1360" t="s">
        <v>1444</v>
      </c>
      <c r="H3" s="1360"/>
      <c r="I3" s="1360"/>
      <c r="J3" s="1360"/>
      <c r="K3" s="1360"/>
      <c r="L3" s="1360"/>
      <c r="M3" s="1360"/>
      <c r="N3" s="1019"/>
      <c r="O3" s="403"/>
      <c r="P3" s="105"/>
    </row>
    <row r="4" spans="1:16" ht="15.75" thickBot="1" x14ac:dyDescent="0.3">
      <c r="A4" s="321" t="s">
        <v>2</v>
      </c>
      <c r="B4" s="322" t="s">
        <v>3</v>
      </c>
      <c r="C4" s="322" t="s">
        <v>90</v>
      </c>
      <c r="D4" s="628" t="s">
        <v>91</v>
      </c>
      <c r="E4" s="324" t="s">
        <v>406</v>
      </c>
      <c r="F4" s="352" t="s">
        <v>454</v>
      </c>
      <c r="G4" s="836" t="s">
        <v>6</v>
      </c>
      <c r="H4" s="241" t="s">
        <v>455</v>
      </c>
      <c r="I4" s="354" t="s">
        <v>19</v>
      </c>
      <c r="J4" s="241" t="s">
        <v>456</v>
      </c>
      <c r="K4" s="355" t="s">
        <v>80</v>
      </c>
      <c r="L4" s="241" t="s">
        <v>457</v>
      </c>
      <c r="M4" s="415" t="s">
        <v>400</v>
      </c>
      <c r="N4" s="399" t="s">
        <v>79</v>
      </c>
      <c r="O4" s="826" t="s">
        <v>418</v>
      </c>
      <c r="P4" s="827" t="s">
        <v>915</v>
      </c>
    </row>
    <row r="5" spans="1:16" x14ac:dyDescent="0.25">
      <c r="A5" s="398"/>
      <c r="B5" s="330"/>
      <c r="C5" s="330"/>
      <c r="D5" s="627"/>
      <c r="E5" s="629"/>
      <c r="F5" s="358" t="s">
        <v>438</v>
      </c>
      <c r="G5" s="359"/>
      <c r="H5" s="360" t="s">
        <v>438</v>
      </c>
      <c r="I5" s="357"/>
      <c r="J5" s="360" t="s">
        <v>438</v>
      </c>
      <c r="K5" s="328"/>
      <c r="L5" s="360" t="s">
        <v>452</v>
      </c>
      <c r="M5" s="935"/>
      <c r="N5" s="1019"/>
      <c r="O5" s="403"/>
      <c r="P5" s="105"/>
    </row>
    <row r="6" spans="1:16" x14ac:dyDescent="0.25">
      <c r="A6" s="387" t="s">
        <v>635</v>
      </c>
      <c r="B6" s="387" t="s">
        <v>636</v>
      </c>
      <c r="C6" s="409">
        <v>38188</v>
      </c>
      <c r="D6" s="410">
        <v>38553</v>
      </c>
      <c r="E6" s="404">
        <v>25000</v>
      </c>
      <c r="F6" s="419">
        <v>100</v>
      </c>
      <c r="G6" s="419">
        <v>19540</v>
      </c>
      <c r="H6" s="256">
        <v>200</v>
      </c>
      <c r="I6" s="263">
        <v>25096</v>
      </c>
      <c r="J6" s="406">
        <v>200</v>
      </c>
      <c r="K6" s="406">
        <v>28239</v>
      </c>
      <c r="L6" s="420">
        <f t="shared" ref="L6:L17" si="0">+F6+H6+J6</f>
        <v>500</v>
      </c>
      <c r="M6" s="418">
        <f t="shared" ref="M6:M17" si="1">+G6+I6+K6</f>
        <v>72875</v>
      </c>
      <c r="N6" s="1021">
        <v>41610</v>
      </c>
      <c r="O6" s="517" t="s">
        <v>666</v>
      </c>
      <c r="P6" s="23"/>
    </row>
    <row r="7" spans="1:16" x14ac:dyDescent="0.25">
      <c r="A7" s="81" t="s">
        <v>283</v>
      </c>
      <c r="B7" s="81" t="s">
        <v>48</v>
      </c>
      <c r="C7" s="265">
        <v>38231</v>
      </c>
      <c r="D7" s="265">
        <v>38598</v>
      </c>
      <c r="E7" s="846">
        <v>50000</v>
      </c>
      <c r="F7" s="406"/>
      <c r="G7" s="406">
        <v>40645</v>
      </c>
      <c r="H7" s="263"/>
      <c r="I7" s="263">
        <v>9400</v>
      </c>
      <c r="J7" s="406"/>
      <c r="K7" s="406">
        <v>35874</v>
      </c>
      <c r="L7" s="420">
        <f t="shared" si="0"/>
        <v>0</v>
      </c>
      <c r="M7" s="420">
        <f t="shared" si="1"/>
        <v>85919</v>
      </c>
      <c r="N7" s="986">
        <v>41333</v>
      </c>
      <c r="O7" s="403"/>
      <c r="P7" s="23">
        <v>60000</v>
      </c>
    </row>
    <row r="8" spans="1:16" x14ac:dyDescent="0.25">
      <c r="A8" s="81" t="s">
        <v>327</v>
      </c>
      <c r="B8" s="81" t="s">
        <v>48</v>
      </c>
      <c r="C8" s="265">
        <v>37734</v>
      </c>
      <c r="D8" s="265">
        <v>38040</v>
      </c>
      <c r="E8" s="847">
        <v>5000</v>
      </c>
      <c r="F8" s="386"/>
      <c r="G8" s="386">
        <v>2019.3</v>
      </c>
      <c r="H8" s="263"/>
      <c r="I8" s="263">
        <v>10168</v>
      </c>
      <c r="J8" s="386"/>
      <c r="K8" s="386">
        <v>4489.25</v>
      </c>
      <c r="L8" s="420">
        <f t="shared" si="0"/>
        <v>0</v>
      </c>
      <c r="M8" s="420">
        <f t="shared" si="1"/>
        <v>16676.55</v>
      </c>
      <c r="N8" s="986" t="s">
        <v>76</v>
      </c>
      <c r="O8" s="758"/>
      <c r="P8" s="23"/>
    </row>
    <row r="9" spans="1:16" x14ac:dyDescent="0.25">
      <c r="A9" s="81" t="s">
        <v>229</v>
      </c>
      <c r="B9" s="81" t="s">
        <v>17</v>
      </c>
      <c r="C9" s="265">
        <v>38569</v>
      </c>
      <c r="D9" s="265">
        <v>38934</v>
      </c>
      <c r="E9" s="848">
        <v>16000</v>
      </c>
      <c r="F9" s="417"/>
      <c r="G9" s="417">
        <v>8900</v>
      </c>
      <c r="H9" s="263"/>
      <c r="I9" s="263">
        <v>25335</v>
      </c>
      <c r="J9" s="417"/>
      <c r="K9" s="417">
        <v>7157</v>
      </c>
      <c r="L9" s="839">
        <f t="shared" si="0"/>
        <v>0</v>
      </c>
      <c r="M9" s="603">
        <f t="shared" si="1"/>
        <v>41392</v>
      </c>
      <c r="N9" s="986">
        <v>39449</v>
      </c>
      <c r="O9" s="403"/>
      <c r="P9" s="23"/>
    </row>
    <row r="10" spans="1:16" x14ac:dyDescent="0.25">
      <c r="A10" s="81" t="s">
        <v>232</v>
      </c>
      <c r="B10" s="81" t="s">
        <v>152</v>
      </c>
      <c r="C10" s="265">
        <v>38584</v>
      </c>
      <c r="D10" s="265">
        <v>38645</v>
      </c>
      <c r="E10" s="848">
        <v>10000</v>
      </c>
      <c r="F10" s="417"/>
      <c r="G10" s="417">
        <v>9500</v>
      </c>
      <c r="H10" s="263">
        <v>2000</v>
      </c>
      <c r="I10" s="263">
        <v>18475</v>
      </c>
      <c r="J10" s="417">
        <v>1000</v>
      </c>
      <c r="K10" s="417">
        <v>12208</v>
      </c>
      <c r="L10" s="420">
        <f t="shared" si="0"/>
        <v>3000</v>
      </c>
      <c r="M10" s="420">
        <f t="shared" si="1"/>
        <v>40183</v>
      </c>
      <c r="N10" s="986">
        <v>41400</v>
      </c>
      <c r="O10" s="403"/>
      <c r="P10" s="23">
        <v>30000</v>
      </c>
    </row>
    <row r="11" spans="1:16" x14ac:dyDescent="0.25">
      <c r="A11" s="81" t="s">
        <v>296</v>
      </c>
      <c r="B11" s="81" t="s">
        <v>179</v>
      </c>
      <c r="C11" s="265">
        <v>38097</v>
      </c>
      <c r="D11" s="265">
        <v>38352</v>
      </c>
      <c r="E11" s="846">
        <v>8000</v>
      </c>
      <c r="F11" s="406"/>
      <c r="G11" s="406">
        <v>8000</v>
      </c>
      <c r="H11" s="263">
        <v>1000</v>
      </c>
      <c r="I11" s="263">
        <v>11020</v>
      </c>
      <c r="J11" s="406">
        <v>1000</v>
      </c>
      <c r="K11" s="406">
        <v>1415</v>
      </c>
      <c r="L11" s="420">
        <f t="shared" si="0"/>
        <v>2000</v>
      </c>
      <c r="M11" s="420">
        <f t="shared" si="1"/>
        <v>20435</v>
      </c>
      <c r="N11" s="986">
        <v>41397</v>
      </c>
      <c r="O11" s="403"/>
      <c r="P11" s="23"/>
    </row>
    <row r="12" spans="1:16" x14ac:dyDescent="0.25">
      <c r="A12" s="298" t="s">
        <v>609</v>
      </c>
      <c r="B12" s="298" t="s">
        <v>610</v>
      </c>
      <c r="C12" s="260">
        <v>39805</v>
      </c>
      <c r="D12" s="845">
        <v>40017</v>
      </c>
      <c r="E12" s="703">
        <v>7000</v>
      </c>
      <c r="F12" s="830"/>
      <c r="G12" s="259">
        <v>6300</v>
      </c>
      <c r="H12" s="263"/>
      <c r="I12" s="263">
        <v>5350</v>
      </c>
      <c r="J12" s="263"/>
      <c r="K12" s="259">
        <v>1569</v>
      </c>
      <c r="L12" s="632">
        <f t="shared" si="0"/>
        <v>0</v>
      </c>
      <c r="M12" s="603">
        <f t="shared" si="1"/>
        <v>13219</v>
      </c>
      <c r="N12" s="987">
        <v>40855</v>
      </c>
      <c r="O12" s="403"/>
      <c r="P12" s="828"/>
    </row>
    <row r="13" spans="1:16" x14ac:dyDescent="0.25">
      <c r="A13" s="81" t="s">
        <v>353</v>
      </c>
      <c r="B13" s="81" t="s">
        <v>13</v>
      </c>
      <c r="C13" s="265">
        <v>37580</v>
      </c>
      <c r="D13" s="265">
        <v>37945</v>
      </c>
      <c r="E13" s="844">
        <v>16500</v>
      </c>
      <c r="F13" s="368"/>
      <c r="G13" s="368">
        <v>9339</v>
      </c>
      <c r="H13" s="263"/>
      <c r="I13" s="263">
        <v>46777</v>
      </c>
      <c r="J13" s="368"/>
      <c r="K13" s="368">
        <v>12992</v>
      </c>
      <c r="L13" s="362">
        <f t="shared" si="0"/>
        <v>0</v>
      </c>
      <c r="M13" s="362">
        <f t="shared" si="1"/>
        <v>69108</v>
      </c>
      <c r="N13" s="986">
        <v>41071</v>
      </c>
      <c r="O13" s="403"/>
      <c r="P13" s="23">
        <v>42710</v>
      </c>
    </row>
    <row r="14" spans="1:16" x14ac:dyDescent="0.25">
      <c r="A14" s="81" t="s">
        <v>172</v>
      </c>
      <c r="B14" s="81" t="s">
        <v>29</v>
      </c>
      <c r="C14" s="265">
        <v>38751</v>
      </c>
      <c r="D14" s="265">
        <v>39051</v>
      </c>
      <c r="E14" s="849">
        <v>7000</v>
      </c>
      <c r="F14" s="432"/>
      <c r="G14" s="432">
        <v>7000</v>
      </c>
      <c r="H14" s="263"/>
      <c r="I14" s="263">
        <v>26200</v>
      </c>
      <c r="J14" s="432"/>
      <c r="K14" s="432">
        <v>3018</v>
      </c>
      <c r="L14" s="839">
        <f t="shared" si="0"/>
        <v>0</v>
      </c>
      <c r="M14" s="603">
        <f t="shared" si="1"/>
        <v>36218</v>
      </c>
      <c r="N14" s="986">
        <v>40168</v>
      </c>
      <c r="O14" s="403"/>
      <c r="P14" s="23"/>
    </row>
    <row r="15" spans="1:16" x14ac:dyDescent="0.25">
      <c r="A15" s="81" t="s">
        <v>177</v>
      </c>
      <c r="B15" s="81" t="s">
        <v>919</v>
      </c>
      <c r="C15" s="265">
        <v>38995</v>
      </c>
      <c r="D15" s="265">
        <v>39355</v>
      </c>
      <c r="E15" s="849">
        <v>10000</v>
      </c>
      <c r="F15" s="432"/>
      <c r="G15" s="432">
        <v>7273</v>
      </c>
      <c r="H15" s="263"/>
      <c r="I15" s="263">
        <v>22002</v>
      </c>
      <c r="J15" s="432"/>
      <c r="K15" s="432">
        <v>3137</v>
      </c>
      <c r="L15" s="840">
        <f t="shared" si="0"/>
        <v>0</v>
      </c>
      <c r="M15" s="840">
        <f t="shared" si="1"/>
        <v>32412</v>
      </c>
      <c r="N15" s="986">
        <v>40455</v>
      </c>
      <c r="O15" s="403"/>
      <c r="P15" s="23"/>
    </row>
    <row r="16" spans="1:16" x14ac:dyDescent="0.25">
      <c r="A16" s="81" t="s">
        <v>1143</v>
      </c>
      <c r="B16" s="81" t="s">
        <v>1144</v>
      </c>
      <c r="C16" s="265">
        <v>38945</v>
      </c>
      <c r="D16" s="265">
        <v>38732</v>
      </c>
      <c r="E16" s="849">
        <v>3000</v>
      </c>
      <c r="F16" s="432"/>
      <c r="G16" s="432">
        <v>1904</v>
      </c>
      <c r="H16" s="263"/>
      <c r="I16" s="263">
        <v>1026</v>
      </c>
      <c r="J16" s="432"/>
      <c r="K16" s="432">
        <v>1109</v>
      </c>
      <c r="L16" s="840">
        <f t="shared" si="0"/>
        <v>0</v>
      </c>
      <c r="M16" s="840">
        <f t="shared" si="1"/>
        <v>4039</v>
      </c>
      <c r="N16" s="986">
        <v>41258</v>
      </c>
      <c r="O16" s="403"/>
      <c r="P16" s="23"/>
    </row>
    <row r="17" spans="1:16" x14ac:dyDescent="0.25">
      <c r="A17" s="298" t="s">
        <v>63</v>
      </c>
      <c r="B17" s="298" t="s">
        <v>20</v>
      </c>
      <c r="C17" s="260">
        <v>39596</v>
      </c>
      <c r="D17" s="260">
        <v>39688</v>
      </c>
      <c r="E17" s="703">
        <v>75000</v>
      </c>
      <c r="F17" s="259"/>
      <c r="G17" s="259">
        <v>57960</v>
      </c>
      <c r="H17" s="263"/>
      <c r="I17" s="263">
        <v>56492</v>
      </c>
      <c r="J17" s="259"/>
      <c r="K17" s="259">
        <v>59016</v>
      </c>
      <c r="L17" s="632">
        <f t="shared" si="0"/>
        <v>0</v>
      </c>
      <c r="M17" s="949">
        <f t="shared" si="1"/>
        <v>173468</v>
      </c>
      <c r="N17" s="987">
        <v>41181</v>
      </c>
      <c r="O17" s="271"/>
      <c r="P17" s="23"/>
    </row>
    <row r="18" spans="1:16" x14ac:dyDescent="0.25">
      <c r="A18" s="298" t="s">
        <v>34</v>
      </c>
      <c r="B18" s="298" t="s">
        <v>17</v>
      </c>
      <c r="C18" s="260">
        <v>39975</v>
      </c>
      <c r="D18" s="260">
        <v>40158</v>
      </c>
      <c r="E18" s="703">
        <v>30000</v>
      </c>
      <c r="F18" s="259"/>
      <c r="G18" s="259">
        <v>12000</v>
      </c>
      <c r="H18" s="263"/>
      <c r="I18" s="263">
        <v>8525</v>
      </c>
      <c r="J18" s="263"/>
      <c r="K18" s="259">
        <v>8413</v>
      </c>
      <c r="L18" s="632"/>
      <c r="M18" s="949">
        <f>+G18+I18+K18</f>
        <v>28938</v>
      </c>
      <c r="N18" s="1022">
        <v>41267</v>
      </c>
      <c r="O18" s="403"/>
      <c r="P18" s="23"/>
    </row>
    <row r="19" spans="1:16" x14ac:dyDescent="0.25">
      <c r="A19" s="298" t="s">
        <v>916</v>
      </c>
      <c r="B19" s="298" t="s">
        <v>917</v>
      </c>
      <c r="C19" s="260">
        <v>37930</v>
      </c>
      <c r="D19" s="260">
        <v>38107</v>
      </c>
      <c r="E19" s="703">
        <v>5000</v>
      </c>
      <c r="F19" s="259"/>
      <c r="G19" s="259">
        <v>2310</v>
      </c>
      <c r="H19" s="263"/>
      <c r="I19" s="263">
        <v>10734</v>
      </c>
      <c r="J19" s="263"/>
      <c r="K19" s="259">
        <v>3151</v>
      </c>
      <c r="L19" s="632">
        <f t="shared" ref="L19:L38" si="2">+F19+H19+J19</f>
        <v>0</v>
      </c>
      <c r="M19" s="949">
        <f>+G19+I19+K19</f>
        <v>16195</v>
      </c>
      <c r="N19" s="1022">
        <v>40505</v>
      </c>
      <c r="O19" s="403"/>
      <c r="P19" s="23"/>
    </row>
    <row r="20" spans="1:16" x14ac:dyDescent="0.25">
      <c r="A20" s="387" t="s">
        <v>247</v>
      </c>
      <c r="B20" s="387" t="s">
        <v>22</v>
      </c>
      <c r="C20" s="409">
        <v>38658</v>
      </c>
      <c r="D20" s="409">
        <v>38898</v>
      </c>
      <c r="E20" s="848">
        <v>5000</v>
      </c>
      <c r="F20" s="417"/>
      <c r="G20" s="417">
        <v>1979</v>
      </c>
      <c r="H20" s="263"/>
      <c r="I20" s="263">
        <v>9109</v>
      </c>
      <c r="J20" s="417"/>
      <c r="K20" s="417">
        <v>296</v>
      </c>
      <c r="L20" s="839">
        <f t="shared" si="2"/>
        <v>0</v>
      </c>
      <c r="M20" s="603">
        <f>+G20+I20+K20</f>
        <v>11384</v>
      </c>
      <c r="N20" s="1021">
        <v>40884</v>
      </c>
      <c r="O20" s="403"/>
      <c r="P20" s="23">
        <v>16000</v>
      </c>
    </row>
    <row r="21" spans="1:16" x14ac:dyDescent="0.25">
      <c r="A21" s="81" t="s">
        <v>183</v>
      </c>
      <c r="B21" s="81" t="s">
        <v>48</v>
      </c>
      <c r="C21" s="265">
        <v>38904</v>
      </c>
      <c r="D21" s="265">
        <v>38966</v>
      </c>
      <c r="E21" s="849">
        <v>20000</v>
      </c>
      <c r="F21" s="432">
        <v>200</v>
      </c>
      <c r="G21" s="432">
        <v>14000</v>
      </c>
      <c r="H21" s="263">
        <v>200</v>
      </c>
      <c r="I21" s="263">
        <v>33400</v>
      </c>
      <c r="J21" s="432">
        <v>100</v>
      </c>
      <c r="K21" s="432">
        <v>17343</v>
      </c>
      <c r="L21" s="839">
        <f t="shared" si="2"/>
        <v>500</v>
      </c>
      <c r="M21" s="603">
        <f>+G21+I21+K21</f>
        <v>64743</v>
      </c>
      <c r="N21" s="986">
        <v>41428</v>
      </c>
      <c r="O21" s="403"/>
      <c r="P21" s="23"/>
    </row>
    <row r="22" spans="1:16" x14ac:dyDescent="0.25">
      <c r="A22" s="298" t="s">
        <v>64</v>
      </c>
      <c r="B22" s="298" t="s">
        <v>21</v>
      </c>
      <c r="C22" s="260">
        <v>39924</v>
      </c>
      <c r="D22" s="260">
        <v>40107</v>
      </c>
      <c r="E22" s="703">
        <v>255000</v>
      </c>
      <c r="F22" s="259"/>
      <c r="G22" s="259">
        <v>252500</v>
      </c>
      <c r="H22" s="263"/>
      <c r="I22" s="263">
        <v>377125</v>
      </c>
      <c r="J22" s="263"/>
      <c r="K22" s="259">
        <v>64500</v>
      </c>
      <c r="L22" s="841">
        <f t="shared" si="2"/>
        <v>0</v>
      </c>
      <c r="M22" s="841">
        <v>492125</v>
      </c>
      <c r="N22" s="987">
        <v>40371</v>
      </c>
      <c r="O22" s="843"/>
      <c r="P22" s="23"/>
    </row>
    <row r="23" spans="1:16" x14ac:dyDescent="0.25">
      <c r="A23" s="81" t="s">
        <v>364</v>
      </c>
      <c r="B23" s="81" t="s">
        <v>365</v>
      </c>
      <c r="C23" s="265">
        <v>37427</v>
      </c>
      <c r="D23" s="265">
        <v>37792</v>
      </c>
      <c r="E23" s="844">
        <v>10000</v>
      </c>
      <c r="F23" s="368"/>
      <c r="G23" s="368">
        <v>6659.4</v>
      </c>
      <c r="H23" s="263"/>
      <c r="I23" s="263">
        <v>10983</v>
      </c>
      <c r="J23" s="368"/>
      <c r="K23" s="368">
        <v>3905</v>
      </c>
      <c r="L23" s="362">
        <f t="shared" si="2"/>
        <v>0</v>
      </c>
      <c r="M23" s="362">
        <f t="shared" ref="M23:M36" si="3">+G23+I23+K23</f>
        <v>21547.4</v>
      </c>
      <c r="N23" s="986">
        <v>41128</v>
      </c>
      <c r="O23" s="403"/>
      <c r="P23" s="23"/>
    </row>
    <row r="24" spans="1:16" x14ac:dyDescent="0.25">
      <c r="A24" s="81" t="s">
        <v>368</v>
      </c>
      <c r="B24" s="81" t="s">
        <v>274</v>
      </c>
      <c r="C24" s="265">
        <v>37501</v>
      </c>
      <c r="D24" s="265">
        <v>37636</v>
      </c>
      <c r="E24" s="844">
        <v>5000</v>
      </c>
      <c r="F24" s="368"/>
      <c r="G24" s="368">
        <v>1250</v>
      </c>
      <c r="H24" s="263"/>
      <c r="I24" s="263">
        <v>6032</v>
      </c>
      <c r="J24" s="368"/>
      <c r="K24" s="368">
        <v>4408</v>
      </c>
      <c r="L24" s="362">
        <f t="shared" si="2"/>
        <v>0</v>
      </c>
      <c r="M24" s="362">
        <f t="shared" si="3"/>
        <v>11690</v>
      </c>
      <c r="N24" s="986">
        <v>40515</v>
      </c>
      <c r="O24" s="826"/>
      <c r="P24" s="23"/>
    </row>
    <row r="25" spans="1:16" x14ac:dyDescent="0.25">
      <c r="A25" s="298" t="s">
        <v>507</v>
      </c>
      <c r="B25" s="298" t="s">
        <v>21</v>
      </c>
      <c r="C25" s="260">
        <v>40318</v>
      </c>
      <c r="D25" s="260">
        <v>40441</v>
      </c>
      <c r="E25" s="703">
        <v>10000</v>
      </c>
      <c r="F25" s="259"/>
      <c r="G25" s="259">
        <v>6420</v>
      </c>
      <c r="H25" s="259"/>
      <c r="I25" s="259">
        <v>6751</v>
      </c>
      <c r="J25" s="259"/>
      <c r="K25" s="259">
        <v>3500</v>
      </c>
      <c r="L25" s="632">
        <f t="shared" si="2"/>
        <v>0</v>
      </c>
      <c r="M25" s="632">
        <f t="shared" si="3"/>
        <v>16671</v>
      </c>
      <c r="N25" s="987">
        <v>41148</v>
      </c>
      <c r="O25" s="403"/>
      <c r="P25" s="91">
        <v>9000</v>
      </c>
    </row>
    <row r="26" spans="1:16" x14ac:dyDescent="0.25">
      <c r="A26" s="298" t="s">
        <v>121</v>
      </c>
      <c r="B26" s="298" t="s">
        <v>409</v>
      </c>
      <c r="C26" s="260">
        <v>39795</v>
      </c>
      <c r="D26" s="260">
        <v>39916</v>
      </c>
      <c r="E26" s="703">
        <v>30000</v>
      </c>
      <c r="F26" s="259">
        <v>200</v>
      </c>
      <c r="G26" s="259">
        <v>27200</v>
      </c>
      <c r="H26" s="263">
        <v>200</v>
      </c>
      <c r="I26" s="263">
        <v>46900</v>
      </c>
      <c r="J26" s="263">
        <v>100</v>
      </c>
      <c r="K26" s="259">
        <v>13800</v>
      </c>
      <c r="L26" s="632">
        <f t="shared" si="2"/>
        <v>500</v>
      </c>
      <c r="M26" s="362">
        <f t="shared" si="3"/>
        <v>87900</v>
      </c>
      <c r="N26" s="987">
        <v>41436</v>
      </c>
      <c r="O26" s="403"/>
      <c r="P26" s="91"/>
    </row>
    <row r="27" spans="1:16" x14ac:dyDescent="0.25">
      <c r="A27" s="81" t="s">
        <v>410</v>
      </c>
      <c r="B27" s="81" t="s">
        <v>13</v>
      </c>
      <c r="C27" s="265">
        <v>39341</v>
      </c>
      <c r="D27" s="265">
        <v>39463</v>
      </c>
      <c r="E27" s="267">
        <v>20000</v>
      </c>
      <c r="F27" s="268">
        <v>500</v>
      </c>
      <c r="G27" s="263">
        <v>18000</v>
      </c>
      <c r="H27" s="263">
        <v>500</v>
      </c>
      <c r="I27" s="268">
        <v>24000</v>
      </c>
      <c r="J27" s="268">
        <v>500</v>
      </c>
      <c r="K27" s="268">
        <v>1058</v>
      </c>
      <c r="L27" s="840">
        <f t="shared" si="2"/>
        <v>1500</v>
      </c>
      <c r="M27" s="949">
        <f t="shared" si="3"/>
        <v>43058</v>
      </c>
      <c r="N27" s="1023">
        <v>41447</v>
      </c>
      <c r="O27" s="403"/>
      <c r="P27" s="91"/>
    </row>
    <row r="28" spans="1:16" x14ac:dyDescent="0.25">
      <c r="A28" s="81" t="s">
        <v>410</v>
      </c>
      <c r="B28" s="81" t="s">
        <v>13</v>
      </c>
      <c r="C28" s="265">
        <v>39315</v>
      </c>
      <c r="D28" s="265">
        <v>39346</v>
      </c>
      <c r="E28" s="267">
        <v>28050</v>
      </c>
      <c r="F28" s="268"/>
      <c r="G28" s="268">
        <v>28050</v>
      </c>
      <c r="H28" s="263"/>
      <c r="I28" s="263">
        <v>82747</v>
      </c>
      <c r="J28" s="268"/>
      <c r="K28" s="268">
        <v>84000</v>
      </c>
      <c r="L28" s="840">
        <f t="shared" si="2"/>
        <v>0</v>
      </c>
      <c r="M28" s="840">
        <f t="shared" si="3"/>
        <v>194797</v>
      </c>
      <c r="N28" s="986" t="s">
        <v>76</v>
      </c>
      <c r="O28" s="875"/>
      <c r="P28" s="91"/>
    </row>
    <row r="29" spans="1:16" x14ac:dyDescent="0.25">
      <c r="A29" s="81" t="s">
        <v>410</v>
      </c>
      <c r="B29" s="81" t="s">
        <v>13</v>
      </c>
      <c r="C29" s="265">
        <v>39331</v>
      </c>
      <c r="D29" s="265">
        <v>39345</v>
      </c>
      <c r="E29" s="267">
        <v>25896</v>
      </c>
      <c r="F29" s="268"/>
      <c r="G29" s="268">
        <v>25896</v>
      </c>
      <c r="H29" s="263"/>
      <c r="I29" s="263">
        <v>80548</v>
      </c>
      <c r="J29" s="268"/>
      <c r="K29" s="268">
        <v>64066</v>
      </c>
      <c r="L29" s="840">
        <f t="shared" si="2"/>
        <v>0</v>
      </c>
      <c r="M29" s="840">
        <f t="shared" si="3"/>
        <v>170510</v>
      </c>
      <c r="N29" s="986" t="s">
        <v>76</v>
      </c>
      <c r="O29" s="875"/>
      <c r="P29" s="91"/>
    </row>
    <row r="30" spans="1:16" x14ac:dyDescent="0.25">
      <c r="A30" s="81" t="s">
        <v>156</v>
      </c>
      <c r="B30" s="81" t="s">
        <v>17</v>
      </c>
      <c r="C30" s="265">
        <v>39143</v>
      </c>
      <c r="D30" s="265">
        <v>39327</v>
      </c>
      <c r="E30" s="267">
        <v>4000</v>
      </c>
      <c r="F30" s="268"/>
      <c r="G30" s="268">
        <v>3440</v>
      </c>
      <c r="H30" s="263"/>
      <c r="I30" s="263">
        <v>4428</v>
      </c>
      <c r="J30" s="268"/>
      <c r="K30" s="268">
        <v>4089</v>
      </c>
      <c r="L30" s="840">
        <f t="shared" si="2"/>
        <v>0</v>
      </c>
      <c r="M30" s="840">
        <f t="shared" si="3"/>
        <v>11957</v>
      </c>
      <c r="N30" s="986">
        <v>41159</v>
      </c>
      <c r="O30" s="875"/>
      <c r="P30" s="91"/>
    </row>
    <row r="31" spans="1:16" x14ac:dyDescent="0.25">
      <c r="A31" s="81" t="s">
        <v>264</v>
      </c>
      <c r="B31" s="81" t="s">
        <v>48</v>
      </c>
      <c r="C31" s="265">
        <v>38596</v>
      </c>
      <c r="D31" s="265">
        <v>38635</v>
      </c>
      <c r="E31" s="848">
        <v>400000</v>
      </c>
      <c r="F31" s="417"/>
      <c r="G31" s="417">
        <v>400000</v>
      </c>
      <c r="H31" s="263"/>
      <c r="I31" s="263">
        <v>1540000</v>
      </c>
      <c r="J31" s="417"/>
      <c r="K31" s="417">
        <v>1026000</v>
      </c>
      <c r="L31" s="420">
        <f t="shared" si="2"/>
        <v>0</v>
      </c>
      <c r="M31" s="420">
        <f t="shared" si="3"/>
        <v>2966000</v>
      </c>
      <c r="N31" s="986">
        <v>38635</v>
      </c>
      <c r="O31" s="403"/>
      <c r="P31" s="91"/>
    </row>
    <row r="32" spans="1:16" x14ac:dyDescent="0.25">
      <c r="A32" s="387" t="s">
        <v>201</v>
      </c>
      <c r="B32" s="387" t="s">
        <v>22</v>
      </c>
      <c r="C32" s="409">
        <v>38817</v>
      </c>
      <c r="D32" s="409">
        <v>39066</v>
      </c>
      <c r="E32" s="849">
        <v>7500</v>
      </c>
      <c r="F32" s="432"/>
      <c r="G32" s="432">
        <v>4326</v>
      </c>
      <c r="H32" s="263"/>
      <c r="I32" s="263">
        <v>8508</v>
      </c>
      <c r="J32" s="432"/>
      <c r="K32" s="432">
        <v>1695</v>
      </c>
      <c r="L32" s="839">
        <f t="shared" si="2"/>
        <v>0</v>
      </c>
      <c r="M32" s="603">
        <f t="shared" si="3"/>
        <v>14529</v>
      </c>
      <c r="N32" s="1021">
        <v>41257</v>
      </c>
      <c r="O32" s="403"/>
      <c r="P32" s="91"/>
    </row>
    <row r="33" spans="1:16" x14ac:dyDescent="0.25">
      <c r="A33" s="81" t="s">
        <v>203</v>
      </c>
      <c r="B33" s="81" t="s">
        <v>48</v>
      </c>
      <c r="C33" s="265">
        <v>38901</v>
      </c>
      <c r="D33" s="265">
        <v>39024</v>
      </c>
      <c r="E33" s="849">
        <v>40000</v>
      </c>
      <c r="F33" s="432"/>
      <c r="G33" s="432">
        <v>13500</v>
      </c>
      <c r="H33" s="263"/>
      <c r="I33" s="263">
        <v>2675</v>
      </c>
      <c r="J33" s="432"/>
      <c r="K33" s="432">
        <v>4520</v>
      </c>
      <c r="L33" s="839">
        <f t="shared" si="2"/>
        <v>0</v>
      </c>
      <c r="M33" s="603">
        <f t="shared" si="3"/>
        <v>20695</v>
      </c>
      <c r="N33" s="986">
        <v>41113</v>
      </c>
      <c r="O33" s="578"/>
      <c r="P33" s="23">
        <v>72000</v>
      </c>
    </row>
    <row r="34" spans="1:16" x14ac:dyDescent="0.25">
      <c r="A34" s="81" t="s">
        <v>272</v>
      </c>
      <c r="B34" s="81" t="s">
        <v>15</v>
      </c>
      <c r="C34" s="265">
        <v>38665</v>
      </c>
      <c r="D34" s="265">
        <v>38852</v>
      </c>
      <c r="E34" s="848">
        <v>12000</v>
      </c>
      <c r="F34" s="417"/>
      <c r="G34" s="417">
        <v>8124</v>
      </c>
      <c r="H34" s="263"/>
      <c r="I34" s="263">
        <v>13371</v>
      </c>
      <c r="J34" s="417"/>
      <c r="K34" s="417">
        <v>4465</v>
      </c>
      <c r="L34" s="839">
        <f t="shared" si="2"/>
        <v>0</v>
      </c>
      <c r="M34" s="603">
        <f t="shared" si="3"/>
        <v>25960</v>
      </c>
      <c r="N34" s="986">
        <v>41326</v>
      </c>
      <c r="O34" s="403"/>
      <c r="P34" s="23"/>
    </row>
    <row r="35" spans="1:16" x14ac:dyDescent="0.25">
      <c r="A35" s="81" t="s">
        <v>270</v>
      </c>
      <c r="B35" s="81" t="s">
        <v>29</v>
      </c>
      <c r="C35" s="265">
        <v>38525</v>
      </c>
      <c r="D35" s="265">
        <v>38898</v>
      </c>
      <c r="E35" s="848">
        <v>10000</v>
      </c>
      <c r="F35" s="417"/>
      <c r="G35" s="417">
        <v>10000</v>
      </c>
      <c r="H35" s="263"/>
      <c r="I35" s="263">
        <v>41000</v>
      </c>
      <c r="J35" s="417"/>
      <c r="K35" s="417">
        <v>6960</v>
      </c>
      <c r="L35" s="839">
        <f t="shared" si="2"/>
        <v>0</v>
      </c>
      <c r="M35" s="603">
        <f t="shared" si="3"/>
        <v>57960</v>
      </c>
      <c r="N35" s="986">
        <v>41091</v>
      </c>
      <c r="O35" s="403"/>
      <c r="P35" s="23"/>
    </row>
    <row r="36" spans="1:16" x14ac:dyDescent="0.25">
      <c r="A36" s="387" t="s">
        <v>321</v>
      </c>
      <c r="B36" s="387" t="s">
        <v>22</v>
      </c>
      <c r="C36" s="409">
        <v>38013</v>
      </c>
      <c r="D36" s="409">
        <v>38107</v>
      </c>
      <c r="E36" s="846">
        <v>15000</v>
      </c>
      <c r="F36" s="406"/>
      <c r="G36" s="406">
        <v>6235</v>
      </c>
      <c r="H36" s="263"/>
      <c r="I36" s="263">
        <v>6172</v>
      </c>
      <c r="J36" s="406"/>
      <c r="K36" s="406">
        <v>3762</v>
      </c>
      <c r="L36" s="420">
        <f t="shared" si="2"/>
        <v>0</v>
      </c>
      <c r="M36" s="420">
        <f t="shared" si="3"/>
        <v>16169</v>
      </c>
      <c r="N36" s="1021">
        <v>40935</v>
      </c>
      <c r="O36" s="403"/>
      <c r="P36" s="23">
        <v>19000</v>
      </c>
    </row>
    <row r="37" spans="1:16" x14ac:dyDescent="0.25">
      <c r="A37" s="298" t="s">
        <v>122</v>
      </c>
      <c r="B37" s="298" t="s">
        <v>461</v>
      </c>
      <c r="C37" s="260">
        <v>39680</v>
      </c>
      <c r="D37" s="260">
        <v>39864</v>
      </c>
      <c r="E37" s="703">
        <v>12000</v>
      </c>
      <c r="F37" s="830"/>
      <c r="G37" s="830">
        <v>15565</v>
      </c>
      <c r="H37" s="301"/>
      <c r="I37" s="301">
        <v>9350</v>
      </c>
      <c r="J37" s="301"/>
      <c r="K37" s="830">
        <v>1563</v>
      </c>
      <c r="L37" s="632">
        <f t="shared" si="2"/>
        <v>0</v>
      </c>
      <c r="M37" s="632">
        <v>12863</v>
      </c>
      <c r="N37" s="987">
        <v>40970</v>
      </c>
      <c r="O37" s="403"/>
      <c r="P37" s="23">
        <v>15000</v>
      </c>
    </row>
    <row r="38" spans="1:16" ht="15.75" thickBot="1" x14ac:dyDescent="0.3">
      <c r="A38" s="832" t="s">
        <v>622</v>
      </c>
      <c r="B38" s="832" t="s">
        <v>623</v>
      </c>
      <c r="C38" s="833">
        <v>39030</v>
      </c>
      <c r="D38" s="833">
        <v>37661</v>
      </c>
      <c r="E38" s="850">
        <v>80000</v>
      </c>
      <c r="F38" s="685"/>
      <c r="G38" s="685">
        <v>65332</v>
      </c>
      <c r="H38" s="302"/>
      <c r="I38" s="302">
        <v>138881</v>
      </c>
      <c r="J38" s="685"/>
      <c r="K38" s="685">
        <v>87175</v>
      </c>
      <c r="L38" s="842">
        <f t="shared" si="2"/>
        <v>0</v>
      </c>
      <c r="M38" s="950">
        <f>+G38+I38+K38</f>
        <v>291388</v>
      </c>
      <c r="N38" s="994">
        <v>41152</v>
      </c>
      <c r="O38" s="403"/>
      <c r="P38" s="23"/>
    </row>
    <row r="39" spans="1:16" ht="15.75" thickBot="1" x14ac:dyDescent="0.3">
      <c r="A39" s="306" t="s">
        <v>1131</v>
      </c>
      <c r="B39" s="306"/>
      <c r="C39" s="307"/>
      <c r="D39" s="308"/>
      <c r="E39" s="390">
        <f t="shared" ref="E39:M39" si="4">SUM(E6:E38)</f>
        <v>1256946</v>
      </c>
      <c r="F39" s="370">
        <f t="shared" si="4"/>
        <v>1000</v>
      </c>
      <c r="G39" s="309">
        <f t="shared" si="4"/>
        <v>1101166.7</v>
      </c>
      <c r="H39" s="309">
        <f t="shared" si="4"/>
        <v>4100</v>
      </c>
      <c r="I39" s="310">
        <f t="shared" si="4"/>
        <v>2718580</v>
      </c>
      <c r="J39" s="310">
        <f t="shared" si="4"/>
        <v>2900</v>
      </c>
      <c r="K39" s="310">
        <f t="shared" si="4"/>
        <v>1578892.25</v>
      </c>
      <c r="L39" s="311">
        <f t="shared" si="4"/>
        <v>8000</v>
      </c>
      <c r="M39" s="312">
        <f t="shared" si="4"/>
        <v>5183023.95</v>
      </c>
      <c r="N39" s="1008"/>
      <c r="O39" s="177"/>
    </row>
  </sheetData>
  <sortState ref="A6:N34">
    <sortCondition ref="A6"/>
  </sortState>
  <mergeCells count="1">
    <mergeCell ref="G3:M3"/>
  </mergeCells>
  <pageMargins left="0.5" right="0.5" top="0.75" bottom="0.75" header="0.3" footer="0.3"/>
  <pageSetup paperSize="5" orientation="landscape" horizontalDpi="4294967294" verticalDpi="72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80"/>
  <sheetViews>
    <sheetView workbookViewId="0">
      <selection activeCell="G3" sqref="G3:M3"/>
    </sheetView>
  </sheetViews>
  <sheetFormatPr defaultRowHeight="15" x14ac:dyDescent="0.25"/>
  <cols>
    <col min="1" max="1" width="20.5703125" customWidth="1"/>
    <col min="2" max="2" width="10.28515625" customWidth="1"/>
    <col min="5" max="5" width="12.28515625" customWidth="1"/>
    <col min="6" max="6" width="9" customWidth="1"/>
    <col min="7" max="7" width="11.28515625" customWidth="1"/>
    <col min="8" max="8" width="8.42578125" customWidth="1"/>
    <col min="9" max="9" width="11.5703125" customWidth="1"/>
    <col min="10" max="10" width="10.5703125" customWidth="1"/>
    <col min="11" max="11" width="11.7109375" customWidth="1"/>
    <col min="12" max="12" width="11.5703125" customWidth="1"/>
    <col min="13" max="13" width="14.7109375" customWidth="1"/>
    <col min="14" max="14" width="9.28515625" customWidth="1"/>
    <col min="15" max="15" width="12.5703125" customWidth="1"/>
    <col min="16" max="16" width="17.42578125" customWidth="1"/>
    <col min="18" max="18" width="11.7109375" customWidth="1"/>
    <col min="19" max="19" width="12.7109375" customWidth="1"/>
  </cols>
  <sheetData>
    <row r="1" spans="1:21" x14ac:dyDescent="0.25">
      <c r="A1" t="s">
        <v>462</v>
      </c>
    </row>
    <row r="2" spans="1:21" ht="15.75" thickBot="1" x14ac:dyDescent="0.3"/>
    <row r="3" spans="1:21" ht="15.75" thickBot="1" x14ac:dyDescent="0.3">
      <c r="A3" s="315"/>
      <c r="B3" s="316"/>
      <c r="C3" s="316" t="s">
        <v>139</v>
      </c>
      <c r="D3" s="711" t="s">
        <v>92</v>
      </c>
      <c r="E3" s="318"/>
      <c r="F3" s="319"/>
      <c r="G3" s="1360" t="s">
        <v>1436</v>
      </c>
      <c r="H3" s="1360"/>
      <c r="I3" s="1360"/>
      <c r="J3" s="1360"/>
      <c r="K3" s="1360"/>
      <c r="L3" s="1360"/>
      <c r="M3" s="1383"/>
      <c r="N3" s="320"/>
      <c r="O3" s="303"/>
    </row>
    <row r="4" spans="1:21" ht="15.75" thickBot="1" x14ac:dyDescent="0.3">
      <c r="A4" s="321" t="s">
        <v>2</v>
      </c>
      <c r="B4" s="322" t="s">
        <v>3</v>
      </c>
      <c r="C4" s="322" t="s">
        <v>90</v>
      </c>
      <c r="D4" s="713" t="s">
        <v>91</v>
      </c>
      <c r="E4" s="324" t="s">
        <v>406</v>
      </c>
      <c r="F4" s="352" t="s">
        <v>454</v>
      </c>
      <c r="G4" s="710" t="s">
        <v>6</v>
      </c>
      <c r="H4" s="241" t="s">
        <v>455</v>
      </c>
      <c r="I4" s="354" t="s">
        <v>19</v>
      </c>
      <c r="J4" s="241" t="s">
        <v>456</v>
      </c>
      <c r="K4" s="355" t="s">
        <v>80</v>
      </c>
      <c r="L4" s="241" t="s">
        <v>457</v>
      </c>
      <c r="M4" s="356" t="s">
        <v>400</v>
      </c>
      <c r="N4" s="357" t="s">
        <v>79</v>
      </c>
      <c r="O4" s="329" t="s">
        <v>418</v>
      </c>
    </row>
    <row r="5" spans="1:21" x14ac:dyDescent="0.25">
      <c r="A5" s="398"/>
      <c r="B5" s="330"/>
      <c r="C5" s="330"/>
      <c r="D5" s="712"/>
      <c r="E5" s="714"/>
      <c r="F5" s="358" t="s">
        <v>438</v>
      </c>
      <c r="G5" s="359"/>
      <c r="H5" s="360" t="s">
        <v>438</v>
      </c>
      <c r="I5" s="357"/>
      <c r="J5" s="360" t="s">
        <v>438</v>
      </c>
      <c r="K5" s="328"/>
      <c r="L5" s="360" t="s">
        <v>452</v>
      </c>
      <c r="M5" s="715"/>
      <c r="N5" s="361"/>
      <c r="O5" s="303"/>
      <c r="Q5" s="83">
        <v>33998</v>
      </c>
      <c r="R5" s="82" t="e">
        <f>#REF!*0.05</f>
        <v>#REF!</v>
      </c>
      <c r="S5" s="93" t="e">
        <f>+#REF!*0.05+#REF!</f>
        <v>#REF!</v>
      </c>
      <c r="T5" s="93" t="e">
        <f>#REF!*0.05+S5</f>
        <v>#REF!</v>
      </c>
      <c r="U5" s="93" t="e">
        <f>+#REF!*0.05+T5</f>
        <v>#REF!</v>
      </c>
    </row>
    <row r="6" spans="1:21" x14ac:dyDescent="0.25">
      <c r="A6" s="717" t="s">
        <v>325</v>
      </c>
      <c r="B6" s="718" t="s">
        <v>32</v>
      </c>
      <c r="C6" s="719">
        <v>37946</v>
      </c>
      <c r="D6" s="719">
        <v>38067</v>
      </c>
      <c r="E6" s="735">
        <v>20000</v>
      </c>
      <c r="F6" s="735"/>
      <c r="G6" s="735">
        <v>9701</v>
      </c>
      <c r="H6" s="735"/>
      <c r="I6" s="722"/>
      <c r="J6" s="722"/>
      <c r="K6" s="735">
        <v>19511</v>
      </c>
      <c r="L6" s="656">
        <f>F6+H6+J6</f>
        <v>0</v>
      </c>
      <c r="M6" s="735">
        <f>G6+I6+K6</f>
        <v>29212</v>
      </c>
      <c r="N6" s="762">
        <v>38677</v>
      </c>
      <c r="O6" s="758" t="s">
        <v>885</v>
      </c>
      <c r="Q6" s="76">
        <v>6534</v>
      </c>
      <c r="R6" s="25" t="e">
        <f>#REF!-Q6</f>
        <v>#REF!</v>
      </c>
      <c r="S6" s="92" t="e">
        <f>+#REF!*0.05+#REF!</f>
        <v>#REF!</v>
      </c>
      <c r="T6" s="93" t="e">
        <f>#REF!*0.05+S6</f>
        <v>#REF!</v>
      </c>
      <c r="U6" s="93" t="e">
        <f>+#REF!*0.05+T6</f>
        <v>#REF!</v>
      </c>
    </row>
    <row r="7" spans="1:21" x14ac:dyDescent="0.25">
      <c r="A7" s="717" t="s">
        <v>437</v>
      </c>
      <c r="B7" s="718" t="s">
        <v>9</v>
      </c>
      <c r="C7" s="719">
        <v>38440</v>
      </c>
      <c r="D7" s="719">
        <v>38563</v>
      </c>
      <c r="E7" s="723">
        <v>2500</v>
      </c>
      <c r="F7" s="723"/>
      <c r="G7" s="723">
        <v>2420</v>
      </c>
      <c r="H7" s="723"/>
      <c r="I7" s="722"/>
      <c r="J7" s="722"/>
      <c r="K7" s="723">
        <v>2051</v>
      </c>
      <c r="L7" s="656">
        <f t="shared" ref="L7:L53" si="0">F7+H7+J7</f>
        <v>0</v>
      </c>
      <c r="M7" s="735">
        <f t="shared" ref="M7:M53" si="1">G7+I7+K7</f>
        <v>4471</v>
      </c>
      <c r="N7" s="762">
        <v>38686</v>
      </c>
      <c r="O7" s="758" t="s">
        <v>216</v>
      </c>
      <c r="Q7" s="71"/>
      <c r="R7" s="72"/>
      <c r="S7" s="72"/>
      <c r="T7" s="93"/>
      <c r="U7" s="92">
        <f>I8*0.05+T7</f>
        <v>19.162500000000001</v>
      </c>
    </row>
    <row r="8" spans="1:21" x14ac:dyDescent="0.25">
      <c r="A8" s="556" t="s">
        <v>215</v>
      </c>
      <c r="B8" s="556" t="s">
        <v>216</v>
      </c>
      <c r="C8" s="557">
        <v>38443</v>
      </c>
      <c r="D8" s="557">
        <v>38563</v>
      </c>
      <c r="E8" s="655">
        <v>8000</v>
      </c>
      <c r="F8" s="655"/>
      <c r="G8" s="655">
        <v>7665</v>
      </c>
      <c r="H8" s="497"/>
      <c r="I8" s="497">
        <f>G8*0.05+Y8</f>
        <v>383.25</v>
      </c>
      <c r="J8" s="655"/>
      <c r="K8" s="655">
        <v>4736</v>
      </c>
      <c r="L8" s="656">
        <f t="shared" si="0"/>
        <v>0</v>
      </c>
      <c r="M8" s="735">
        <f t="shared" si="1"/>
        <v>12784.25</v>
      </c>
      <c r="N8" s="657">
        <v>38453</v>
      </c>
      <c r="O8" s="763"/>
      <c r="Q8" s="73"/>
      <c r="R8" s="73"/>
      <c r="S8" s="94"/>
      <c r="T8" s="94"/>
      <c r="U8" s="94"/>
    </row>
    <row r="9" spans="1:21" x14ac:dyDescent="0.25">
      <c r="A9" s="556" t="s">
        <v>411</v>
      </c>
      <c r="B9" s="556" t="s">
        <v>27</v>
      </c>
      <c r="C9" s="557">
        <v>38132</v>
      </c>
      <c r="D9" s="557">
        <v>38224</v>
      </c>
      <c r="E9" s="656">
        <v>4000</v>
      </c>
      <c r="F9" s="656"/>
      <c r="G9" s="656">
        <v>640</v>
      </c>
      <c r="H9" s="497"/>
      <c r="I9" s="497">
        <v>2297</v>
      </c>
      <c r="J9" s="656"/>
      <c r="K9" s="656">
        <v>4283</v>
      </c>
      <c r="L9" s="656">
        <f t="shared" si="0"/>
        <v>0</v>
      </c>
      <c r="M9" s="735">
        <f t="shared" si="1"/>
        <v>7220</v>
      </c>
      <c r="N9" s="658">
        <v>40907</v>
      </c>
      <c r="O9" s="764"/>
      <c r="Q9" s="73"/>
      <c r="R9" s="73"/>
      <c r="S9" s="94"/>
      <c r="T9" s="94"/>
      <c r="U9" s="94"/>
    </row>
    <row r="10" spans="1:21" x14ac:dyDescent="0.25">
      <c r="A10" s="659" t="s">
        <v>632</v>
      </c>
      <c r="B10" s="659" t="s">
        <v>413</v>
      </c>
      <c r="C10" s="660">
        <v>38414</v>
      </c>
      <c r="D10" s="660">
        <v>38536</v>
      </c>
      <c r="E10" s="656">
        <v>3000</v>
      </c>
      <c r="F10" s="656"/>
      <c r="G10" s="656">
        <v>2625</v>
      </c>
      <c r="H10" s="497"/>
      <c r="I10" s="497">
        <v>2375</v>
      </c>
      <c r="J10" s="656"/>
      <c r="K10" s="656">
        <v>2641</v>
      </c>
      <c r="L10" s="656">
        <f t="shared" si="0"/>
        <v>0</v>
      </c>
      <c r="M10" s="735">
        <f t="shared" si="1"/>
        <v>7641</v>
      </c>
      <c r="N10" s="661">
        <v>39672</v>
      </c>
      <c r="O10" s="91"/>
      <c r="Q10" s="73"/>
      <c r="R10" s="73"/>
      <c r="S10" s="94"/>
      <c r="T10" s="94"/>
      <c r="U10" s="94"/>
    </row>
    <row r="11" spans="1:21" x14ac:dyDescent="0.25">
      <c r="A11" s="717" t="s">
        <v>217</v>
      </c>
      <c r="B11" s="718" t="s">
        <v>13</v>
      </c>
      <c r="C11" s="719">
        <v>38411</v>
      </c>
      <c r="D11" s="719">
        <v>38533</v>
      </c>
      <c r="E11" s="723">
        <v>3000</v>
      </c>
      <c r="F11" s="723"/>
      <c r="G11" s="723">
        <v>1200</v>
      </c>
      <c r="H11" s="723"/>
      <c r="I11" s="722"/>
      <c r="J11" s="722"/>
      <c r="K11" s="723">
        <v>1046</v>
      </c>
      <c r="L11" s="656">
        <f t="shared" si="0"/>
        <v>0</v>
      </c>
      <c r="M11" s="735">
        <f t="shared" si="1"/>
        <v>2246</v>
      </c>
      <c r="N11" s="762">
        <v>39540</v>
      </c>
      <c r="O11" s="91"/>
      <c r="Q11" s="73"/>
      <c r="R11" s="73"/>
      <c r="S11" s="94"/>
      <c r="T11" s="94"/>
      <c r="U11" s="94"/>
    </row>
    <row r="12" spans="1:21" x14ac:dyDescent="0.25">
      <c r="A12" s="556" t="s">
        <v>345</v>
      </c>
      <c r="B12" s="556" t="s">
        <v>13</v>
      </c>
      <c r="C12" s="557">
        <v>37427</v>
      </c>
      <c r="D12" s="557">
        <v>37549</v>
      </c>
      <c r="E12" s="559">
        <v>3000</v>
      </c>
      <c r="F12" s="559"/>
      <c r="G12" s="559">
        <v>530</v>
      </c>
      <c r="H12" s="497"/>
      <c r="I12" s="497">
        <f>G12*0.05+Y12</f>
        <v>26.5</v>
      </c>
      <c r="J12" s="559"/>
      <c r="K12" s="559">
        <f>2046+45</f>
        <v>2091</v>
      </c>
      <c r="L12" s="656">
        <f t="shared" si="0"/>
        <v>0</v>
      </c>
      <c r="M12" s="735">
        <f t="shared" si="1"/>
        <v>2647.5</v>
      </c>
      <c r="N12" s="657">
        <v>39436</v>
      </c>
      <c r="O12" s="91"/>
      <c r="Q12" s="73"/>
      <c r="R12" s="73"/>
      <c r="S12" s="94"/>
      <c r="T12" s="94"/>
      <c r="U12" s="94"/>
    </row>
    <row r="13" spans="1:21" x14ac:dyDescent="0.25">
      <c r="A13" s="188" t="s">
        <v>403</v>
      </c>
      <c r="B13" s="188" t="s">
        <v>13</v>
      </c>
      <c r="C13" s="189">
        <v>40029</v>
      </c>
      <c r="D13" s="189">
        <v>40151</v>
      </c>
      <c r="E13" s="192">
        <v>4000</v>
      </c>
      <c r="F13" s="192"/>
      <c r="G13" s="192">
        <v>3490</v>
      </c>
      <c r="H13" s="497"/>
      <c r="I13" s="497">
        <v>7082</v>
      </c>
      <c r="J13" s="497"/>
      <c r="K13" s="192">
        <v>2725</v>
      </c>
      <c r="L13" s="656">
        <f t="shared" si="0"/>
        <v>0</v>
      </c>
      <c r="M13" s="735">
        <f t="shared" si="1"/>
        <v>13297</v>
      </c>
      <c r="N13" s="189">
        <v>40514</v>
      </c>
      <c r="O13" s="758" t="s">
        <v>885</v>
      </c>
      <c r="Q13" s="76">
        <v>2464</v>
      </c>
      <c r="R13" s="29" t="e">
        <f>#REF!-Q13</f>
        <v>#REF!</v>
      </c>
      <c r="S13" s="92" t="e">
        <f>+#REF!*0.05+#REF!</f>
        <v>#REF!</v>
      </c>
      <c r="T13" s="93" t="e">
        <f>#REF!*0.05+S13</f>
        <v>#REF!</v>
      </c>
      <c r="U13" s="93" t="e">
        <f>+#REF!*0.05+T13</f>
        <v>#REF!</v>
      </c>
    </row>
    <row r="14" spans="1:21" x14ac:dyDescent="0.25">
      <c r="A14" s="717" t="s">
        <v>348</v>
      </c>
      <c r="B14" s="718" t="s">
        <v>17</v>
      </c>
      <c r="C14" s="719">
        <v>37393</v>
      </c>
      <c r="D14" s="719">
        <v>37697</v>
      </c>
      <c r="E14" s="787">
        <v>10000</v>
      </c>
      <c r="F14" s="787"/>
      <c r="G14" s="729">
        <v>10000</v>
      </c>
      <c r="H14" s="729"/>
      <c r="I14" s="722"/>
      <c r="J14" s="722"/>
      <c r="K14" s="729">
        <v>28725</v>
      </c>
      <c r="L14" s="656">
        <f t="shared" si="0"/>
        <v>0</v>
      </c>
      <c r="M14" s="735">
        <f t="shared" si="1"/>
        <v>38725</v>
      </c>
      <c r="N14" s="762">
        <v>38768</v>
      </c>
      <c r="O14" s="758" t="s">
        <v>887</v>
      </c>
      <c r="Q14" s="84">
        <v>47000</v>
      </c>
      <c r="R14" s="8">
        <f>E12*0.05</f>
        <v>150</v>
      </c>
      <c r="S14" s="93" t="e">
        <f>+G12*0.05+#REF!</f>
        <v>#REF!</v>
      </c>
      <c r="T14" s="93" t="e">
        <f>G12*0.05+S14</f>
        <v>#REF!</v>
      </c>
      <c r="U14" s="93" t="e">
        <f>+G12*0.05+T14</f>
        <v>#REF!</v>
      </c>
    </row>
    <row r="15" spans="1:21" x14ac:dyDescent="0.25">
      <c r="A15" s="556" t="s">
        <v>349</v>
      </c>
      <c r="B15" s="556" t="s">
        <v>29</v>
      </c>
      <c r="C15" s="557">
        <v>37431</v>
      </c>
      <c r="D15" s="557">
        <v>37614</v>
      </c>
      <c r="E15" s="559">
        <v>3000</v>
      </c>
      <c r="F15" s="559"/>
      <c r="G15" s="559">
        <v>2200</v>
      </c>
      <c r="H15" s="497"/>
      <c r="I15" s="497">
        <f>G15*0.05+Y15</f>
        <v>110</v>
      </c>
      <c r="J15" s="559"/>
      <c r="K15" s="559">
        <v>3735</v>
      </c>
      <c r="L15" s="656">
        <f t="shared" si="0"/>
        <v>0</v>
      </c>
      <c r="M15" s="735">
        <f t="shared" si="1"/>
        <v>6045</v>
      </c>
      <c r="N15" s="657">
        <v>39532</v>
      </c>
      <c r="O15" s="758" t="s">
        <v>1135</v>
      </c>
      <c r="Q15" s="71" t="e">
        <f>#REF!*0.05+#REF!</f>
        <v>#REF!</v>
      </c>
      <c r="R15" s="8" t="e">
        <f>+#REF!*0.05+Q15</f>
        <v>#REF!</v>
      </c>
      <c r="S15" s="92" t="e">
        <f>+#REF!*0.05+R15</f>
        <v>#REF!</v>
      </c>
      <c r="T15" s="97" t="e">
        <f>+#REF!*0.05+S15</f>
        <v>#REF!</v>
      </c>
      <c r="U15" s="1"/>
    </row>
    <row r="16" spans="1:21" x14ac:dyDescent="0.25">
      <c r="A16" s="717" t="s">
        <v>228</v>
      </c>
      <c r="B16" s="718" t="s">
        <v>13</v>
      </c>
      <c r="C16" s="719">
        <v>38665</v>
      </c>
      <c r="D16" s="719">
        <v>38786</v>
      </c>
      <c r="E16" s="723">
        <v>2000</v>
      </c>
      <c r="F16" s="723"/>
      <c r="G16" s="723">
        <v>1295</v>
      </c>
      <c r="H16" s="723"/>
      <c r="I16" s="722"/>
      <c r="J16" s="722"/>
      <c r="K16" s="723">
        <v>1052</v>
      </c>
      <c r="L16" s="656">
        <f t="shared" si="0"/>
        <v>0</v>
      </c>
      <c r="M16" s="735">
        <f t="shared" si="1"/>
        <v>2347</v>
      </c>
      <c r="N16" s="762">
        <v>39156</v>
      </c>
      <c r="O16" s="758" t="s">
        <v>889</v>
      </c>
      <c r="Q16" s="73">
        <v>2413</v>
      </c>
      <c r="R16" s="73">
        <f>G19*0.05</f>
        <v>500</v>
      </c>
      <c r="S16" s="93" t="e">
        <f>+G19*0.05+#REF!</f>
        <v>#REF!</v>
      </c>
      <c r="T16" s="93" t="e">
        <f>G19*0.05+S16</f>
        <v>#REF!</v>
      </c>
      <c r="U16" s="93" t="e">
        <f>+G19*0.05+T16</f>
        <v>#REF!</v>
      </c>
    </row>
    <row r="17" spans="1:21" x14ac:dyDescent="0.25">
      <c r="A17" s="717" t="s">
        <v>146</v>
      </c>
      <c r="B17" s="718" t="s">
        <v>487</v>
      </c>
      <c r="C17" s="719">
        <v>39398</v>
      </c>
      <c r="D17" s="719">
        <v>39407</v>
      </c>
      <c r="E17" s="727">
        <v>2000</v>
      </c>
      <c r="F17" s="727"/>
      <c r="G17" s="727">
        <v>1179</v>
      </c>
      <c r="H17" s="727"/>
      <c r="I17" s="722"/>
      <c r="J17" s="722"/>
      <c r="K17" s="727">
        <v>1185</v>
      </c>
      <c r="L17" s="656">
        <f t="shared" si="0"/>
        <v>0</v>
      </c>
      <c r="M17" s="735">
        <f t="shared" si="1"/>
        <v>2364</v>
      </c>
      <c r="N17" s="762">
        <v>38796</v>
      </c>
      <c r="O17" s="758" t="s">
        <v>887</v>
      </c>
      <c r="Q17" s="76">
        <v>2413</v>
      </c>
      <c r="R17" s="29" t="e">
        <f>#REF!-Q17</f>
        <v>#REF!</v>
      </c>
      <c r="S17" s="92" t="e">
        <f>+#REF!*0.05+#REF!</f>
        <v>#REF!</v>
      </c>
      <c r="T17" s="93" t="e">
        <f>#REF!*0.05+S17</f>
        <v>#REF!</v>
      </c>
      <c r="U17" s="93" t="e">
        <f>+#REF!*0.05+T17</f>
        <v>#REF!</v>
      </c>
    </row>
    <row r="18" spans="1:21" x14ac:dyDescent="0.25">
      <c r="A18" s="717" t="s">
        <v>289</v>
      </c>
      <c r="B18" s="556" t="s">
        <v>13</v>
      </c>
      <c r="C18" s="719">
        <v>38268</v>
      </c>
      <c r="D18" s="719">
        <v>38457</v>
      </c>
      <c r="E18" s="731">
        <v>5000</v>
      </c>
      <c r="F18" s="731"/>
      <c r="G18" s="731">
        <v>2945</v>
      </c>
      <c r="H18" s="731"/>
      <c r="I18" s="722"/>
      <c r="J18" s="722"/>
      <c r="K18" s="731">
        <v>1648</v>
      </c>
      <c r="L18" s="656">
        <f t="shared" si="0"/>
        <v>0</v>
      </c>
      <c r="M18" s="735">
        <f t="shared" si="1"/>
        <v>4593</v>
      </c>
      <c r="N18" s="762">
        <v>38376</v>
      </c>
      <c r="O18" s="758"/>
      <c r="Q18" s="76"/>
      <c r="R18" s="29"/>
      <c r="S18" s="92"/>
      <c r="T18" s="93"/>
      <c r="U18" s="93"/>
    </row>
    <row r="19" spans="1:21" x14ac:dyDescent="0.25">
      <c r="A19" s="717" t="s">
        <v>169</v>
      </c>
      <c r="B19" s="718" t="s">
        <v>416</v>
      </c>
      <c r="C19" s="719">
        <v>38751</v>
      </c>
      <c r="D19" s="719">
        <v>38901</v>
      </c>
      <c r="E19" s="733">
        <v>10000</v>
      </c>
      <c r="F19" s="733"/>
      <c r="G19" s="733">
        <v>10000</v>
      </c>
      <c r="H19" s="733"/>
      <c r="I19" s="722"/>
      <c r="J19" s="722"/>
      <c r="K19" s="733">
        <v>5135</v>
      </c>
      <c r="L19" s="656">
        <f t="shared" si="0"/>
        <v>0</v>
      </c>
      <c r="M19" s="735">
        <f t="shared" si="1"/>
        <v>15135</v>
      </c>
      <c r="N19" s="762">
        <v>39062</v>
      </c>
      <c r="O19" s="758"/>
      <c r="Q19" s="76"/>
      <c r="R19" s="29"/>
      <c r="S19" s="92"/>
      <c r="T19" s="93"/>
      <c r="U19" s="93"/>
    </row>
    <row r="20" spans="1:21" x14ac:dyDescent="0.25">
      <c r="A20" s="717" t="s">
        <v>231</v>
      </c>
      <c r="B20" s="718" t="s">
        <v>13</v>
      </c>
      <c r="C20" s="719">
        <v>38357</v>
      </c>
      <c r="D20" s="719">
        <v>38539</v>
      </c>
      <c r="E20" s="723">
        <v>4000</v>
      </c>
      <c r="F20" s="723"/>
      <c r="G20" s="723">
        <v>3312.5</v>
      </c>
      <c r="H20" s="723"/>
      <c r="I20" s="722"/>
      <c r="J20" s="722"/>
      <c r="K20" s="723">
        <v>1047</v>
      </c>
      <c r="L20" s="656">
        <f t="shared" si="0"/>
        <v>0</v>
      </c>
      <c r="M20" s="735">
        <f t="shared" si="1"/>
        <v>4359.5</v>
      </c>
      <c r="N20" s="762">
        <v>38720</v>
      </c>
      <c r="O20" s="758"/>
      <c r="Q20" s="76"/>
      <c r="R20" s="29"/>
      <c r="S20" s="92"/>
      <c r="T20" s="93"/>
      <c r="U20" s="93"/>
    </row>
    <row r="21" spans="1:21" x14ac:dyDescent="0.25">
      <c r="A21" s="556" t="s">
        <v>233</v>
      </c>
      <c r="B21" s="556" t="s">
        <v>32</v>
      </c>
      <c r="C21" s="557">
        <v>38559</v>
      </c>
      <c r="D21" s="557">
        <v>38743</v>
      </c>
      <c r="E21" s="655">
        <v>3000</v>
      </c>
      <c r="F21" s="655"/>
      <c r="G21" s="655">
        <v>2830</v>
      </c>
      <c r="H21" s="497"/>
      <c r="I21" s="497">
        <f>G21*0.05+X21</f>
        <v>141.5</v>
      </c>
      <c r="J21" s="655"/>
      <c r="K21" s="655">
        <v>1385</v>
      </c>
      <c r="L21" s="656">
        <f t="shared" si="0"/>
        <v>0</v>
      </c>
      <c r="M21" s="735">
        <f t="shared" si="1"/>
        <v>4356.5</v>
      </c>
      <c r="N21" s="657">
        <v>38779</v>
      </c>
      <c r="O21" s="758"/>
      <c r="Q21" s="76"/>
      <c r="R21" s="29"/>
      <c r="S21" s="92"/>
      <c r="T21" s="93"/>
      <c r="U21" s="93"/>
    </row>
    <row r="22" spans="1:21" x14ac:dyDescent="0.25">
      <c r="A22" s="717" t="s">
        <v>148</v>
      </c>
      <c r="B22" s="718" t="s">
        <v>16</v>
      </c>
      <c r="C22" s="719">
        <v>39195</v>
      </c>
      <c r="D22" s="719">
        <v>39378</v>
      </c>
      <c r="E22" s="727">
        <v>4000</v>
      </c>
      <c r="F22" s="727"/>
      <c r="G22" s="727">
        <v>3740</v>
      </c>
      <c r="H22" s="727"/>
      <c r="I22" s="722"/>
      <c r="J22" s="722"/>
      <c r="K22" s="727">
        <v>1425</v>
      </c>
      <c r="L22" s="656">
        <f t="shared" si="0"/>
        <v>0</v>
      </c>
      <c r="M22" s="735">
        <f t="shared" si="1"/>
        <v>5165</v>
      </c>
      <c r="N22" s="762">
        <v>39221</v>
      </c>
      <c r="O22" s="758"/>
      <c r="Q22" s="79">
        <v>9268</v>
      </c>
      <c r="R22" s="79" t="e">
        <f>#REF!*0.05</f>
        <v>#REF!</v>
      </c>
      <c r="S22" s="92" t="e">
        <f>+#REF!*0.05+#REF!</f>
        <v>#REF!</v>
      </c>
      <c r="T22" s="93" t="e">
        <f>#REF!*0.05+S22</f>
        <v>#REF!</v>
      </c>
      <c r="U22" s="93" t="e">
        <f>+#REF!*0.05+T22</f>
        <v>#REF!</v>
      </c>
    </row>
    <row r="23" spans="1:21" x14ac:dyDescent="0.25">
      <c r="A23" s="717" t="s">
        <v>237</v>
      </c>
      <c r="B23" s="718" t="s">
        <v>28</v>
      </c>
      <c r="C23" s="719">
        <v>38520</v>
      </c>
      <c r="D23" s="719">
        <v>38703</v>
      </c>
      <c r="E23" s="723">
        <v>4000</v>
      </c>
      <c r="F23" s="723"/>
      <c r="G23" s="723">
        <v>2335</v>
      </c>
      <c r="H23" s="723"/>
      <c r="I23" s="722">
        <v>7587.75</v>
      </c>
      <c r="J23" s="722"/>
      <c r="K23" s="723">
        <v>3132</v>
      </c>
      <c r="L23" s="656">
        <f t="shared" si="0"/>
        <v>0</v>
      </c>
      <c r="M23" s="735">
        <f t="shared" si="1"/>
        <v>13054.75</v>
      </c>
      <c r="N23" s="762">
        <v>38601</v>
      </c>
      <c r="O23" s="758"/>
      <c r="Q23" s="80"/>
      <c r="R23" s="79"/>
      <c r="S23" s="92"/>
      <c r="T23" s="93"/>
      <c r="U23" s="93"/>
    </row>
    <row r="24" spans="1:21" x14ac:dyDescent="0.25">
      <c r="A24" s="556" t="s">
        <v>238</v>
      </c>
      <c r="B24" s="556" t="s">
        <v>75</v>
      </c>
      <c r="C24" s="557">
        <v>38673</v>
      </c>
      <c r="D24" s="557">
        <v>38794</v>
      </c>
      <c r="E24" s="655">
        <v>3000</v>
      </c>
      <c r="F24" s="655"/>
      <c r="G24" s="655">
        <v>385</v>
      </c>
      <c r="H24" s="497"/>
      <c r="I24" s="497">
        <f>G24*0.05+X24</f>
        <v>19.25</v>
      </c>
      <c r="J24" s="655"/>
      <c r="K24" s="655">
        <v>2092</v>
      </c>
      <c r="L24" s="656">
        <f t="shared" si="0"/>
        <v>0</v>
      </c>
      <c r="M24" s="735">
        <f t="shared" si="1"/>
        <v>2496.25</v>
      </c>
      <c r="N24" s="658">
        <v>38992</v>
      </c>
      <c r="O24" s="758"/>
      <c r="Q24" s="102">
        <v>23500</v>
      </c>
      <c r="R24" s="75">
        <f>G20*0.05</f>
        <v>165.625</v>
      </c>
      <c r="S24" s="93" t="e">
        <f>+G20*0.05+#REF!</f>
        <v>#REF!</v>
      </c>
      <c r="T24" s="93" t="e">
        <f>G20*0.05+S24</f>
        <v>#REF!</v>
      </c>
      <c r="U24" s="93" t="e">
        <f>+G20*0.05+T24</f>
        <v>#REF!</v>
      </c>
    </row>
    <row r="25" spans="1:21" x14ac:dyDescent="0.25">
      <c r="A25" s="556" t="s">
        <v>330</v>
      </c>
      <c r="B25" s="556" t="s">
        <v>27</v>
      </c>
      <c r="C25" s="557">
        <v>37666</v>
      </c>
      <c r="D25" s="557">
        <v>37894</v>
      </c>
      <c r="E25" s="663">
        <v>6000</v>
      </c>
      <c r="F25" s="663"/>
      <c r="G25" s="663">
        <v>1647</v>
      </c>
      <c r="H25" s="497"/>
      <c r="I25" s="497">
        <v>7160.55</v>
      </c>
      <c r="J25" s="663"/>
      <c r="K25" s="663">
        <v>6462</v>
      </c>
      <c r="L25" s="656">
        <f t="shared" si="0"/>
        <v>0</v>
      </c>
      <c r="M25" s="735">
        <f t="shared" si="1"/>
        <v>15269.55</v>
      </c>
      <c r="N25" s="657">
        <v>40429</v>
      </c>
      <c r="O25" s="758"/>
      <c r="Q25" s="77">
        <v>7004</v>
      </c>
      <c r="R25" s="25" t="e">
        <f>#REF!-Q25</f>
        <v>#REF!</v>
      </c>
      <c r="S25" s="92" t="e">
        <f>+G23*0.05+#REF!</f>
        <v>#REF!</v>
      </c>
      <c r="T25" s="93" t="e">
        <f>G23*0.05+S25</f>
        <v>#REF!</v>
      </c>
      <c r="U25" s="93" t="e">
        <f>+G23*0.05+T25</f>
        <v>#REF!</v>
      </c>
    </row>
    <row r="26" spans="1:21" x14ac:dyDescent="0.25">
      <c r="A26" s="556" t="s">
        <v>354</v>
      </c>
      <c r="B26" s="556" t="s">
        <v>28</v>
      </c>
      <c r="C26" s="557">
        <v>37439</v>
      </c>
      <c r="D26" s="557">
        <v>37623</v>
      </c>
      <c r="E26" s="559">
        <v>3000</v>
      </c>
      <c r="F26" s="559"/>
      <c r="G26" s="559">
        <v>2690</v>
      </c>
      <c r="H26" s="497"/>
      <c r="I26" s="497">
        <v>2724</v>
      </c>
      <c r="J26" s="559"/>
      <c r="K26" s="559">
        <v>2863</v>
      </c>
      <c r="L26" s="656">
        <f t="shared" si="0"/>
        <v>0</v>
      </c>
      <c r="M26" s="735">
        <f t="shared" si="1"/>
        <v>8277</v>
      </c>
      <c r="N26" s="657">
        <v>40631</v>
      </c>
      <c r="O26" s="758"/>
      <c r="Q26" s="80">
        <v>2157</v>
      </c>
      <c r="R26" s="99">
        <f>G29*0.05</f>
        <v>39</v>
      </c>
      <c r="S26" s="92" t="e">
        <f>+G29*0.05+#REF!</f>
        <v>#REF!</v>
      </c>
      <c r="T26" s="93" t="e">
        <f>G29*0.05+S26</f>
        <v>#REF!</v>
      </c>
      <c r="U26" s="93" t="e">
        <f>+G29*0.05+T26</f>
        <v>#REF!</v>
      </c>
    </row>
    <row r="27" spans="1:21" x14ac:dyDescent="0.25">
      <c r="A27" s="556" t="s">
        <v>176</v>
      </c>
      <c r="B27" s="556" t="s">
        <v>416</v>
      </c>
      <c r="C27" s="557">
        <v>38929</v>
      </c>
      <c r="D27" s="557">
        <v>38959</v>
      </c>
      <c r="E27" s="671">
        <v>30000</v>
      </c>
      <c r="F27" s="671"/>
      <c r="G27" s="671">
        <v>30000</v>
      </c>
      <c r="H27" s="497"/>
      <c r="I27" s="497">
        <f>+G27*0.05+X27</f>
        <v>1500</v>
      </c>
      <c r="J27" s="671"/>
      <c r="K27" s="671">
        <v>65520</v>
      </c>
      <c r="L27" s="656">
        <f t="shared" si="0"/>
        <v>0</v>
      </c>
      <c r="M27" s="735">
        <f t="shared" si="1"/>
        <v>97020</v>
      </c>
      <c r="N27" s="657" t="s">
        <v>76</v>
      </c>
      <c r="O27" s="758" t="s">
        <v>886</v>
      </c>
      <c r="Q27" s="77">
        <v>9811</v>
      </c>
      <c r="R27" s="25" t="e">
        <f>#REF!-Q27</f>
        <v>#REF!</v>
      </c>
      <c r="S27" s="92" t="e">
        <f>+G32*0.05+#REF!</f>
        <v>#REF!</v>
      </c>
      <c r="T27" s="93" t="e">
        <f>G32*0.05+S27</f>
        <v>#REF!</v>
      </c>
      <c r="U27" s="93" t="e">
        <f>+G32*0.05+T27</f>
        <v>#REF!</v>
      </c>
    </row>
    <row r="28" spans="1:21" x14ac:dyDescent="0.25">
      <c r="A28" s="556" t="s">
        <v>176</v>
      </c>
      <c r="B28" s="556" t="s">
        <v>416</v>
      </c>
      <c r="C28" s="557">
        <v>38929</v>
      </c>
      <c r="D28" s="557">
        <v>38959</v>
      </c>
      <c r="E28" s="671">
        <v>50000</v>
      </c>
      <c r="F28" s="671"/>
      <c r="G28" s="671">
        <v>50000</v>
      </c>
      <c r="H28" s="497"/>
      <c r="I28" s="497">
        <f>+G28*0.05+X28</f>
        <v>2500</v>
      </c>
      <c r="J28" s="671"/>
      <c r="K28" s="671">
        <v>94500</v>
      </c>
      <c r="L28" s="656">
        <f t="shared" si="0"/>
        <v>0</v>
      </c>
      <c r="M28" s="735">
        <f t="shared" si="1"/>
        <v>147000</v>
      </c>
      <c r="N28" s="657" t="s">
        <v>76</v>
      </c>
      <c r="O28" s="758" t="s">
        <v>886</v>
      </c>
      <c r="Q28" s="77">
        <v>4955</v>
      </c>
      <c r="R28" s="25" t="e">
        <f>#REF!-Q28</f>
        <v>#REF!</v>
      </c>
      <c r="S28" s="92" t="e">
        <f>+#REF!*0.05+#REF!</f>
        <v>#REF!</v>
      </c>
      <c r="T28" s="93" t="e">
        <f>#REF!*0.05+S28</f>
        <v>#REF!</v>
      </c>
      <c r="U28" s="93" t="e">
        <f>+#REF!*0.05+T28</f>
        <v>#REF!</v>
      </c>
    </row>
    <row r="29" spans="1:21" x14ac:dyDescent="0.25">
      <c r="A29" s="717" t="s">
        <v>300</v>
      </c>
      <c r="B29" s="556" t="s">
        <v>487</v>
      </c>
      <c r="C29" s="719">
        <v>38194</v>
      </c>
      <c r="D29" s="719">
        <v>38315</v>
      </c>
      <c r="E29" s="731">
        <v>2000</v>
      </c>
      <c r="F29" s="731"/>
      <c r="G29" s="731">
        <v>780</v>
      </c>
      <c r="H29" s="731"/>
      <c r="I29" s="722"/>
      <c r="J29" s="722"/>
      <c r="K29" s="731">
        <v>1759</v>
      </c>
      <c r="L29" s="656">
        <f t="shared" si="0"/>
        <v>0</v>
      </c>
      <c r="M29" s="735">
        <f t="shared" si="1"/>
        <v>2539</v>
      </c>
      <c r="N29" s="762">
        <v>38084</v>
      </c>
      <c r="O29" s="758"/>
      <c r="Q29" s="77"/>
      <c r="R29" s="25"/>
      <c r="S29" s="92"/>
      <c r="T29" s="93"/>
      <c r="U29" s="93"/>
    </row>
    <row r="30" spans="1:21" x14ac:dyDescent="0.25">
      <c r="A30" s="717" t="s">
        <v>243</v>
      </c>
      <c r="B30" s="718" t="s">
        <v>29</v>
      </c>
      <c r="C30" s="719">
        <v>38691</v>
      </c>
      <c r="D30" s="719">
        <v>38995</v>
      </c>
      <c r="E30" s="723">
        <v>8000</v>
      </c>
      <c r="F30" s="723"/>
      <c r="G30" s="723">
        <v>8000</v>
      </c>
      <c r="H30" s="723"/>
      <c r="I30" s="722"/>
      <c r="J30" s="722"/>
      <c r="K30" s="723">
        <v>2920</v>
      </c>
      <c r="L30" s="656">
        <f t="shared" si="0"/>
        <v>0</v>
      </c>
      <c r="M30" s="735">
        <f t="shared" si="1"/>
        <v>10920</v>
      </c>
      <c r="N30" s="762" t="s">
        <v>76</v>
      </c>
      <c r="O30" s="758"/>
      <c r="Q30" s="77"/>
      <c r="R30" s="25"/>
      <c r="S30" s="92"/>
      <c r="T30" s="93"/>
      <c r="U30" s="93"/>
    </row>
    <row r="31" spans="1:21" x14ac:dyDescent="0.25">
      <c r="A31" s="717" t="s">
        <v>182</v>
      </c>
      <c r="B31" s="718" t="s">
        <v>14</v>
      </c>
      <c r="C31" s="719">
        <v>38860</v>
      </c>
      <c r="D31" s="719">
        <v>39164</v>
      </c>
      <c r="E31" s="733">
        <v>7000</v>
      </c>
      <c r="F31" s="733"/>
      <c r="G31" s="733">
        <v>6350</v>
      </c>
      <c r="H31" s="733"/>
      <c r="I31" s="722"/>
      <c r="J31" s="722"/>
      <c r="K31" s="733">
        <v>7220</v>
      </c>
      <c r="L31" s="656">
        <f t="shared" si="0"/>
        <v>0</v>
      </c>
      <c r="M31" s="735">
        <f t="shared" si="1"/>
        <v>13570</v>
      </c>
      <c r="N31" s="762">
        <v>40050</v>
      </c>
      <c r="O31" s="91"/>
      <c r="Q31" s="80"/>
      <c r="R31" s="99"/>
      <c r="S31" s="92"/>
      <c r="T31" s="93"/>
      <c r="U31" s="93"/>
    </row>
    <row r="32" spans="1:21" x14ac:dyDescent="0.25">
      <c r="A32" s="556" t="s">
        <v>302</v>
      </c>
      <c r="B32" s="556" t="s">
        <v>13</v>
      </c>
      <c r="C32" s="557">
        <v>37995</v>
      </c>
      <c r="D32" s="557">
        <v>38092</v>
      </c>
      <c r="E32" s="656">
        <v>2000</v>
      </c>
      <c r="F32" s="656"/>
      <c r="G32" s="656">
        <v>325</v>
      </c>
      <c r="H32" s="497"/>
      <c r="I32" s="497">
        <f>G32*0.05+Y32</f>
        <v>16.25</v>
      </c>
      <c r="J32" s="656"/>
      <c r="K32" s="656">
        <v>2615</v>
      </c>
      <c r="L32" s="656">
        <f t="shared" si="0"/>
        <v>0</v>
      </c>
      <c r="M32" s="735">
        <f t="shared" si="1"/>
        <v>2956.25</v>
      </c>
      <c r="N32" s="657">
        <v>40333</v>
      </c>
      <c r="O32" s="91"/>
      <c r="Q32" s="80"/>
      <c r="R32" s="99"/>
      <c r="S32" s="92"/>
      <c r="T32" s="93"/>
      <c r="U32" s="93"/>
    </row>
    <row r="33" spans="1:21" x14ac:dyDescent="0.25">
      <c r="A33" s="556" t="s">
        <v>356</v>
      </c>
      <c r="B33" s="556" t="s">
        <v>27</v>
      </c>
      <c r="C33" s="557">
        <v>37411</v>
      </c>
      <c r="D33" s="557">
        <v>37711</v>
      </c>
      <c r="E33" s="559">
        <v>3000</v>
      </c>
      <c r="F33" s="559"/>
      <c r="G33" s="559">
        <v>2162.75</v>
      </c>
      <c r="H33" s="497"/>
      <c r="I33" s="497">
        <f>G33*0.05+Y33</f>
        <v>108.1375</v>
      </c>
      <c r="J33" s="559"/>
      <c r="K33" s="559">
        <v>804</v>
      </c>
      <c r="L33" s="656">
        <f t="shared" si="0"/>
        <v>0</v>
      </c>
      <c r="M33" s="735">
        <f t="shared" si="1"/>
        <v>3074.8874999999998</v>
      </c>
      <c r="N33" s="657">
        <v>39475</v>
      </c>
      <c r="O33" s="758"/>
      <c r="Q33" s="80">
        <v>12406</v>
      </c>
      <c r="R33" s="99">
        <f>G42*0.05</f>
        <v>139.6</v>
      </c>
      <c r="S33" s="92">
        <f>+G42*0.05+P61</f>
        <v>12824.800000000001</v>
      </c>
      <c r="T33" s="93">
        <f>G42*0.05+S33</f>
        <v>12964.400000000001</v>
      </c>
      <c r="U33" s="93">
        <f>+G42*0.05+T33</f>
        <v>13104.000000000002</v>
      </c>
    </row>
    <row r="34" spans="1:21" x14ac:dyDescent="0.25">
      <c r="A34" s="717" t="s">
        <v>250</v>
      </c>
      <c r="B34" s="718" t="s">
        <v>32</v>
      </c>
      <c r="C34" s="719">
        <v>38560</v>
      </c>
      <c r="D34" s="719">
        <v>38684</v>
      </c>
      <c r="E34" s="723">
        <v>2000</v>
      </c>
      <c r="F34" s="723"/>
      <c r="G34" s="723">
        <v>1837</v>
      </c>
      <c r="H34" s="723"/>
      <c r="I34" s="722"/>
      <c r="J34" s="722"/>
      <c r="K34" s="723">
        <v>1755</v>
      </c>
      <c r="L34" s="656">
        <f t="shared" si="0"/>
        <v>0</v>
      </c>
      <c r="M34" s="735">
        <f t="shared" si="1"/>
        <v>3592</v>
      </c>
      <c r="N34" s="762">
        <v>38575</v>
      </c>
      <c r="O34" s="758"/>
      <c r="Q34" s="102">
        <v>6971</v>
      </c>
      <c r="R34" s="75" t="e">
        <f>#REF!*0.05</f>
        <v>#REF!</v>
      </c>
      <c r="S34" s="93" t="e">
        <f>+#REF!*0.05+P63</f>
        <v>#REF!</v>
      </c>
      <c r="T34" s="93" t="e">
        <f>#REF!*0.05+S34</f>
        <v>#REF!</v>
      </c>
      <c r="U34" s="93" t="e">
        <f>+#REF!*0.05+T34</f>
        <v>#REF!</v>
      </c>
    </row>
    <row r="35" spans="1:21" x14ac:dyDescent="0.25">
      <c r="A35" s="556" t="s">
        <v>358</v>
      </c>
      <c r="B35" s="556" t="s">
        <v>214</v>
      </c>
      <c r="C35" s="557">
        <v>37393</v>
      </c>
      <c r="D35" s="557">
        <v>37546</v>
      </c>
      <c r="E35" s="559">
        <v>5000</v>
      </c>
      <c r="F35" s="559"/>
      <c r="G35" s="559">
        <v>4500</v>
      </c>
      <c r="H35" s="497"/>
      <c r="I35" s="497">
        <f>G35*0.05+Y35</f>
        <v>225</v>
      </c>
      <c r="J35" s="559"/>
      <c r="K35" s="559">
        <v>4927</v>
      </c>
      <c r="L35" s="656">
        <f t="shared" si="0"/>
        <v>0</v>
      </c>
      <c r="M35" s="735">
        <f t="shared" si="1"/>
        <v>9652</v>
      </c>
      <c r="N35" s="657" t="s">
        <v>76</v>
      </c>
      <c r="O35" s="758" t="s">
        <v>666</v>
      </c>
      <c r="Q35" s="77">
        <v>8940</v>
      </c>
      <c r="R35" s="25">
        <f>P64-Q35</f>
        <v>233.10000000000036</v>
      </c>
      <c r="S35" s="92">
        <f>+G44*0.05+P64</f>
        <v>9406.2000000000007</v>
      </c>
      <c r="T35" s="93">
        <f>G44*0.05+S35</f>
        <v>9639.3000000000011</v>
      </c>
      <c r="U35" s="93">
        <f>+G44*0.05+T35</f>
        <v>9872.4000000000015</v>
      </c>
    </row>
    <row r="36" spans="1:21" x14ac:dyDescent="0.25">
      <c r="A36" s="717" t="s">
        <v>304</v>
      </c>
      <c r="B36" s="556" t="s">
        <v>13</v>
      </c>
      <c r="C36" s="719">
        <v>38258</v>
      </c>
      <c r="D36" s="719">
        <v>38441</v>
      </c>
      <c r="E36" s="731">
        <v>5000</v>
      </c>
      <c r="F36" s="731"/>
      <c r="G36" s="731">
        <v>4170</v>
      </c>
      <c r="H36" s="731"/>
      <c r="I36" s="722"/>
      <c r="J36" s="722"/>
      <c r="K36" s="731">
        <v>16506</v>
      </c>
      <c r="L36" s="656">
        <f t="shared" si="0"/>
        <v>0</v>
      </c>
      <c r="M36" s="735">
        <f t="shared" si="1"/>
        <v>20676</v>
      </c>
      <c r="N36" s="762" t="s">
        <v>76</v>
      </c>
      <c r="O36" s="758"/>
      <c r="Q36" s="76">
        <v>5521</v>
      </c>
      <c r="R36" s="29">
        <f>P65-Q36</f>
        <v>172.5</v>
      </c>
      <c r="S36" s="92">
        <f>+G45*0.05+P65</f>
        <v>5866</v>
      </c>
      <c r="T36" s="93">
        <f>G45*0.05+S36</f>
        <v>6038.5</v>
      </c>
      <c r="U36" s="93">
        <f>+G45*0.05+T36</f>
        <v>6211</v>
      </c>
    </row>
    <row r="37" spans="1:21" x14ac:dyDescent="0.25">
      <c r="A37" s="556" t="s">
        <v>361</v>
      </c>
      <c r="B37" s="556" t="s">
        <v>13</v>
      </c>
      <c r="C37" s="557">
        <v>37427</v>
      </c>
      <c r="D37" s="557">
        <v>37620</v>
      </c>
      <c r="E37" s="559">
        <v>3000</v>
      </c>
      <c r="F37" s="559"/>
      <c r="G37" s="559">
        <v>1693</v>
      </c>
      <c r="H37" s="497"/>
      <c r="I37" s="497">
        <f>G37*0.05+Y37</f>
        <v>84.65</v>
      </c>
      <c r="J37" s="559"/>
      <c r="K37" s="559">
        <v>400</v>
      </c>
      <c r="L37" s="656">
        <f t="shared" si="0"/>
        <v>0</v>
      </c>
      <c r="M37" s="735">
        <f t="shared" si="1"/>
        <v>2177.65</v>
      </c>
      <c r="N37" s="657">
        <v>40064</v>
      </c>
      <c r="O37" s="758"/>
      <c r="Q37" s="74">
        <v>5000</v>
      </c>
      <c r="R37" s="88">
        <f>G46*0.05</f>
        <v>125</v>
      </c>
      <c r="S37" s="93">
        <f>+G46*0.05+P66</f>
        <v>5375</v>
      </c>
      <c r="T37" s="93">
        <f>G46*0.05+S37</f>
        <v>5500</v>
      </c>
      <c r="U37" s="93">
        <f>+G46*0.05+T37</f>
        <v>5625</v>
      </c>
    </row>
    <row r="38" spans="1:21" x14ac:dyDescent="0.25">
      <c r="A38" s="717" t="s">
        <v>367</v>
      </c>
      <c r="B38" s="718" t="s">
        <v>13</v>
      </c>
      <c r="C38" s="719">
        <v>37440</v>
      </c>
      <c r="D38" s="719">
        <v>37624</v>
      </c>
      <c r="E38" s="729">
        <v>3000</v>
      </c>
      <c r="F38" s="729"/>
      <c r="G38" s="729">
        <v>1998</v>
      </c>
      <c r="H38" s="729"/>
      <c r="I38" s="722"/>
      <c r="J38" s="722"/>
      <c r="K38" s="729">
        <v>282.75</v>
      </c>
      <c r="L38" s="656">
        <f t="shared" si="0"/>
        <v>0</v>
      </c>
      <c r="M38" s="735">
        <f t="shared" si="1"/>
        <v>2280.75</v>
      </c>
      <c r="N38" s="762" t="s">
        <v>76</v>
      </c>
      <c r="O38" s="758"/>
      <c r="Q38" s="83"/>
      <c r="R38" s="83"/>
      <c r="S38" s="93"/>
      <c r="T38" s="93"/>
      <c r="U38" s="93"/>
    </row>
    <row r="39" spans="1:21" x14ac:dyDescent="0.25">
      <c r="A39" s="556" t="s">
        <v>307</v>
      </c>
      <c r="B39" s="556" t="s">
        <v>13</v>
      </c>
      <c r="C39" s="557">
        <v>38205</v>
      </c>
      <c r="D39" s="557">
        <v>38389</v>
      </c>
      <c r="E39" s="656">
        <v>4000</v>
      </c>
      <c r="F39" s="656"/>
      <c r="G39" s="656">
        <v>1886</v>
      </c>
      <c r="H39" s="497"/>
      <c r="I39" s="497">
        <f>G39*0.05+Y39</f>
        <v>94.300000000000011</v>
      </c>
      <c r="J39" s="656"/>
      <c r="K39" s="656"/>
      <c r="L39" s="656">
        <f t="shared" si="0"/>
        <v>0</v>
      </c>
      <c r="M39" s="735">
        <f t="shared" si="1"/>
        <v>1980.3</v>
      </c>
      <c r="N39" s="657">
        <v>40290</v>
      </c>
      <c r="O39" s="758"/>
      <c r="Q39" s="76">
        <v>6121</v>
      </c>
      <c r="R39" s="29">
        <f>P68-Q39</f>
        <v>297.14999999999964</v>
      </c>
      <c r="S39" s="92">
        <f>+G49*0.05+P68</f>
        <v>6715.2999999999993</v>
      </c>
      <c r="T39" s="93">
        <f>G49*0.05+S39</f>
        <v>7012.4499999999989</v>
      </c>
      <c r="U39" s="93">
        <f>+G49*0.05+T39</f>
        <v>7309.5999999999985</v>
      </c>
    </row>
    <row r="40" spans="1:21" x14ac:dyDescent="0.25">
      <c r="A40" s="717" t="s">
        <v>257</v>
      </c>
      <c r="B40" s="718" t="s">
        <v>258</v>
      </c>
      <c r="C40" s="719">
        <v>38698</v>
      </c>
      <c r="D40" s="719">
        <v>38852</v>
      </c>
      <c r="E40" s="723">
        <v>3000</v>
      </c>
      <c r="F40" s="723"/>
      <c r="G40" s="723">
        <v>2700</v>
      </c>
      <c r="H40" s="723"/>
      <c r="I40" s="722"/>
      <c r="J40" s="722"/>
      <c r="K40" s="723">
        <v>1631</v>
      </c>
      <c r="L40" s="656">
        <f t="shared" si="0"/>
        <v>0</v>
      </c>
      <c r="M40" s="735">
        <f t="shared" si="1"/>
        <v>4331</v>
      </c>
      <c r="N40" s="762">
        <v>38722</v>
      </c>
      <c r="O40" s="758"/>
      <c r="Q40" s="79">
        <v>7343.5</v>
      </c>
      <c r="R40" s="79" t="e">
        <f>#REF!*0.05</f>
        <v>#REF!</v>
      </c>
      <c r="S40" s="92" t="e">
        <f>+#REF!*0.05+P70</f>
        <v>#REF!</v>
      </c>
      <c r="T40" s="93" t="e">
        <f>#REF!*0.05+S40</f>
        <v>#REF!</v>
      </c>
      <c r="U40" s="93" t="e">
        <f>+#REF!*0.05+T40</f>
        <v>#REF!</v>
      </c>
    </row>
    <row r="41" spans="1:21" x14ac:dyDescent="0.25">
      <c r="A41" s="556" t="s">
        <v>192</v>
      </c>
      <c r="B41" s="556" t="s">
        <v>17</v>
      </c>
      <c r="C41" s="557">
        <v>38792</v>
      </c>
      <c r="D41" s="557">
        <v>38975</v>
      </c>
      <c r="E41" s="671">
        <v>4500</v>
      </c>
      <c r="F41" s="671"/>
      <c r="G41" s="671">
        <v>1480</v>
      </c>
      <c r="H41" s="497"/>
      <c r="I41" s="497">
        <f>+G41*0.05+X41</f>
        <v>74</v>
      </c>
      <c r="J41" s="671"/>
      <c r="K41" s="671">
        <v>2886</v>
      </c>
      <c r="L41" s="656">
        <f t="shared" si="0"/>
        <v>0</v>
      </c>
      <c r="M41" s="735">
        <f t="shared" si="1"/>
        <v>4440</v>
      </c>
      <c r="N41" s="657">
        <v>39140</v>
      </c>
      <c r="O41" s="758"/>
      <c r="Q41" s="76">
        <v>19411</v>
      </c>
      <c r="R41" s="29">
        <f>P71-Q41</f>
        <v>140.25</v>
      </c>
      <c r="S41" s="92">
        <f>+G53*0.05+P71</f>
        <v>19691.5</v>
      </c>
      <c r="T41" s="93">
        <f>G53*0.05+S41</f>
        <v>19831.75</v>
      </c>
      <c r="U41" s="93">
        <f>+G53*0.05+T41</f>
        <v>19972</v>
      </c>
    </row>
    <row r="42" spans="1:21" x14ac:dyDescent="0.25">
      <c r="A42" s="717" t="s">
        <v>309</v>
      </c>
      <c r="B42" s="556" t="s">
        <v>32</v>
      </c>
      <c r="C42" s="719">
        <v>38236</v>
      </c>
      <c r="D42" s="719">
        <v>38359</v>
      </c>
      <c r="E42" s="731">
        <v>3000</v>
      </c>
      <c r="F42" s="731"/>
      <c r="G42" s="731">
        <v>2792</v>
      </c>
      <c r="H42" s="731"/>
      <c r="I42" s="722">
        <f>+G42*0.05+U33</f>
        <v>13243.600000000002</v>
      </c>
      <c r="J42" s="722"/>
      <c r="K42" s="731">
        <v>1412</v>
      </c>
      <c r="L42" s="656">
        <f t="shared" si="0"/>
        <v>0</v>
      </c>
      <c r="M42" s="735">
        <f t="shared" si="1"/>
        <v>17447.600000000002</v>
      </c>
      <c r="N42" s="762">
        <v>39644</v>
      </c>
      <c r="O42" s="758"/>
      <c r="Q42" s="76"/>
      <c r="R42" s="29"/>
      <c r="S42" s="92"/>
      <c r="T42" s="93"/>
      <c r="U42" s="93"/>
    </row>
    <row r="43" spans="1:21" x14ac:dyDescent="0.25">
      <c r="A43" s="717" t="s">
        <v>261</v>
      </c>
      <c r="B43" s="718" t="s">
        <v>9</v>
      </c>
      <c r="C43" s="719">
        <v>38698</v>
      </c>
      <c r="D43" s="719">
        <v>38788</v>
      </c>
      <c r="E43" s="723">
        <v>6000</v>
      </c>
      <c r="F43" s="723"/>
      <c r="G43" s="723">
        <v>4350</v>
      </c>
      <c r="H43" s="723"/>
      <c r="I43" s="722">
        <v>2500</v>
      </c>
      <c r="J43" s="722"/>
      <c r="K43" s="723">
        <v>4389</v>
      </c>
      <c r="L43" s="656">
        <f t="shared" si="0"/>
        <v>0</v>
      </c>
      <c r="M43" s="735">
        <f t="shared" si="1"/>
        <v>11239</v>
      </c>
      <c r="N43" s="762">
        <v>38981</v>
      </c>
      <c r="O43" s="758"/>
      <c r="Q43" s="76"/>
      <c r="R43" s="29"/>
      <c r="S43" s="92"/>
      <c r="T43" s="93"/>
      <c r="U43" s="93"/>
    </row>
    <row r="44" spans="1:21" x14ac:dyDescent="0.25">
      <c r="A44" s="717" t="s">
        <v>262</v>
      </c>
      <c r="B44" s="718" t="s">
        <v>13</v>
      </c>
      <c r="C44" s="719">
        <v>38454</v>
      </c>
      <c r="D44" s="719">
        <v>38610</v>
      </c>
      <c r="E44" s="723">
        <v>10000</v>
      </c>
      <c r="F44" s="723"/>
      <c r="G44" s="723">
        <v>4662</v>
      </c>
      <c r="H44" s="723"/>
      <c r="I44" s="722">
        <f>+G44*0.05+U35</f>
        <v>10105.500000000002</v>
      </c>
      <c r="J44" s="722"/>
      <c r="K44" s="723">
        <v>1010</v>
      </c>
      <c r="L44" s="656">
        <f t="shared" si="0"/>
        <v>0</v>
      </c>
      <c r="M44" s="735">
        <f t="shared" si="1"/>
        <v>15777.500000000002</v>
      </c>
      <c r="N44" s="762">
        <v>39198</v>
      </c>
      <c r="O44" s="758"/>
      <c r="Q44" s="76"/>
      <c r="R44" s="29"/>
      <c r="S44" s="92"/>
      <c r="T44" s="93"/>
      <c r="U44" s="93"/>
    </row>
    <row r="45" spans="1:21" x14ac:dyDescent="0.25">
      <c r="A45" s="717" t="s">
        <v>311</v>
      </c>
      <c r="B45" s="718" t="s">
        <v>27</v>
      </c>
      <c r="C45" s="719">
        <v>38220</v>
      </c>
      <c r="D45" s="719">
        <v>38336</v>
      </c>
      <c r="E45" s="723">
        <v>3000</v>
      </c>
      <c r="F45" s="723"/>
      <c r="G45" s="723">
        <v>3450</v>
      </c>
      <c r="H45" s="723"/>
      <c r="I45" s="722">
        <f>+G45*0.05+U36</f>
        <v>6383.5</v>
      </c>
      <c r="J45" s="722"/>
      <c r="K45" s="723">
        <v>1252</v>
      </c>
      <c r="L45" s="656">
        <f t="shared" si="0"/>
        <v>0</v>
      </c>
      <c r="M45" s="735">
        <f t="shared" si="1"/>
        <v>11085.5</v>
      </c>
      <c r="N45" s="762">
        <v>40311</v>
      </c>
      <c r="O45" s="758"/>
      <c r="Q45" s="76"/>
      <c r="R45" s="29"/>
      <c r="S45" s="92"/>
      <c r="T45" s="93"/>
      <c r="U45" s="93"/>
    </row>
    <row r="46" spans="1:21" x14ac:dyDescent="0.25">
      <c r="A46" s="717" t="s">
        <v>196</v>
      </c>
      <c r="B46" s="718" t="s">
        <v>32</v>
      </c>
      <c r="C46" s="719">
        <v>38988</v>
      </c>
      <c r="D46" s="719">
        <v>39110</v>
      </c>
      <c r="E46" s="733">
        <v>5000</v>
      </c>
      <c r="F46" s="733"/>
      <c r="G46" s="733">
        <v>2500</v>
      </c>
      <c r="H46" s="733"/>
      <c r="I46" s="722">
        <f>+G46*0.05+U37</f>
        <v>5750</v>
      </c>
      <c r="J46" s="722"/>
      <c r="K46" s="733">
        <v>2688</v>
      </c>
      <c r="L46" s="656">
        <f t="shared" si="0"/>
        <v>0</v>
      </c>
      <c r="M46" s="735">
        <f t="shared" si="1"/>
        <v>10938</v>
      </c>
      <c r="N46" s="762">
        <v>39041</v>
      </c>
      <c r="O46" s="758"/>
      <c r="Q46" s="76"/>
      <c r="R46" s="29"/>
      <c r="S46" s="92"/>
      <c r="T46" s="93"/>
      <c r="U46" s="93"/>
    </row>
    <row r="47" spans="1:21" x14ac:dyDescent="0.25">
      <c r="A47" s="717" t="s">
        <v>335</v>
      </c>
      <c r="B47" s="718" t="s">
        <v>12</v>
      </c>
      <c r="C47" s="719">
        <v>37952</v>
      </c>
      <c r="D47" s="719">
        <v>38138</v>
      </c>
      <c r="E47" s="735">
        <v>3000</v>
      </c>
      <c r="F47" s="735"/>
      <c r="G47" s="735">
        <v>950</v>
      </c>
      <c r="H47" s="735"/>
      <c r="I47" s="722">
        <v>6258.5</v>
      </c>
      <c r="J47" s="722"/>
      <c r="K47" s="735">
        <v>3474</v>
      </c>
      <c r="L47" s="656">
        <f t="shared" si="0"/>
        <v>0</v>
      </c>
      <c r="M47" s="735">
        <f t="shared" si="1"/>
        <v>10682.5</v>
      </c>
      <c r="N47" s="762">
        <v>38489</v>
      </c>
      <c r="O47" s="498"/>
      <c r="Q47" s="96">
        <v>839</v>
      </c>
      <c r="R47" s="29">
        <f>P72-Q47</f>
        <v>72.75</v>
      </c>
      <c r="S47" s="92">
        <f>+G54*0.05+P72</f>
        <v>984.5</v>
      </c>
      <c r="T47" s="93">
        <f>G54*0.05+S47</f>
        <v>1057.25</v>
      </c>
      <c r="U47" s="93">
        <f>+G54*0.05+T47</f>
        <v>1130</v>
      </c>
    </row>
    <row r="48" spans="1:21" x14ac:dyDescent="0.25">
      <c r="A48" s="717" t="s">
        <v>263</v>
      </c>
      <c r="B48" s="718" t="s">
        <v>27</v>
      </c>
      <c r="C48" s="719">
        <v>38617</v>
      </c>
      <c r="D48" s="719">
        <v>38928</v>
      </c>
      <c r="E48" s="723">
        <v>2500</v>
      </c>
      <c r="F48" s="723"/>
      <c r="G48" s="723">
        <v>2270</v>
      </c>
      <c r="H48" s="723"/>
      <c r="I48" s="722">
        <f>+G48*0.05+U38</f>
        <v>113.5</v>
      </c>
      <c r="J48" s="722"/>
      <c r="K48" s="723">
        <v>1963</v>
      </c>
      <c r="L48" s="656">
        <f t="shared" si="0"/>
        <v>0</v>
      </c>
      <c r="M48" s="735">
        <f t="shared" si="1"/>
        <v>4346.5</v>
      </c>
      <c r="N48" s="762">
        <v>40043</v>
      </c>
      <c r="O48" s="498"/>
      <c r="Q48" s="84">
        <v>12364</v>
      </c>
      <c r="R48" s="8">
        <f>E55*0.05</f>
        <v>100</v>
      </c>
      <c r="S48" s="93">
        <f>+G55*0.05+P73</f>
        <v>12650.7</v>
      </c>
      <c r="T48" s="93">
        <f>G55*0.05+S48</f>
        <v>12744.050000000001</v>
      </c>
      <c r="U48" s="93">
        <f>+G55*0.05+T48</f>
        <v>12837.400000000001</v>
      </c>
    </row>
    <row r="49" spans="1:22" x14ac:dyDescent="0.25">
      <c r="A49" s="717" t="s">
        <v>200</v>
      </c>
      <c r="B49" s="718" t="s">
        <v>32</v>
      </c>
      <c r="C49" s="719">
        <v>38776</v>
      </c>
      <c r="D49" s="719">
        <v>38867</v>
      </c>
      <c r="E49" s="733">
        <v>6000</v>
      </c>
      <c r="F49" s="733"/>
      <c r="G49" s="733">
        <v>5943</v>
      </c>
      <c r="H49" s="733"/>
      <c r="I49" s="722">
        <f>+G49*0.05+U39</f>
        <v>7606.7499999999982</v>
      </c>
      <c r="J49" s="722"/>
      <c r="K49" s="733">
        <v>5140</v>
      </c>
      <c r="L49" s="656">
        <f t="shared" si="0"/>
        <v>0</v>
      </c>
      <c r="M49" s="735">
        <f t="shared" si="1"/>
        <v>18689.75</v>
      </c>
      <c r="N49" s="762">
        <v>38802</v>
      </c>
      <c r="O49" s="498"/>
      <c r="Q49" s="84"/>
      <c r="R49" s="8"/>
      <c r="S49" s="93"/>
      <c r="T49" s="93"/>
      <c r="U49" s="93"/>
    </row>
    <row r="50" spans="1:22" x14ac:dyDescent="0.25">
      <c r="A50" s="736" t="s">
        <v>313</v>
      </c>
      <c r="B50" s="556" t="s">
        <v>152</v>
      </c>
      <c r="C50" s="719">
        <v>38308</v>
      </c>
      <c r="D50" s="719">
        <v>38490</v>
      </c>
      <c r="E50" s="731">
        <v>5000</v>
      </c>
      <c r="F50" s="731"/>
      <c r="G50" s="731">
        <v>2510</v>
      </c>
      <c r="H50" s="731"/>
      <c r="I50" s="722">
        <v>5000</v>
      </c>
      <c r="J50" s="722"/>
      <c r="K50" s="731">
        <v>4621</v>
      </c>
      <c r="L50" s="656">
        <f t="shared" si="0"/>
        <v>0</v>
      </c>
      <c r="M50" s="735">
        <f t="shared" si="1"/>
        <v>12131</v>
      </c>
      <c r="N50" s="762">
        <v>39583</v>
      </c>
      <c r="O50" s="498"/>
      <c r="Q50" s="84"/>
      <c r="R50" s="8"/>
      <c r="S50" s="93"/>
      <c r="T50" s="93"/>
      <c r="U50" s="93"/>
    </row>
    <row r="51" spans="1:22" ht="15.75" customHeight="1" x14ac:dyDescent="0.25">
      <c r="A51" s="659" t="s">
        <v>266</v>
      </c>
      <c r="B51" s="556" t="s">
        <v>27</v>
      </c>
      <c r="C51" s="557">
        <v>38617</v>
      </c>
      <c r="D51" s="557">
        <v>38928</v>
      </c>
      <c r="E51" s="655">
        <v>4700</v>
      </c>
      <c r="F51" s="655"/>
      <c r="G51" s="655">
        <v>4700</v>
      </c>
      <c r="H51" s="497"/>
      <c r="I51" s="497">
        <f>G51*0.05+X51</f>
        <v>235</v>
      </c>
      <c r="J51" s="655"/>
      <c r="K51" s="655">
        <v>1349</v>
      </c>
      <c r="L51" s="656">
        <f t="shared" si="0"/>
        <v>0</v>
      </c>
      <c r="M51" s="735">
        <f t="shared" si="1"/>
        <v>6284</v>
      </c>
      <c r="N51" s="657" t="s">
        <v>76</v>
      </c>
      <c r="O51" s="498"/>
      <c r="Q51" s="79">
        <v>3571</v>
      </c>
      <c r="R51" s="79" t="e">
        <f>#REF!*0.05</f>
        <v>#REF!</v>
      </c>
      <c r="S51" s="92" t="e">
        <f>+#REF!*0.05+P74</f>
        <v>#REF!</v>
      </c>
      <c r="T51" s="93" t="e">
        <f>#REF!*0.05+S51</f>
        <v>#REF!</v>
      </c>
      <c r="U51" s="93" t="e">
        <f>+#REF!*0.05+T51</f>
        <v>#REF!</v>
      </c>
    </row>
    <row r="52" spans="1:22" x14ac:dyDescent="0.25">
      <c r="A52" s="717" t="s">
        <v>269</v>
      </c>
      <c r="B52" s="718" t="s">
        <v>18</v>
      </c>
      <c r="C52" s="719">
        <v>38446</v>
      </c>
      <c r="D52" s="719">
        <v>38538</v>
      </c>
      <c r="E52" s="723">
        <v>1500</v>
      </c>
      <c r="F52" s="723"/>
      <c r="G52" s="723">
        <v>390</v>
      </c>
      <c r="H52" s="723"/>
      <c r="I52" s="722">
        <f>+G52*0.05+U45</f>
        <v>19.5</v>
      </c>
      <c r="J52" s="722"/>
      <c r="K52" s="723">
        <v>1207</v>
      </c>
      <c r="L52" s="656">
        <f t="shared" si="0"/>
        <v>0</v>
      </c>
      <c r="M52" s="735">
        <f t="shared" si="1"/>
        <v>1616.5</v>
      </c>
      <c r="N52" s="762">
        <v>39561</v>
      </c>
      <c r="O52" s="498"/>
      <c r="Q52" s="79">
        <v>7200</v>
      </c>
      <c r="R52" s="99" t="e">
        <f>#REF!*0.05</f>
        <v>#REF!</v>
      </c>
      <c r="S52" s="92" t="e">
        <f>+#REF!*0.05+P77</f>
        <v>#REF!</v>
      </c>
      <c r="T52" s="93" t="e">
        <f>#REF!*0.05+S52</f>
        <v>#REF!</v>
      </c>
      <c r="U52" s="19" t="e">
        <f>+#REF!*0.05+T52</f>
        <v>#REF!</v>
      </c>
    </row>
    <row r="53" spans="1:22" x14ac:dyDescent="0.25">
      <c r="A53" s="717" t="s">
        <v>376</v>
      </c>
      <c r="B53" s="718" t="s">
        <v>12</v>
      </c>
      <c r="C53" s="719">
        <v>37428</v>
      </c>
      <c r="D53" s="719">
        <v>37612</v>
      </c>
      <c r="E53" s="729">
        <v>5000</v>
      </c>
      <c r="F53" s="729"/>
      <c r="G53" s="729">
        <v>2805</v>
      </c>
      <c r="H53" s="729"/>
      <c r="I53" s="722">
        <f>+G53*0.05+U46</f>
        <v>140.25</v>
      </c>
      <c r="J53" s="722"/>
      <c r="K53" s="729">
        <v>3025</v>
      </c>
      <c r="L53" s="656">
        <f t="shared" si="0"/>
        <v>0</v>
      </c>
      <c r="M53" s="735">
        <f t="shared" si="1"/>
        <v>5970.25</v>
      </c>
      <c r="N53" s="762">
        <v>39675</v>
      </c>
      <c r="O53" s="498"/>
      <c r="Q53" s="79"/>
      <c r="R53" s="79"/>
      <c r="S53" s="92"/>
      <c r="T53" s="93"/>
      <c r="U53" s="19"/>
    </row>
    <row r="54" spans="1:22" x14ac:dyDescent="0.25">
      <c r="A54" s="717" t="s">
        <v>316</v>
      </c>
      <c r="B54" s="556" t="s">
        <v>9</v>
      </c>
      <c r="C54" s="719">
        <v>38107</v>
      </c>
      <c r="D54" s="719">
        <v>38198</v>
      </c>
      <c r="E54" s="731">
        <v>3000</v>
      </c>
      <c r="F54" s="731"/>
      <c r="G54" s="731">
        <v>1455</v>
      </c>
      <c r="H54" s="731"/>
      <c r="I54" s="722">
        <f>+G54*0.05+U50</f>
        <v>72.75</v>
      </c>
      <c r="J54" s="722"/>
      <c r="K54" s="731">
        <v>3845</v>
      </c>
      <c r="L54" s="656">
        <f t="shared" ref="L54:L60" si="2">F54+H54+J54</f>
        <v>0</v>
      </c>
      <c r="M54" s="735">
        <f t="shared" ref="M54:M60" si="3">G54+I54+K54</f>
        <v>5372.75</v>
      </c>
      <c r="N54" s="762">
        <v>38394</v>
      </c>
      <c r="O54" s="498"/>
      <c r="Q54" s="79"/>
      <c r="R54" s="79"/>
      <c r="S54" s="92"/>
      <c r="T54" s="93"/>
      <c r="U54" s="19"/>
    </row>
    <row r="55" spans="1:22" x14ac:dyDescent="0.25">
      <c r="A55" s="717" t="s">
        <v>319</v>
      </c>
      <c r="B55" s="556" t="s">
        <v>32</v>
      </c>
      <c r="C55" s="719">
        <v>38343</v>
      </c>
      <c r="D55" s="719">
        <v>38465</v>
      </c>
      <c r="E55" s="731">
        <v>2000</v>
      </c>
      <c r="F55" s="731"/>
      <c r="G55" s="731">
        <v>1867</v>
      </c>
      <c r="H55" s="731"/>
      <c r="I55" s="722">
        <v>1500</v>
      </c>
      <c r="J55" s="722"/>
      <c r="K55" s="731">
        <v>2306</v>
      </c>
      <c r="L55" s="656">
        <f t="shared" si="2"/>
        <v>0</v>
      </c>
      <c r="M55" s="735">
        <f t="shared" si="3"/>
        <v>5673</v>
      </c>
      <c r="N55" s="762">
        <v>38690</v>
      </c>
      <c r="O55" s="498"/>
      <c r="Q55" s="79"/>
      <c r="R55" s="79"/>
      <c r="S55" s="92"/>
      <c r="T55" s="93"/>
      <c r="U55" s="19"/>
    </row>
    <row r="56" spans="1:22" x14ac:dyDescent="0.25">
      <c r="A56" s="188" t="s">
        <v>59</v>
      </c>
      <c r="B56" s="188" t="s">
        <v>13</v>
      </c>
      <c r="C56" s="189">
        <v>39593</v>
      </c>
      <c r="D56" s="189">
        <v>39717</v>
      </c>
      <c r="E56" s="786">
        <v>8000</v>
      </c>
      <c r="F56" s="786"/>
      <c r="G56" s="192">
        <v>8000</v>
      </c>
      <c r="H56" s="192"/>
      <c r="I56" s="192"/>
      <c r="J56" s="192"/>
      <c r="K56" s="722"/>
      <c r="L56" s="656">
        <f t="shared" si="2"/>
        <v>0</v>
      </c>
      <c r="M56" s="735">
        <f t="shared" si="3"/>
        <v>8000</v>
      </c>
      <c r="N56" s="767">
        <v>39662</v>
      </c>
      <c r="O56" s="498"/>
      <c r="Q56" s="79"/>
      <c r="R56" s="79"/>
      <c r="S56" s="92"/>
      <c r="T56" s="93"/>
      <c r="U56" s="19"/>
    </row>
    <row r="57" spans="1:22" x14ac:dyDescent="0.25">
      <c r="A57" s="556" t="s">
        <v>378</v>
      </c>
      <c r="B57" s="556" t="s">
        <v>9</v>
      </c>
      <c r="C57" s="557">
        <v>37488</v>
      </c>
      <c r="D57" s="557">
        <v>37853</v>
      </c>
      <c r="E57" s="559">
        <v>5000</v>
      </c>
      <c r="F57" s="559"/>
      <c r="G57" s="559">
        <v>918</v>
      </c>
      <c r="H57" s="497"/>
      <c r="I57" s="497"/>
      <c r="J57" s="559"/>
      <c r="K57" s="559">
        <f>1525-50-50-150</f>
        <v>1275</v>
      </c>
      <c r="L57" s="656">
        <f t="shared" si="2"/>
        <v>0</v>
      </c>
      <c r="M57" s="735">
        <f t="shared" si="3"/>
        <v>2193</v>
      </c>
      <c r="N57" s="657">
        <v>40786</v>
      </c>
      <c r="O57" s="498"/>
      <c r="Q57" s="79"/>
      <c r="R57" s="79"/>
      <c r="S57" s="92"/>
      <c r="T57" s="93"/>
      <c r="U57" s="19"/>
    </row>
    <row r="58" spans="1:22" x14ac:dyDescent="0.25">
      <c r="A58" s="717" t="s">
        <v>322</v>
      </c>
      <c r="B58" s="556" t="s">
        <v>13</v>
      </c>
      <c r="C58" s="719">
        <v>38201</v>
      </c>
      <c r="D58" s="719">
        <v>38502</v>
      </c>
      <c r="E58" s="731">
        <v>4000</v>
      </c>
      <c r="F58" s="731"/>
      <c r="G58" s="731">
        <v>3600</v>
      </c>
      <c r="H58" s="731"/>
      <c r="I58" s="722">
        <f>+G58*0.05+U54</f>
        <v>180</v>
      </c>
      <c r="J58" s="722"/>
      <c r="K58" s="731">
        <v>1028</v>
      </c>
      <c r="L58" s="656">
        <f t="shared" si="2"/>
        <v>0</v>
      </c>
      <c r="M58" s="735">
        <f t="shared" si="3"/>
        <v>4808</v>
      </c>
      <c r="N58" s="762">
        <v>39234</v>
      </c>
      <c r="O58" s="758"/>
      <c r="Q58" s="95">
        <v>5870</v>
      </c>
      <c r="R58" s="88" t="e">
        <f>#REF!*0.05</f>
        <v>#REF!</v>
      </c>
      <c r="S58" s="93" t="e">
        <f>+#REF!*0.05+P78</f>
        <v>#REF!</v>
      </c>
      <c r="T58" s="93" t="e">
        <f>#REF!*0.05+S58</f>
        <v>#REF!</v>
      </c>
      <c r="U58" s="93" t="e">
        <f>+#REF!*0.05+T58</f>
        <v>#REF!</v>
      </c>
      <c r="V58" s="93"/>
    </row>
    <row r="59" spans="1:22" x14ac:dyDescent="0.25">
      <c r="A59" s="717" t="s">
        <v>210</v>
      </c>
      <c r="B59" s="718" t="s">
        <v>487</v>
      </c>
      <c r="C59" s="719">
        <v>38935</v>
      </c>
      <c r="D59" s="719">
        <v>39242</v>
      </c>
      <c r="E59" s="733">
        <v>3000</v>
      </c>
      <c r="F59" s="733"/>
      <c r="G59" s="733">
        <v>2600</v>
      </c>
      <c r="H59" s="733"/>
      <c r="I59" s="722">
        <f>+G59*0.05+U60</f>
        <v>130</v>
      </c>
      <c r="J59" s="722"/>
      <c r="K59" s="733">
        <v>2088</v>
      </c>
      <c r="L59" s="656">
        <f t="shared" si="2"/>
        <v>0</v>
      </c>
      <c r="M59" s="735">
        <f t="shared" si="3"/>
        <v>4818</v>
      </c>
      <c r="N59" s="762">
        <v>38989</v>
      </c>
      <c r="O59" s="758"/>
    </row>
    <row r="60" spans="1:22" x14ac:dyDescent="0.25">
      <c r="A60" s="556" t="s">
        <v>323</v>
      </c>
      <c r="B60" s="556" t="s">
        <v>17</v>
      </c>
      <c r="C60" s="557">
        <v>38337</v>
      </c>
      <c r="D60" s="557">
        <v>38533</v>
      </c>
      <c r="E60" s="656">
        <v>5000</v>
      </c>
      <c r="F60" s="656"/>
      <c r="G60" s="656">
        <v>4170</v>
      </c>
      <c r="H60" s="497"/>
      <c r="I60" s="497">
        <f>G60*0.05+Y60</f>
        <v>208.5</v>
      </c>
      <c r="J60" s="656"/>
      <c r="K60" s="656">
        <v>2065</v>
      </c>
      <c r="L60" s="656">
        <f t="shared" si="2"/>
        <v>0</v>
      </c>
      <c r="M60" s="735">
        <f t="shared" si="3"/>
        <v>6443.5</v>
      </c>
      <c r="N60" s="657">
        <v>38918</v>
      </c>
      <c r="O60" s="758"/>
    </row>
    <row r="61" spans="1:22" ht="15.75" thickBot="1" x14ac:dyDescent="0.3">
      <c r="A61" s="104" t="s">
        <v>465</v>
      </c>
      <c r="E61" s="788">
        <f t="shared" ref="E61:M61" si="4">SUM(E6:E60)</f>
        <v>322700</v>
      </c>
      <c r="F61" s="789">
        <f t="shared" si="4"/>
        <v>0</v>
      </c>
      <c r="G61" s="790">
        <f t="shared" si="4"/>
        <v>250643.25</v>
      </c>
      <c r="H61" s="790">
        <f t="shared" si="4"/>
        <v>0</v>
      </c>
      <c r="I61" s="790">
        <f t="shared" si="4"/>
        <v>93956.487500000003</v>
      </c>
      <c r="J61" s="790">
        <f t="shared" si="4"/>
        <v>0</v>
      </c>
      <c r="K61" s="790">
        <f t="shared" si="4"/>
        <v>346832.75</v>
      </c>
      <c r="L61" s="791">
        <f t="shared" si="4"/>
        <v>0</v>
      </c>
      <c r="M61" s="792">
        <f t="shared" si="4"/>
        <v>691432.48749999993</v>
      </c>
      <c r="O61" s="91"/>
      <c r="P61" s="79">
        <f>G42*0.05+Q33+R33</f>
        <v>12685.2</v>
      </c>
    </row>
    <row r="62" spans="1:22" x14ac:dyDescent="0.25">
      <c r="O62" s="91"/>
      <c r="P62" s="76" t="e">
        <f>G43*0.05+#REF!</f>
        <v>#REF!</v>
      </c>
    </row>
    <row r="63" spans="1:22" x14ac:dyDescent="0.25">
      <c r="O63" s="91"/>
      <c r="P63" s="88" t="e">
        <f>#REF!*0.05+Q34+R34</f>
        <v>#REF!</v>
      </c>
    </row>
    <row r="64" spans="1:22" x14ac:dyDescent="0.25">
      <c r="O64" s="91"/>
      <c r="P64" s="76">
        <f>G44*0.05+Q35</f>
        <v>9173.1</v>
      </c>
    </row>
    <row r="65" spans="5:16" x14ac:dyDescent="0.25">
      <c r="O65" s="91"/>
      <c r="P65" s="76">
        <f>G45*0.05+Q36</f>
        <v>5693.5</v>
      </c>
    </row>
    <row r="66" spans="5:16" x14ac:dyDescent="0.25">
      <c r="O66" s="91"/>
      <c r="P66" s="88">
        <f>G46*0.05+Q37+R37</f>
        <v>5250</v>
      </c>
    </row>
    <row r="67" spans="5:16" x14ac:dyDescent="0.25">
      <c r="O67" s="91"/>
      <c r="P67" s="83" t="e">
        <f>#REF!*0.05+#REF!+#REF!</f>
        <v>#REF!</v>
      </c>
    </row>
    <row r="68" spans="5:16" x14ac:dyDescent="0.25">
      <c r="O68" s="91"/>
      <c r="P68" s="76">
        <f>G49*0.05+Q39</f>
        <v>6418.15</v>
      </c>
    </row>
    <row r="69" spans="5:16" x14ac:dyDescent="0.25">
      <c r="O69" s="91"/>
      <c r="P69" s="88" t="e">
        <f>G50*0.05+#REF!+#REF!</f>
        <v>#REF!</v>
      </c>
    </row>
    <row r="70" spans="5:16" x14ac:dyDescent="0.25">
      <c r="O70" s="91"/>
      <c r="P70" s="79" t="e">
        <f>#REF!*0.05+Q40+R40</f>
        <v>#REF!</v>
      </c>
    </row>
    <row r="71" spans="5:16" x14ac:dyDescent="0.25">
      <c r="O71" s="91"/>
      <c r="P71" s="76">
        <f>G53*0.05+Q41</f>
        <v>19551.25</v>
      </c>
    </row>
    <row r="72" spans="5:16" x14ac:dyDescent="0.25">
      <c r="O72" s="91"/>
      <c r="P72" s="76">
        <f>G54*0.05+Q47</f>
        <v>911.75</v>
      </c>
    </row>
    <row r="73" spans="5:16" x14ac:dyDescent="0.25">
      <c r="O73" s="91"/>
      <c r="P73" s="84">
        <f>G55*0.05+Q48+R48</f>
        <v>12557.35</v>
      </c>
    </row>
    <row r="74" spans="5:16" x14ac:dyDescent="0.25">
      <c r="O74" s="91"/>
      <c r="P74" s="79" t="e">
        <f>#REF!*0.05+Q51+R51</f>
        <v>#REF!</v>
      </c>
    </row>
    <row r="75" spans="5:16" x14ac:dyDescent="0.25">
      <c r="O75" s="91"/>
      <c r="P75" s="99" t="e">
        <f>G56*0.05+#REF!+#REF!</f>
        <v>#REF!</v>
      </c>
    </row>
    <row r="76" spans="5:16" x14ac:dyDescent="0.25">
      <c r="O76" s="765"/>
      <c r="P76" s="72"/>
    </row>
    <row r="77" spans="5:16" x14ac:dyDescent="0.25">
      <c r="O77" s="766"/>
      <c r="P77" s="99" t="e">
        <f>#REF!*0.05+Q52+R52</f>
        <v>#REF!</v>
      </c>
    </row>
    <row r="78" spans="5:16" x14ac:dyDescent="0.25">
      <c r="O78" s="761"/>
      <c r="P78" s="103" t="e">
        <f>#REF!*0.05+Q58+R58</f>
        <v>#REF!</v>
      </c>
    </row>
    <row r="79" spans="5:16" x14ac:dyDescent="0.25">
      <c r="P79" s="9" t="e">
        <f>SUM(P61:P76)</f>
        <v>#REF!</v>
      </c>
    </row>
    <row r="80" spans="5:16" x14ac:dyDescent="0.25">
      <c r="E80" s="9"/>
    </row>
  </sheetData>
  <sortState ref="A6:N93">
    <sortCondition ref="A6"/>
  </sortState>
  <mergeCells count="1">
    <mergeCell ref="G3:M3"/>
  </mergeCells>
  <pageMargins left="0.25" right="0.25" top="0.25" bottom="1" header="0.33" footer="0.5"/>
  <pageSetup paperSize="5" orientation="landscape" horizontalDpi="4294967293" verticalDpi="14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R417"/>
  <sheetViews>
    <sheetView tabSelected="1" topLeftCell="A272" workbookViewId="0">
      <selection activeCell="A8" sqref="A8"/>
    </sheetView>
  </sheetViews>
  <sheetFormatPr defaultRowHeight="15" x14ac:dyDescent="0.25"/>
  <cols>
    <col min="1" max="1" width="21" customWidth="1"/>
    <col min="2" max="2" width="18" customWidth="1"/>
    <col min="3" max="3" width="11" style="612" customWidth="1"/>
    <col min="4" max="4" width="9.42578125" customWidth="1"/>
    <col min="5" max="5" width="0.140625" hidden="1" customWidth="1"/>
    <col min="6" max="6" width="0.140625" customWidth="1"/>
    <col min="7" max="7" width="13.7109375" customWidth="1"/>
    <col min="8" max="8" width="12.140625" customWidth="1"/>
    <col min="9" max="9" width="14" customWidth="1"/>
    <col min="10" max="10" width="10.140625" customWidth="1"/>
    <col min="11" max="11" width="13.42578125" style="16" customWidth="1"/>
    <col min="12" max="12" width="10.5703125" style="16" customWidth="1"/>
    <col min="13" max="13" width="11.140625" style="16" customWidth="1"/>
    <col min="14" max="14" width="13.7109375" style="16" customWidth="1"/>
    <col min="15" max="15" width="10.42578125" style="971" customWidth="1"/>
    <col min="16" max="16" width="10.42578125" style="1172" customWidth="1"/>
    <col min="17" max="17" width="14.140625" style="17" customWidth="1"/>
    <col min="18" max="18" width="9.5703125" style="371" bestFit="1" customWidth="1"/>
  </cols>
  <sheetData>
    <row r="1" spans="1:18" x14ac:dyDescent="0.25">
      <c r="A1" s="1332" t="s">
        <v>0</v>
      </c>
      <c r="B1" s="1332"/>
      <c r="C1" s="1332"/>
      <c r="D1" s="1332"/>
      <c r="E1" s="1332"/>
      <c r="F1" s="1332"/>
      <c r="G1" s="1332"/>
      <c r="H1" s="1332"/>
      <c r="I1" s="1332"/>
      <c r="J1" s="1332"/>
      <c r="K1" s="1332"/>
      <c r="L1" s="1332"/>
      <c r="M1" s="1332"/>
      <c r="N1" s="1332"/>
      <c r="O1" s="1332"/>
      <c r="P1" s="1169"/>
      <c r="Q1" s="202"/>
    </row>
    <row r="2" spans="1:18" x14ac:dyDescent="0.25">
      <c r="A2" s="1333" t="s">
        <v>1</v>
      </c>
      <c r="B2" s="1333"/>
      <c r="C2" s="1333"/>
      <c r="D2" s="1333"/>
      <c r="E2" s="1333"/>
      <c r="F2" s="1333"/>
      <c r="G2" s="1333"/>
      <c r="H2" s="1333"/>
      <c r="I2" s="1333"/>
      <c r="J2" s="1333"/>
      <c r="K2" s="1333"/>
      <c r="L2" s="1333"/>
      <c r="M2" s="1333"/>
      <c r="N2" s="1333"/>
      <c r="O2" s="1333"/>
      <c r="P2" s="1169"/>
      <c r="Q2" s="202"/>
    </row>
    <row r="3" spans="1:18" x14ac:dyDescent="0.25">
      <c r="A3" s="1334" t="s">
        <v>1337</v>
      </c>
      <c r="B3" s="1334"/>
      <c r="C3" s="1334"/>
      <c r="D3" s="1334"/>
      <c r="E3" s="1334"/>
      <c r="F3" s="1334"/>
      <c r="G3" s="1334"/>
      <c r="H3" s="1334"/>
      <c r="I3" s="1334"/>
      <c r="J3" s="1334"/>
      <c r="K3" s="1334"/>
      <c r="L3" s="1334"/>
      <c r="M3" s="1334"/>
      <c r="N3" s="1334"/>
      <c r="O3" s="1334"/>
      <c r="P3" s="178"/>
      <c r="Q3" s="202"/>
    </row>
    <row r="4" spans="1:18" ht="15.75" thickBot="1" x14ac:dyDescent="0.3">
      <c r="A4" s="1335" t="s">
        <v>1718</v>
      </c>
      <c r="B4" s="1335"/>
      <c r="C4" s="1335"/>
      <c r="D4" s="1335"/>
      <c r="E4" s="1335"/>
      <c r="F4" s="1335"/>
      <c r="G4" s="1335"/>
      <c r="H4" s="1335"/>
      <c r="I4" s="1335"/>
      <c r="J4" s="1335"/>
      <c r="K4" s="1335"/>
      <c r="L4" s="1335"/>
      <c r="M4" s="1335"/>
      <c r="N4" s="1335"/>
      <c r="O4" s="1336"/>
      <c r="P4" s="1170"/>
      <c r="Q4" s="202"/>
    </row>
    <row r="5" spans="1:18" ht="15.75" thickBot="1" x14ac:dyDescent="0.3">
      <c r="A5" s="1198"/>
      <c r="B5" s="1199"/>
      <c r="C5" s="1200" t="s">
        <v>90</v>
      </c>
      <c r="D5" s="1199"/>
      <c r="E5" s="1337" t="s">
        <v>100</v>
      </c>
      <c r="F5" s="1338"/>
      <c r="G5" s="585" t="s">
        <v>574</v>
      </c>
      <c r="H5" s="583"/>
      <c r="I5" s="1339" t="s">
        <v>1720</v>
      </c>
      <c r="J5" s="1339"/>
      <c r="K5" s="1339"/>
      <c r="L5" s="1339"/>
      <c r="M5" s="1339"/>
      <c r="N5" s="1339"/>
      <c r="O5" s="1127"/>
      <c r="P5" s="1176"/>
      <c r="Q5" s="1157"/>
    </row>
    <row r="6" spans="1:18" ht="15.75" thickBot="1" x14ac:dyDescent="0.3">
      <c r="A6" s="1201" t="s">
        <v>2</v>
      </c>
      <c r="B6" s="180" t="s">
        <v>3</v>
      </c>
      <c r="C6" s="180" t="s">
        <v>93</v>
      </c>
      <c r="D6" s="180" t="s">
        <v>5</v>
      </c>
      <c r="E6" s="181" t="s">
        <v>96</v>
      </c>
      <c r="F6" s="182" t="s">
        <v>97</v>
      </c>
      <c r="G6" s="585" t="s">
        <v>575</v>
      </c>
      <c r="H6" s="584" t="s">
        <v>441</v>
      </c>
      <c r="I6" s="183" t="s">
        <v>6</v>
      </c>
      <c r="J6" s="183" t="s">
        <v>439</v>
      </c>
      <c r="K6" s="184" t="s">
        <v>19</v>
      </c>
      <c r="L6" s="185" t="s">
        <v>440</v>
      </c>
      <c r="M6" s="186" t="s">
        <v>453</v>
      </c>
      <c r="N6" s="186" t="s">
        <v>400</v>
      </c>
      <c r="O6" s="239" t="s">
        <v>79</v>
      </c>
      <c r="P6" s="487"/>
      <c r="Q6" s="1158" t="s">
        <v>1609</v>
      </c>
    </row>
    <row r="7" spans="1:18" ht="15.75" thickBot="1" x14ac:dyDescent="0.3">
      <c r="A7" s="1126"/>
      <c r="B7" s="1131"/>
      <c r="C7" s="1132"/>
      <c r="D7" s="1133"/>
      <c r="E7" s="1133"/>
      <c r="F7" s="1134"/>
      <c r="G7" s="1135"/>
      <c r="H7" s="1136" t="s">
        <v>438</v>
      </c>
      <c r="I7" s="1137" t="s">
        <v>7</v>
      </c>
      <c r="J7" s="1138" t="s">
        <v>438</v>
      </c>
      <c r="K7" s="1137" t="s">
        <v>7</v>
      </c>
      <c r="L7" s="1139" t="s">
        <v>438</v>
      </c>
      <c r="M7" s="1137" t="s">
        <v>452</v>
      </c>
      <c r="N7" s="1140"/>
      <c r="O7" s="1141"/>
      <c r="P7" s="1176"/>
      <c r="Q7" s="1159"/>
    </row>
    <row r="8" spans="1:18" ht="15.75" thickTop="1" x14ac:dyDescent="0.25">
      <c r="A8" s="1205" t="s">
        <v>1253</v>
      </c>
      <c r="B8" s="1206" t="s">
        <v>669</v>
      </c>
      <c r="C8" s="1207">
        <v>42039</v>
      </c>
      <c r="D8" s="1208">
        <v>42342</v>
      </c>
      <c r="E8" s="1205"/>
      <c r="F8" s="1209"/>
      <c r="G8" s="1210">
        <v>10000</v>
      </c>
      <c r="H8" s="1211">
        <v>1000</v>
      </c>
      <c r="I8" s="1212">
        <v>5000</v>
      </c>
      <c r="J8" s="1213">
        <v>500</v>
      </c>
      <c r="K8" s="1212">
        <v>2500</v>
      </c>
      <c r="L8" s="1214"/>
      <c r="M8" s="1215">
        <f t="shared" ref="M8:M31" si="0">+L8+J8+H8</f>
        <v>1500</v>
      </c>
      <c r="N8" s="1216">
        <f>+I8+K8</f>
        <v>7500</v>
      </c>
      <c r="O8" s="1217">
        <v>42193</v>
      </c>
      <c r="P8" s="1177" t="s">
        <v>666</v>
      </c>
      <c r="Q8" s="1160" t="s">
        <v>1631</v>
      </c>
    </row>
    <row r="9" spans="1:18" x14ac:dyDescent="0.25">
      <c r="A9" s="298" t="s">
        <v>1617</v>
      </c>
      <c r="B9" s="298" t="s">
        <v>1478</v>
      </c>
      <c r="C9" s="1218">
        <v>42159</v>
      </c>
      <c r="D9" s="1218">
        <v>42281</v>
      </c>
      <c r="E9" s="1219"/>
      <c r="F9" s="1220"/>
      <c r="G9" s="262">
        <v>5000</v>
      </c>
      <c r="H9" s="630">
        <v>1250</v>
      </c>
      <c r="I9" s="259">
        <v>2500</v>
      </c>
      <c r="J9" s="259">
        <v>250</v>
      </c>
      <c r="K9" s="259">
        <v>250</v>
      </c>
      <c r="L9" s="1221"/>
      <c r="M9" s="1215">
        <f t="shared" si="0"/>
        <v>1500</v>
      </c>
      <c r="N9" s="1216">
        <f>+I9+K9</f>
        <v>2750</v>
      </c>
      <c r="O9" s="987">
        <v>42216</v>
      </c>
      <c r="P9" s="1178" t="s">
        <v>666</v>
      </c>
      <c r="Q9" s="813" t="s">
        <v>1619</v>
      </c>
      <c r="R9" s="371" t="s">
        <v>666</v>
      </c>
    </row>
    <row r="10" spans="1:18" x14ac:dyDescent="0.25">
      <c r="A10" s="298" t="s">
        <v>768</v>
      </c>
      <c r="B10" s="298" t="s">
        <v>461</v>
      </c>
      <c r="C10" s="1218">
        <v>42135</v>
      </c>
      <c r="D10" s="1218">
        <v>42380</v>
      </c>
      <c r="E10" s="1219"/>
      <c r="F10" s="1220"/>
      <c r="G10" s="262">
        <v>15000</v>
      </c>
      <c r="H10" s="630">
        <v>1875</v>
      </c>
      <c r="I10" s="259">
        <v>11250</v>
      </c>
      <c r="J10" s="259">
        <v>750</v>
      </c>
      <c r="K10" s="259">
        <v>4500</v>
      </c>
      <c r="L10" s="1221"/>
      <c r="M10" s="1215">
        <f t="shared" si="0"/>
        <v>2625</v>
      </c>
      <c r="N10" s="1216">
        <f t="shared" ref="N10:N11" si="1">+I10+K10</f>
        <v>15750</v>
      </c>
      <c r="O10" s="987">
        <v>42201</v>
      </c>
      <c r="P10" s="1178" t="s">
        <v>666</v>
      </c>
      <c r="Q10" s="813"/>
    </row>
    <row r="11" spans="1:18" x14ac:dyDescent="0.25">
      <c r="A11" s="298" t="s">
        <v>1733</v>
      </c>
      <c r="B11" s="298" t="s">
        <v>1164</v>
      </c>
      <c r="C11" s="1218">
        <v>42044</v>
      </c>
      <c r="D11" s="1218">
        <v>42225</v>
      </c>
      <c r="E11" s="1219"/>
      <c r="F11" s="1220"/>
      <c r="G11" s="262">
        <v>5000</v>
      </c>
      <c r="H11" s="630"/>
      <c r="I11" s="259">
        <v>5000</v>
      </c>
      <c r="J11" s="259"/>
      <c r="K11" s="259">
        <v>1250</v>
      </c>
      <c r="L11" s="1221"/>
      <c r="M11" s="1215">
        <f t="shared" si="0"/>
        <v>0</v>
      </c>
      <c r="N11" s="1216">
        <f t="shared" si="1"/>
        <v>6250</v>
      </c>
      <c r="O11" s="987" t="s">
        <v>884</v>
      </c>
      <c r="P11" s="1178" t="s">
        <v>666</v>
      </c>
      <c r="Q11" s="813"/>
    </row>
    <row r="12" spans="1:18" x14ac:dyDescent="0.25">
      <c r="A12" s="298" t="s">
        <v>1622</v>
      </c>
      <c r="B12" s="298" t="s">
        <v>1454</v>
      </c>
      <c r="C12" s="1218">
        <v>42037</v>
      </c>
      <c r="D12" s="1218">
        <v>42340</v>
      </c>
      <c r="E12" s="1219"/>
      <c r="F12" s="1220"/>
      <c r="G12" s="262">
        <v>5000</v>
      </c>
      <c r="H12" s="630">
        <v>500</v>
      </c>
      <c r="I12" s="259">
        <v>2000</v>
      </c>
      <c r="J12" s="259">
        <v>250</v>
      </c>
      <c r="K12" s="259">
        <v>1000</v>
      </c>
      <c r="L12" s="1221"/>
      <c r="M12" s="1215">
        <f t="shared" si="0"/>
        <v>750</v>
      </c>
      <c r="N12" s="1216">
        <f>+I12+K12</f>
        <v>3000</v>
      </c>
      <c r="O12" s="987">
        <v>42226</v>
      </c>
      <c r="P12" s="1178" t="s">
        <v>666</v>
      </c>
      <c r="Q12" s="813" t="s">
        <v>1618</v>
      </c>
      <c r="R12" s="371" t="s">
        <v>666</v>
      </c>
    </row>
    <row r="13" spans="1:18" x14ac:dyDescent="0.25">
      <c r="A13" s="298" t="s">
        <v>1731</v>
      </c>
      <c r="B13" s="298" t="s">
        <v>925</v>
      </c>
      <c r="C13" s="1218">
        <v>42158</v>
      </c>
      <c r="D13" s="1218">
        <v>42463</v>
      </c>
      <c r="E13" s="1219"/>
      <c r="F13" s="1220"/>
      <c r="G13" s="262">
        <v>15000</v>
      </c>
      <c r="H13" s="630"/>
      <c r="I13" s="259">
        <v>15000</v>
      </c>
      <c r="J13" s="259"/>
      <c r="K13" s="259">
        <v>7500</v>
      </c>
      <c r="L13" s="1221"/>
      <c r="M13" s="1215">
        <f t="shared" si="0"/>
        <v>0</v>
      </c>
      <c r="N13" s="1216">
        <f>+I13+K13</f>
        <v>22500</v>
      </c>
      <c r="O13" s="987" t="s">
        <v>479</v>
      </c>
      <c r="P13" s="1178" t="s">
        <v>666</v>
      </c>
      <c r="Q13" s="813"/>
    </row>
    <row r="14" spans="1:18" x14ac:dyDescent="0.25">
      <c r="A14" s="298" t="s">
        <v>1453</v>
      </c>
      <c r="B14" s="298" t="s">
        <v>1719</v>
      </c>
      <c r="C14" s="1218">
        <v>42229</v>
      </c>
      <c r="D14" s="1218">
        <v>42321</v>
      </c>
      <c r="E14" s="1219"/>
      <c r="F14" s="1220"/>
      <c r="G14" s="262">
        <v>22000</v>
      </c>
      <c r="H14" s="630"/>
      <c r="I14" s="259">
        <v>22000</v>
      </c>
      <c r="J14" s="259"/>
      <c r="K14" s="259">
        <v>1100</v>
      </c>
      <c r="L14" s="1221"/>
      <c r="M14" s="1215">
        <f t="shared" si="0"/>
        <v>0</v>
      </c>
      <c r="N14" s="1216">
        <f>+I14+K14</f>
        <v>23100</v>
      </c>
      <c r="O14" s="987" t="s">
        <v>859</v>
      </c>
      <c r="P14" s="1178" t="s">
        <v>666</v>
      </c>
      <c r="Q14" s="813"/>
    </row>
    <row r="15" spans="1:18" x14ac:dyDescent="0.25">
      <c r="A15" s="576" t="s">
        <v>1831</v>
      </c>
      <c r="B15" s="576" t="s">
        <v>865</v>
      </c>
      <c r="C15" s="1218">
        <v>42219</v>
      </c>
      <c r="D15" s="1222">
        <v>42341</v>
      </c>
      <c r="E15" s="1219"/>
      <c r="F15" s="1220"/>
      <c r="G15" s="262">
        <v>5000</v>
      </c>
      <c r="H15" s="630">
        <v>300</v>
      </c>
      <c r="I15" s="259">
        <v>4700</v>
      </c>
      <c r="J15" s="259">
        <v>75</v>
      </c>
      <c r="K15" s="259">
        <v>925</v>
      </c>
      <c r="L15" s="1221"/>
      <c r="M15" s="1215">
        <f t="shared" si="0"/>
        <v>375</v>
      </c>
      <c r="N15" s="1216">
        <f>+I15+K15</f>
        <v>5625</v>
      </c>
      <c r="O15" s="987">
        <v>42226</v>
      </c>
      <c r="P15" s="1178" t="s">
        <v>666</v>
      </c>
      <c r="Q15" s="813"/>
    </row>
    <row r="16" spans="1:18" x14ac:dyDescent="0.25">
      <c r="A16" s="576" t="s">
        <v>1392</v>
      </c>
      <c r="B16" s="576" t="s">
        <v>1393</v>
      </c>
      <c r="C16" s="1218">
        <v>41957</v>
      </c>
      <c r="D16" s="1222">
        <v>42261</v>
      </c>
      <c r="E16" s="1219"/>
      <c r="F16" s="1220"/>
      <c r="G16" s="262">
        <v>7000</v>
      </c>
      <c r="H16" s="630">
        <v>2910</v>
      </c>
      <c r="I16" s="259">
        <v>4090</v>
      </c>
      <c r="J16" s="259">
        <v>1400</v>
      </c>
      <c r="K16" s="259">
        <v>2100</v>
      </c>
      <c r="L16" s="1221">
        <v>210</v>
      </c>
      <c r="M16" s="1215">
        <f t="shared" si="0"/>
        <v>4520</v>
      </c>
      <c r="N16" s="1216">
        <f t="shared" ref="N16:N48" si="2">+I16+K16</f>
        <v>6190</v>
      </c>
      <c r="O16" s="987">
        <v>42051</v>
      </c>
      <c r="P16" s="1178" t="s">
        <v>666</v>
      </c>
      <c r="Q16" s="813" t="s">
        <v>1612</v>
      </c>
      <c r="R16" s="371" t="s">
        <v>666</v>
      </c>
    </row>
    <row r="17" spans="1:18" x14ac:dyDescent="0.25">
      <c r="A17" s="298" t="s">
        <v>1732</v>
      </c>
      <c r="B17" s="298" t="s">
        <v>1153</v>
      </c>
      <c r="C17" s="1218">
        <v>42051</v>
      </c>
      <c r="D17" s="1218">
        <v>42354</v>
      </c>
      <c r="E17" s="1219"/>
      <c r="F17" s="1220"/>
      <c r="G17" s="262">
        <v>15000</v>
      </c>
      <c r="H17" s="630"/>
      <c r="I17" s="259">
        <v>15000</v>
      </c>
      <c r="J17" s="259">
        <v>3500</v>
      </c>
      <c r="K17" s="259">
        <v>4000</v>
      </c>
      <c r="L17" s="1221">
        <v>500</v>
      </c>
      <c r="M17" s="1215">
        <f t="shared" si="0"/>
        <v>4000</v>
      </c>
      <c r="N17" s="1216">
        <f t="shared" si="2"/>
        <v>19000</v>
      </c>
      <c r="O17" s="987">
        <v>42193</v>
      </c>
      <c r="P17" s="1178" t="s">
        <v>666</v>
      </c>
      <c r="Q17" s="813"/>
    </row>
    <row r="18" spans="1:18" x14ac:dyDescent="0.25">
      <c r="A18" s="298" t="s">
        <v>1625</v>
      </c>
      <c r="B18" s="298" t="s">
        <v>861</v>
      </c>
      <c r="C18" s="1218">
        <v>41939</v>
      </c>
      <c r="D18" s="1218">
        <v>42243</v>
      </c>
      <c r="E18" s="1219"/>
      <c r="F18" s="1220"/>
      <c r="G18" s="262">
        <v>10000</v>
      </c>
      <c r="H18" s="630">
        <v>3000</v>
      </c>
      <c r="I18" s="259">
        <v>7000</v>
      </c>
      <c r="J18" s="259">
        <v>1000</v>
      </c>
      <c r="K18" s="259">
        <v>1525</v>
      </c>
      <c r="L18" s="1221"/>
      <c r="M18" s="1215">
        <f t="shared" si="0"/>
        <v>4000</v>
      </c>
      <c r="N18" s="1216">
        <f t="shared" si="2"/>
        <v>8525</v>
      </c>
      <c r="O18" s="987">
        <v>42226</v>
      </c>
      <c r="P18" s="1178" t="s">
        <v>666</v>
      </c>
      <c r="Q18" s="813" t="s">
        <v>1618</v>
      </c>
      <c r="R18" s="371" t="s">
        <v>666</v>
      </c>
    </row>
    <row r="19" spans="1:18" x14ac:dyDescent="0.25">
      <c r="A19" s="298" t="s">
        <v>1423</v>
      </c>
      <c r="B19" s="298" t="s">
        <v>945</v>
      </c>
      <c r="C19" s="1218">
        <v>42116</v>
      </c>
      <c r="D19" s="1218">
        <v>42423</v>
      </c>
      <c r="E19" s="1219"/>
      <c r="F19" s="1220"/>
      <c r="G19" s="262">
        <v>10000</v>
      </c>
      <c r="H19" s="630">
        <v>400</v>
      </c>
      <c r="I19" s="259">
        <v>8000</v>
      </c>
      <c r="J19" s="259">
        <v>100</v>
      </c>
      <c r="K19" s="259">
        <v>4500</v>
      </c>
      <c r="L19" s="1221"/>
      <c r="M19" s="1215">
        <f t="shared" si="0"/>
        <v>500</v>
      </c>
      <c r="N19" s="1216">
        <f t="shared" si="2"/>
        <v>12500</v>
      </c>
      <c r="O19" s="987">
        <v>42133</v>
      </c>
      <c r="P19" s="1178" t="s">
        <v>666</v>
      </c>
      <c r="Q19" s="813"/>
      <c r="R19" s="371" t="s">
        <v>666</v>
      </c>
    </row>
    <row r="20" spans="1:18" x14ac:dyDescent="0.25">
      <c r="A20" s="576" t="s">
        <v>1502</v>
      </c>
      <c r="B20" s="1223" t="s">
        <v>719</v>
      </c>
      <c r="C20" s="1218">
        <v>42160</v>
      </c>
      <c r="D20" s="1224">
        <v>42465</v>
      </c>
      <c r="E20" s="1219"/>
      <c r="F20" s="1220"/>
      <c r="G20" s="262">
        <v>8000</v>
      </c>
      <c r="H20" s="630">
        <v>800</v>
      </c>
      <c r="I20" s="259">
        <v>6400</v>
      </c>
      <c r="J20" s="259">
        <v>400</v>
      </c>
      <c r="K20" s="259">
        <v>3200</v>
      </c>
      <c r="L20" s="1221"/>
      <c r="M20" s="1215">
        <f t="shared" si="0"/>
        <v>1200</v>
      </c>
      <c r="N20" s="1216">
        <f t="shared" si="2"/>
        <v>9600</v>
      </c>
      <c r="O20" s="987">
        <v>42221</v>
      </c>
      <c r="P20" s="1178" t="s">
        <v>666</v>
      </c>
      <c r="Q20" s="1161" t="s">
        <v>1618</v>
      </c>
    </row>
    <row r="21" spans="1:18" x14ac:dyDescent="0.25">
      <c r="A21" s="298" t="s">
        <v>994</v>
      </c>
      <c r="B21" s="298" t="s">
        <v>797</v>
      </c>
      <c r="C21" s="1218">
        <v>41897</v>
      </c>
      <c r="D21" s="260">
        <v>42323</v>
      </c>
      <c r="E21" s="1219"/>
      <c r="F21" s="1220"/>
      <c r="G21" s="262">
        <v>12000</v>
      </c>
      <c r="H21" s="630">
        <v>1200</v>
      </c>
      <c r="I21" s="259">
        <v>5200</v>
      </c>
      <c r="J21" s="259">
        <v>600</v>
      </c>
      <c r="K21" s="259">
        <v>2000</v>
      </c>
      <c r="L21" s="1221"/>
      <c r="M21" s="1215">
        <f t="shared" si="0"/>
        <v>1800</v>
      </c>
      <c r="N21" s="1216">
        <f t="shared" si="2"/>
        <v>7200</v>
      </c>
      <c r="O21" s="987">
        <v>42241</v>
      </c>
      <c r="P21" s="1178" t="s">
        <v>666</v>
      </c>
      <c r="Q21" s="811" t="s">
        <v>1618</v>
      </c>
    </row>
    <row r="22" spans="1:18" x14ac:dyDescent="0.25">
      <c r="A22" s="298" t="s">
        <v>827</v>
      </c>
      <c r="B22" s="298" t="s">
        <v>870</v>
      </c>
      <c r="C22" s="1218">
        <v>42220</v>
      </c>
      <c r="D22" s="260">
        <v>42342</v>
      </c>
      <c r="E22" s="1219"/>
      <c r="F22" s="1220"/>
      <c r="G22" s="262">
        <v>10000</v>
      </c>
      <c r="H22" s="630"/>
      <c r="I22" s="259">
        <v>10000</v>
      </c>
      <c r="J22" s="259"/>
      <c r="K22" s="259">
        <v>800</v>
      </c>
      <c r="L22" s="1221"/>
      <c r="M22" s="1215">
        <f t="shared" si="0"/>
        <v>0</v>
      </c>
      <c r="N22" s="1216">
        <f t="shared" si="2"/>
        <v>10800</v>
      </c>
      <c r="O22" s="987" t="s">
        <v>479</v>
      </c>
      <c r="P22" s="1178" t="s">
        <v>666</v>
      </c>
      <c r="Q22" s="813" t="s">
        <v>1613</v>
      </c>
      <c r="R22" s="371" t="s">
        <v>666</v>
      </c>
    </row>
    <row r="23" spans="1:18" x14ac:dyDescent="0.25">
      <c r="A23" s="298" t="s">
        <v>1297</v>
      </c>
      <c r="B23" s="298" t="s">
        <v>1454</v>
      </c>
      <c r="C23" s="1218">
        <v>41964</v>
      </c>
      <c r="D23" s="260">
        <v>42268</v>
      </c>
      <c r="E23" s="1219"/>
      <c r="F23" s="1220"/>
      <c r="G23" s="1225">
        <v>7000</v>
      </c>
      <c r="H23" s="630">
        <v>400</v>
      </c>
      <c r="I23" s="259">
        <v>5780</v>
      </c>
      <c r="J23" s="259">
        <v>100</v>
      </c>
      <c r="K23" s="259">
        <v>2250</v>
      </c>
      <c r="L23" s="1221"/>
      <c r="M23" s="1215">
        <f t="shared" si="0"/>
        <v>500</v>
      </c>
      <c r="N23" s="1216">
        <f t="shared" si="2"/>
        <v>8030</v>
      </c>
      <c r="O23" s="987">
        <v>42201</v>
      </c>
      <c r="P23" s="1178" t="s">
        <v>666</v>
      </c>
      <c r="Q23" s="811" t="s">
        <v>1611</v>
      </c>
      <c r="R23" s="371" t="s">
        <v>666</v>
      </c>
    </row>
    <row r="24" spans="1:18" x14ac:dyDescent="0.25">
      <c r="A24" s="298" t="s">
        <v>1722</v>
      </c>
      <c r="B24" s="298" t="s">
        <v>998</v>
      </c>
      <c r="C24" s="1218">
        <v>42058</v>
      </c>
      <c r="D24" s="260">
        <v>42361</v>
      </c>
      <c r="E24" s="1219"/>
      <c r="F24" s="1220"/>
      <c r="G24" s="1225">
        <v>10000</v>
      </c>
      <c r="H24" s="630">
        <v>1000</v>
      </c>
      <c r="I24" s="259">
        <v>9000</v>
      </c>
      <c r="J24" s="259">
        <v>500</v>
      </c>
      <c r="K24" s="259">
        <v>4500</v>
      </c>
      <c r="L24" s="1221"/>
      <c r="M24" s="1215">
        <f t="shared" si="0"/>
        <v>1500</v>
      </c>
      <c r="N24" s="1216">
        <f t="shared" si="2"/>
        <v>13500</v>
      </c>
      <c r="O24" s="987">
        <v>42086</v>
      </c>
      <c r="P24" s="1178" t="s">
        <v>666</v>
      </c>
      <c r="Q24" s="811"/>
    </row>
    <row r="25" spans="1:18" x14ac:dyDescent="0.25">
      <c r="A25" s="298" t="s">
        <v>1614</v>
      </c>
      <c r="B25" s="298" t="s">
        <v>1615</v>
      </c>
      <c r="C25" s="1218">
        <v>42165</v>
      </c>
      <c r="D25" s="260">
        <v>42347</v>
      </c>
      <c r="E25" s="1219"/>
      <c r="F25" s="1220"/>
      <c r="G25" s="1225">
        <v>7000</v>
      </c>
      <c r="H25" s="630"/>
      <c r="I25" s="259">
        <v>7000</v>
      </c>
      <c r="J25" s="259"/>
      <c r="K25" s="259">
        <v>2100</v>
      </c>
      <c r="L25" s="1221"/>
      <c r="M25" s="1215">
        <f t="shared" si="0"/>
        <v>0</v>
      </c>
      <c r="N25" s="1216">
        <f t="shared" si="2"/>
        <v>9100</v>
      </c>
      <c r="O25" s="987" t="s">
        <v>76</v>
      </c>
      <c r="P25" s="1178" t="s">
        <v>666</v>
      </c>
      <c r="Q25" s="811" t="s">
        <v>1616</v>
      </c>
      <c r="R25" s="371" t="s">
        <v>666</v>
      </c>
    </row>
    <row r="26" spans="1:18" x14ac:dyDescent="0.25">
      <c r="A26" s="298" t="s">
        <v>1501</v>
      </c>
      <c r="B26" s="298" t="s">
        <v>1454</v>
      </c>
      <c r="C26" s="1218">
        <v>42109</v>
      </c>
      <c r="D26" s="260">
        <v>42292</v>
      </c>
      <c r="E26" s="1219"/>
      <c r="F26" s="1220"/>
      <c r="G26" s="1225">
        <v>7000</v>
      </c>
      <c r="H26" s="630">
        <v>500</v>
      </c>
      <c r="I26" s="259">
        <v>6066</v>
      </c>
      <c r="J26" s="259">
        <v>500</v>
      </c>
      <c r="K26" s="259">
        <v>1600</v>
      </c>
      <c r="L26" s="1221"/>
      <c r="M26" s="1215">
        <f t="shared" si="0"/>
        <v>1000</v>
      </c>
      <c r="N26" s="1216">
        <f t="shared" si="2"/>
        <v>7666</v>
      </c>
      <c r="O26" s="987">
        <v>42157</v>
      </c>
      <c r="P26" s="1178" t="s">
        <v>666</v>
      </c>
      <c r="Q26" s="811" t="s">
        <v>1618</v>
      </c>
      <c r="R26" s="371" t="s">
        <v>666</v>
      </c>
    </row>
    <row r="27" spans="1:18" x14ac:dyDescent="0.25">
      <c r="A27" s="298" t="s">
        <v>921</v>
      </c>
      <c r="B27" s="298" t="s">
        <v>922</v>
      </c>
      <c r="C27" s="1218">
        <v>42011</v>
      </c>
      <c r="D27" s="260">
        <v>42315</v>
      </c>
      <c r="E27" s="1219"/>
      <c r="F27" s="1220"/>
      <c r="G27" s="1225">
        <v>30000</v>
      </c>
      <c r="H27" s="630">
        <v>750</v>
      </c>
      <c r="I27" s="259">
        <v>27250</v>
      </c>
      <c r="J27" s="259">
        <v>1500</v>
      </c>
      <c r="K27" s="259">
        <v>9125</v>
      </c>
      <c r="L27" s="1221"/>
      <c r="M27" s="1215">
        <f t="shared" si="0"/>
        <v>2250</v>
      </c>
      <c r="N27" s="1216">
        <f t="shared" si="2"/>
        <v>36375</v>
      </c>
      <c r="O27" s="987">
        <v>42219</v>
      </c>
      <c r="P27" s="1178" t="s">
        <v>666</v>
      </c>
      <c r="Q27" s="811" t="s">
        <v>1613</v>
      </c>
      <c r="R27" s="371" t="s">
        <v>666</v>
      </c>
    </row>
    <row r="28" spans="1:18" x14ac:dyDescent="0.25">
      <c r="A28" s="298" t="s">
        <v>735</v>
      </c>
      <c r="B28" s="298" t="s">
        <v>736</v>
      </c>
      <c r="C28" s="1218">
        <v>42580</v>
      </c>
      <c r="D28" s="260">
        <v>42398</v>
      </c>
      <c r="E28" s="1219"/>
      <c r="F28" s="1220"/>
      <c r="G28" s="262">
        <v>7000</v>
      </c>
      <c r="H28" s="630"/>
      <c r="I28" s="259">
        <v>7000</v>
      </c>
      <c r="J28" s="259"/>
      <c r="K28" s="259">
        <v>2100</v>
      </c>
      <c r="L28" s="1221"/>
      <c r="M28" s="1215">
        <f t="shared" si="0"/>
        <v>0</v>
      </c>
      <c r="N28" s="1216">
        <f t="shared" si="2"/>
        <v>9100</v>
      </c>
      <c r="O28" s="987" t="s">
        <v>479</v>
      </c>
      <c r="P28" s="1178" t="s">
        <v>666</v>
      </c>
      <c r="Q28" s="811" t="s">
        <v>1618</v>
      </c>
      <c r="R28" s="371" t="s">
        <v>666</v>
      </c>
    </row>
    <row r="29" spans="1:18" x14ac:dyDescent="0.25">
      <c r="A29" s="298" t="s">
        <v>1499</v>
      </c>
      <c r="B29" s="298" t="s">
        <v>719</v>
      </c>
      <c r="C29" s="1218">
        <v>42172</v>
      </c>
      <c r="D29" s="260">
        <v>42477</v>
      </c>
      <c r="E29" s="1219"/>
      <c r="F29" s="1220"/>
      <c r="G29" s="262">
        <v>7000</v>
      </c>
      <c r="H29" s="630">
        <v>1400</v>
      </c>
      <c r="I29" s="259">
        <v>5600</v>
      </c>
      <c r="J29" s="259">
        <v>700</v>
      </c>
      <c r="K29" s="259">
        <v>2800</v>
      </c>
      <c r="L29" s="1221">
        <v>105</v>
      </c>
      <c r="M29" s="1215">
        <f t="shared" si="0"/>
        <v>2205</v>
      </c>
      <c r="N29" s="1216">
        <f t="shared" si="2"/>
        <v>8400</v>
      </c>
      <c r="O29" s="987">
        <v>42234</v>
      </c>
      <c r="P29" s="1178" t="s">
        <v>666</v>
      </c>
      <c r="Q29" s="813" t="s">
        <v>1627</v>
      </c>
      <c r="R29" s="371" t="s">
        <v>666</v>
      </c>
    </row>
    <row r="30" spans="1:18" x14ac:dyDescent="0.25">
      <c r="A30" s="298" t="s">
        <v>1729</v>
      </c>
      <c r="B30" s="298" t="s">
        <v>865</v>
      </c>
      <c r="C30" s="1218">
        <v>42165</v>
      </c>
      <c r="D30" s="260">
        <v>42287</v>
      </c>
      <c r="E30" s="1219"/>
      <c r="F30" s="1220"/>
      <c r="G30" s="262">
        <v>5000</v>
      </c>
      <c r="H30" s="630"/>
      <c r="I30" s="259">
        <v>5000</v>
      </c>
      <c r="J30" s="259"/>
      <c r="K30" s="259">
        <v>1000</v>
      </c>
      <c r="L30" s="1221"/>
      <c r="M30" s="1215">
        <f t="shared" si="0"/>
        <v>0</v>
      </c>
      <c r="N30" s="1216">
        <f t="shared" si="2"/>
        <v>6000</v>
      </c>
      <c r="O30" s="987" t="s">
        <v>76</v>
      </c>
      <c r="P30" s="1178" t="s">
        <v>666</v>
      </c>
      <c r="Q30" s="811"/>
    </row>
    <row r="31" spans="1:18" x14ac:dyDescent="0.25">
      <c r="A31" s="298" t="s">
        <v>1723</v>
      </c>
      <c r="B31" s="298" t="s">
        <v>865</v>
      </c>
      <c r="C31" s="1218">
        <v>42111</v>
      </c>
      <c r="D31" s="260">
        <v>42417</v>
      </c>
      <c r="E31" s="1219"/>
      <c r="F31" s="1220"/>
      <c r="G31" s="262">
        <v>20000</v>
      </c>
      <c r="H31" s="630">
        <v>1200</v>
      </c>
      <c r="I31" s="259">
        <v>18800</v>
      </c>
      <c r="J31" s="259">
        <v>300</v>
      </c>
      <c r="K31" s="259">
        <v>9700</v>
      </c>
      <c r="L31" s="1221"/>
      <c r="M31" s="1215">
        <f t="shared" si="0"/>
        <v>1500</v>
      </c>
      <c r="N31" s="1216">
        <f t="shared" si="2"/>
        <v>28500</v>
      </c>
      <c r="O31" s="987">
        <v>42227</v>
      </c>
      <c r="P31" s="1178" t="s">
        <v>666</v>
      </c>
      <c r="Q31" s="811"/>
    </row>
    <row r="32" spans="1:18" x14ac:dyDescent="0.25">
      <c r="A32" s="298" t="s">
        <v>1579</v>
      </c>
      <c r="B32" s="298" t="s">
        <v>428</v>
      </c>
      <c r="C32" s="1218">
        <v>42166</v>
      </c>
      <c r="D32" s="260">
        <v>42349</v>
      </c>
      <c r="E32" s="1219"/>
      <c r="F32" s="1220"/>
      <c r="G32" s="262">
        <v>7000</v>
      </c>
      <c r="H32" s="630">
        <v>900</v>
      </c>
      <c r="I32" s="259">
        <v>3300</v>
      </c>
      <c r="J32" s="259">
        <v>240</v>
      </c>
      <c r="K32" s="259">
        <v>1260</v>
      </c>
      <c r="L32" s="1221"/>
      <c r="M32" s="1215">
        <f t="shared" ref="M32:M79" si="3">+L32+J32+H32</f>
        <v>1140</v>
      </c>
      <c r="N32" s="1216">
        <f t="shared" si="2"/>
        <v>4560</v>
      </c>
      <c r="O32" s="987">
        <v>42236</v>
      </c>
      <c r="P32" s="1178" t="s">
        <v>666</v>
      </c>
      <c r="Q32" s="813"/>
      <c r="R32" s="371" t="s">
        <v>666</v>
      </c>
    </row>
    <row r="33" spans="1:18" x14ac:dyDescent="0.25">
      <c r="A33" s="298" t="s">
        <v>1490</v>
      </c>
      <c r="B33" s="298" t="s">
        <v>771</v>
      </c>
      <c r="C33" s="1218">
        <v>42087</v>
      </c>
      <c r="D33" s="260">
        <v>42393</v>
      </c>
      <c r="E33" s="1219"/>
      <c r="F33" s="1220"/>
      <c r="G33" s="262">
        <v>10000</v>
      </c>
      <c r="H33" s="630">
        <v>1850</v>
      </c>
      <c r="I33" s="259">
        <v>7150</v>
      </c>
      <c r="J33" s="259">
        <v>1000</v>
      </c>
      <c r="K33" s="259">
        <v>3500</v>
      </c>
      <c r="L33" s="1221">
        <v>150</v>
      </c>
      <c r="M33" s="1215">
        <f t="shared" si="3"/>
        <v>3000</v>
      </c>
      <c r="N33" s="1216">
        <f t="shared" si="2"/>
        <v>10650</v>
      </c>
      <c r="O33" s="987">
        <v>42179</v>
      </c>
      <c r="P33" s="1178" t="s">
        <v>666</v>
      </c>
      <c r="Q33" s="813" t="s">
        <v>1618</v>
      </c>
    </row>
    <row r="34" spans="1:18" x14ac:dyDescent="0.25">
      <c r="A34" s="298" t="s">
        <v>1620</v>
      </c>
      <c r="B34" s="298" t="s">
        <v>1621</v>
      </c>
      <c r="C34" s="1218">
        <v>41963</v>
      </c>
      <c r="D34" s="260">
        <v>42267</v>
      </c>
      <c r="E34" s="1219"/>
      <c r="F34" s="1220"/>
      <c r="G34" s="262">
        <v>15000</v>
      </c>
      <c r="H34" s="630">
        <v>1750</v>
      </c>
      <c r="I34" s="259">
        <v>9725</v>
      </c>
      <c r="J34" s="259">
        <v>750</v>
      </c>
      <c r="K34" s="259">
        <v>3750</v>
      </c>
      <c r="L34" s="1221"/>
      <c r="M34" s="1215">
        <f t="shared" si="3"/>
        <v>2500</v>
      </c>
      <c r="N34" s="1216">
        <f t="shared" si="2"/>
        <v>13475</v>
      </c>
      <c r="O34" s="987">
        <v>42122</v>
      </c>
      <c r="P34" s="1178" t="s">
        <v>666</v>
      </c>
      <c r="Q34" s="1162" t="s">
        <v>666</v>
      </c>
      <c r="R34" s="371" t="s">
        <v>666</v>
      </c>
    </row>
    <row r="35" spans="1:18" x14ac:dyDescent="0.25">
      <c r="A35" s="298" t="s">
        <v>1726</v>
      </c>
      <c r="B35" s="298" t="s">
        <v>1727</v>
      </c>
      <c r="C35" s="1218">
        <v>42166</v>
      </c>
      <c r="D35" s="260">
        <v>42288</v>
      </c>
      <c r="E35" s="1219"/>
      <c r="F35" s="1220"/>
      <c r="G35" s="262">
        <v>15000</v>
      </c>
      <c r="H35" s="630"/>
      <c r="I35" s="259">
        <v>15000</v>
      </c>
      <c r="J35" s="259"/>
      <c r="K35" s="259">
        <v>750</v>
      </c>
      <c r="L35" s="1221"/>
      <c r="M35" s="1215">
        <f t="shared" si="3"/>
        <v>0</v>
      </c>
      <c r="N35" s="1216">
        <f t="shared" si="2"/>
        <v>15750</v>
      </c>
      <c r="O35" s="987" t="s">
        <v>1728</v>
      </c>
      <c r="P35" s="1178" t="s">
        <v>666</v>
      </c>
      <c r="Q35" s="1162"/>
    </row>
    <row r="36" spans="1:18" x14ac:dyDescent="0.25">
      <c r="A36" s="298" t="s">
        <v>1235</v>
      </c>
      <c r="B36" s="298" t="s">
        <v>870</v>
      </c>
      <c r="C36" s="1218">
        <v>42174</v>
      </c>
      <c r="D36" s="260">
        <v>42357</v>
      </c>
      <c r="E36" s="1219"/>
      <c r="F36" s="1220"/>
      <c r="G36" s="262">
        <v>4000</v>
      </c>
      <c r="H36" s="630">
        <v>670</v>
      </c>
      <c r="I36" s="259">
        <v>2660</v>
      </c>
      <c r="J36" s="259">
        <v>200</v>
      </c>
      <c r="K36" s="259">
        <v>800</v>
      </c>
      <c r="L36" s="1221"/>
      <c r="M36" s="1215">
        <f t="shared" si="3"/>
        <v>870</v>
      </c>
      <c r="N36" s="1216">
        <f t="shared" si="2"/>
        <v>3460</v>
      </c>
      <c r="O36" s="987">
        <v>42226</v>
      </c>
      <c r="P36" s="1178" t="s">
        <v>666</v>
      </c>
      <c r="Q36" s="1162" t="s">
        <v>1611</v>
      </c>
      <c r="R36" s="371" t="s">
        <v>666</v>
      </c>
    </row>
    <row r="37" spans="1:18" hidden="1" x14ac:dyDescent="0.25">
      <c r="A37" s="298" t="s">
        <v>105</v>
      </c>
      <c r="B37" s="298" t="s">
        <v>9</v>
      </c>
      <c r="C37" s="1218">
        <v>40136</v>
      </c>
      <c r="D37" s="260">
        <v>40256</v>
      </c>
      <c r="E37" s="1219">
        <f>+C37-D37</f>
        <v>-120</v>
      </c>
      <c r="F37" s="1220">
        <f>+E37/30</f>
        <v>-4</v>
      </c>
      <c r="G37" s="262">
        <v>5000</v>
      </c>
      <c r="H37" s="630"/>
      <c r="I37" s="259">
        <v>15000</v>
      </c>
      <c r="J37" s="259"/>
      <c r="K37" s="259">
        <v>495</v>
      </c>
      <c r="L37" s="1221"/>
      <c r="M37" s="1215">
        <f t="shared" si="3"/>
        <v>0</v>
      </c>
      <c r="N37" s="1216">
        <f t="shared" si="2"/>
        <v>15495</v>
      </c>
      <c r="O37" s="987">
        <v>40178</v>
      </c>
      <c r="P37" s="1178"/>
      <c r="Q37" s="1162"/>
    </row>
    <row r="38" spans="1:18" x14ac:dyDescent="0.25">
      <c r="A38" s="298" t="s">
        <v>1725</v>
      </c>
      <c r="B38" s="298" t="s">
        <v>428</v>
      </c>
      <c r="C38" s="1218">
        <v>42185</v>
      </c>
      <c r="D38" s="260">
        <v>42367</v>
      </c>
      <c r="E38" s="1219"/>
      <c r="F38" s="1220"/>
      <c r="G38" s="262">
        <v>6000</v>
      </c>
      <c r="H38" s="630"/>
      <c r="I38" s="259">
        <v>6000</v>
      </c>
      <c r="J38" s="259"/>
      <c r="K38" s="259">
        <v>1800</v>
      </c>
      <c r="L38" s="1221"/>
      <c r="M38" s="1215">
        <f t="shared" si="3"/>
        <v>0</v>
      </c>
      <c r="N38" s="1216">
        <f t="shared" si="2"/>
        <v>7800</v>
      </c>
      <c r="O38" s="987" t="s">
        <v>479</v>
      </c>
      <c r="P38" s="1178" t="s">
        <v>666</v>
      </c>
      <c r="Q38" s="1162"/>
    </row>
    <row r="39" spans="1:18" x14ac:dyDescent="0.25">
      <c r="A39" s="298" t="s">
        <v>1608</v>
      </c>
      <c r="B39" s="298" t="s">
        <v>1164</v>
      </c>
      <c r="C39" s="1218">
        <v>42017</v>
      </c>
      <c r="D39" s="260">
        <v>42321</v>
      </c>
      <c r="E39" s="1219"/>
      <c r="F39" s="1220"/>
      <c r="G39" s="262">
        <v>10000</v>
      </c>
      <c r="H39" s="630">
        <v>2700</v>
      </c>
      <c r="I39" s="259">
        <v>7300</v>
      </c>
      <c r="J39" s="259">
        <v>2000</v>
      </c>
      <c r="K39" s="259">
        <v>3000</v>
      </c>
      <c r="L39" s="1221">
        <v>300</v>
      </c>
      <c r="M39" s="1215">
        <f t="shared" si="3"/>
        <v>5000</v>
      </c>
      <c r="N39" s="1216">
        <f t="shared" si="2"/>
        <v>10300</v>
      </c>
      <c r="O39" s="987">
        <v>42140</v>
      </c>
      <c r="P39" s="1178" t="s">
        <v>666</v>
      </c>
      <c r="Q39" s="1162" t="s">
        <v>1575</v>
      </c>
      <c r="R39" s="371" t="s">
        <v>666</v>
      </c>
    </row>
    <row r="40" spans="1:18" x14ac:dyDescent="0.25">
      <c r="A40" s="298" t="s">
        <v>1724</v>
      </c>
      <c r="B40" s="298" t="s">
        <v>428</v>
      </c>
      <c r="C40" s="1218">
        <v>42199</v>
      </c>
      <c r="D40" s="260">
        <v>42504</v>
      </c>
      <c r="E40" s="1219"/>
      <c r="F40" s="1220"/>
      <c r="G40" s="262">
        <v>11000</v>
      </c>
      <c r="H40" s="630">
        <v>1700</v>
      </c>
      <c r="I40" s="259">
        <v>9300</v>
      </c>
      <c r="J40" s="259">
        <v>240</v>
      </c>
      <c r="K40" s="259">
        <v>1960</v>
      </c>
      <c r="L40" s="1221"/>
      <c r="M40" s="1215">
        <f t="shared" si="3"/>
        <v>1940</v>
      </c>
      <c r="N40" s="1216">
        <f t="shared" si="2"/>
        <v>11260</v>
      </c>
      <c r="O40" s="987">
        <v>42233</v>
      </c>
      <c r="P40" s="1178" t="s">
        <v>666</v>
      </c>
      <c r="Q40" s="1162"/>
    </row>
    <row r="41" spans="1:18" x14ac:dyDescent="0.25">
      <c r="A41" s="298" t="s">
        <v>1030</v>
      </c>
      <c r="B41" s="298" t="s">
        <v>942</v>
      </c>
      <c r="C41" s="1218">
        <v>42136</v>
      </c>
      <c r="D41" s="1218">
        <v>42320</v>
      </c>
      <c r="E41" s="1219"/>
      <c r="F41" s="1220"/>
      <c r="G41" s="262">
        <v>10000</v>
      </c>
      <c r="H41" s="630">
        <v>1600</v>
      </c>
      <c r="I41" s="259">
        <v>6800</v>
      </c>
      <c r="J41" s="259">
        <v>600</v>
      </c>
      <c r="K41" s="259">
        <v>1800</v>
      </c>
      <c r="L41" s="1221"/>
      <c r="M41" s="1215">
        <f t="shared" si="3"/>
        <v>2200</v>
      </c>
      <c r="N41" s="1216">
        <f t="shared" si="2"/>
        <v>8600</v>
      </c>
      <c r="O41" s="987">
        <v>42208</v>
      </c>
      <c r="P41" s="1178" t="s">
        <v>666</v>
      </c>
      <c r="Q41" s="1161" t="s">
        <v>1624</v>
      </c>
      <c r="R41" s="371" t="s">
        <v>666</v>
      </c>
    </row>
    <row r="42" spans="1:18" x14ac:dyDescent="0.25">
      <c r="A42" s="298" t="s">
        <v>1730</v>
      </c>
      <c r="B42" s="298" t="s">
        <v>1523</v>
      </c>
      <c r="C42" s="1218">
        <v>42131</v>
      </c>
      <c r="D42" s="1218">
        <v>42376</v>
      </c>
      <c r="E42" s="1219"/>
      <c r="F42" s="1220"/>
      <c r="G42" s="262">
        <v>20000</v>
      </c>
      <c r="H42" s="630">
        <v>2500</v>
      </c>
      <c r="I42" s="259">
        <v>15000</v>
      </c>
      <c r="J42" s="259">
        <v>1000</v>
      </c>
      <c r="K42" s="259">
        <v>6000</v>
      </c>
      <c r="L42" s="1221"/>
      <c r="M42" s="1215">
        <f t="shared" si="3"/>
        <v>3500</v>
      </c>
      <c r="N42" s="1216">
        <f t="shared" si="2"/>
        <v>21000</v>
      </c>
      <c r="O42" s="987">
        <v>42195</v>
      </c>
      <c r="P42" s="1178" t="s">
        <v>666</v>
      </c>
      <c r="Q42" s="1161"/>
    </row>
    <row r="43" spans="1:18" x14ac:dyDescent="0.25">
      <c r="A43" s="298" t="s">
        <v>1832</v>
      </c>
      <c r="B43" s="298" t="s">
        <v>1766</v>
      </c>
      <c r="C43" s="1218">
        <v>42104</v>
      </c>
      <c r="D43" s="260">
        <v>42410</v>
      </c>
      <c r="E43" s="1219"/>
      <c r="F43" s="1220"/>
      <c r="G43" s="262">
        <v>23000</v>
      </c>
      <c r="H43" s="630">
        <v>80</v>
      </c>
      <c r="I43" s="259">
        <v>20100</v>
      </c>
      <c r="J43" s="259">
        <v>20</v>
      </c>
      <c r="K43" s="259">
        <v>10650</v>
      </c>
      <c r="L43" s="1221"/>
      <c r="M43" s="1215">
        <f t="shared" si="3"/>
        <v>100</v>
      </c>
      <c r="N43" s="1216">
        <f t="shared" si="2"/>
        <v>30750</v>
      </c>
      <c r="O43" s="987">
        <v>42223</v>
      </c>
      <c r="P43" s="1178" t="s">
        <v>666</v>
      </c>
      <c r="Q43" s="811"/>
    </row>
    <row r="44" spans="1:18" x14ac:dyDescent="0.25">
      <c r="A44" s="298" t="s">
        <v>1378</v>
      </c>
      <c r="B44" s="298" t="s">
        <v>1379</v>
      </c>
      <c r="C44" s="1218">
        <v>42076</v>
      </c>
      <c r="D44" s="260">
        <v>42372</v>
      </c>
      <c r="E44" s="1219">
        <f>+C44-D44</f>
        <v>-296</v>
      </c>
      <c r="F44" s="1220"/>
      <c r="G44" s="262">
        <v>10000</v>
      </c>
      <c r="H44" s="630">
        <v>950</v>
      </c>
      <c r="I44" s="259">
        <v>4230</v>
      </c>
      <c r="J44" s="259">
        <v>190</v>
      </c>
      <c r="K44" s="259">
        <v>2385</v>
      </c>
      <c r="L44" s="1221"/>
      <c r="M44" s="1215">
        <f t="shared" si="3"/>
        <v>1140</v>
      </c>
      <c r="N44" s="1216">
        <f t="shared" si="2"/>
        <v>6615</v>
      </c>
      <c r="O44" s="987">
        <v>42238</v>
      </c>
      <c r="P44" s="1178" t="s">
        <v>666</v>
      </c>
      <c r="Q44" s="813"/>
      <c r="R44" s="371" t="s">
        <v>666</v>
      </c>
    </row>
    <row r="45" spans="1:18" s="3" customFormat="1" x14ac:dyDescent="0.25">
      <c r="A45" s="298" t="s">
        <v>1739</v>
      </c>
      <c r="B45" s="298" t="s">
        <v>865</v>
      </c>
      <c r="C45" s="1218" t="s">
        <v>1740</v>
      </c>
      <c r="D45" s="260">
        <v>42406</v>
      </c>
      <c r="E45" s="1219"/>
      <c r="F45" s="1220"/>
      <c r="G45" s="262">
        <v>12000</v>
      </c>
      <c r="H45" s="630"/>
      <c r="I45" s="259">
        <v>12000</v>
      </c>
      <c r="J45" s="259"/>
      <c r="K45" s="259">
        <v>3600</v>
      </c>
      <c r="L45" s="1221"/>
      <c r="M45" s="1215">
        <f t="shared" si="3"/>
        <v>0</v>
      </c>
      <c r="N45" s="1216">
        <f t="shared" si="2"/>
        <v>15600</v>
      </c>
      <c r="O45" s="987" t="s">
        <v>479</v>
      </c>
      <c r="P45" s="1178" t="s">
        <v>666</v>
      </c>
      <c r="Q45" s="813"/>
      <c r="R45" s="371"/>
    </row>
    <row r="46" spans="1:18" s="3" customFormat="1" x14ac:dyDescent="0.25">
      <c r="A46" s="298" t="s">
        <v>1743</v>
      </c>
      <c r="B46" s="298" t="s">
        <v>426</v>
      </c>
      <c r="C46" s="1218">
        <v>42114</v>
      </c>
      <c r="D46" s="260">
        <v>42358</v>
      </c>
      <c r="E46" s="1219">
        <f>+C46-D46</f>
        <v>-244</v>
      </c>
      <c r="F46" s="1220">
        <f>+E46/30</f>
        <v>-8.1333333333333329</v>
      </c>
      <c r="G46" s="262">
        <v>15000</v>
      </c>
      <c r="H46" s="630"/>
      <c r="I46" s="259">
        <v>15000</v>
      </c>
      <c r="J46" s="259"/>
      <c r="K46" s="259">
        <v>6000</v>
      </c>
      <c r="L46" s="1221"/>
      <c r="M46" s="1215">
        <f t="shared" si="3"/>
        <v>0</v>
      </c>
      <c r="N46" s="1216">
        <f t="shared" si="2"/>
        <v>21000</v>
      </c>
      <c r="O46" s="987" t="s">
        <v>479</v>
      </c>
      <c r="P46" s="1178" t="s">
        <v>666</v>
      </c>
      <c r="Q46" s="811" t="s">
        <v>1619</v>
      </c>
      <c r="R46" s="371"/>
    </row>
    <row r="47" spans="1:18" s="3" customFormat="1" x14ac:dyDescent="0.25">
      <c r="A47" s="298" t="s">
        <v>1744</v>
      </c>
      <c r="B47" s="298" t="s">
        <v>803</v>
      </c>
      <c r="C47" s="1218">
        <v>42170</v>
      </c>
      <c r="D47" s="260">
        <v>42415</v>
      </c>
      <c r="E47" s="1219"/>
      <c r="F47" s="1220"/>
      <c r="G47" s="262">
        <v>6000</v>
      </c>
      <c r="H47" s="630">
        <v>850</v>
      </c>
      <c r="I47" s="259">
        <v>4400</v>
      </c>
      <c r="J47" s="259">
        <v>200</v>
      </c>
      <c r="K47" s="259">
        <v>1900</v>
      </c>
      <c r="L47" s="1221"/>
      <c r="M47" s="1215">
        <f t="shared" si="3"/>
        <v>1050</v>
      </c>
      <c r="N47" s="1216">
        <f t="shared" si="2"/>
        <v>6300</v>
      </c>
      <c r="O47" s="987">
        <v>42231</v>
      </c>
      <c r="P47" s="1178" t="s">
        <v>666</v>
      </c>
      <c r="Q47" s="811"/>
      <c r="R47" s="371"/>
    </row>
    <row r="48" spans="1:18" s="3" customFormat="1" x14ac:dyDescent="0.25">
      <c r="A48" s="298" t="s">
        <v>1634</v>
      </c>
      <c r="B48" s="298" t="s">
        <v>836</v>
      </c>
      <c r="C48" s="1218">
        <v>42174</v>
      </c>
      <c r="D48" s="260">
        <v>42327</v>
      </c>
      <c r="E48" s="1219"/>
      <c r="F48" s="1220"/>
      <c r="G48" s="262">
        <v>3000</v>
      </c>
      <c r="H48" s="630"/>
      <c r="I48" s="259">
        <v>3000</v>
      </c>
      <c r="J48" s="259"/>
      <c r="K48" s="259">
        <v>750</v>
      </c>
      <c r="L48" s="1221"/>
      <c r="M48" s="1215">
        <f t="shared" si="3"/>
        <v>0</v>
      </c>
      <c r="N48" s="1216">
        <f t="shared" si="2"/>
        <v>3750</v>
      </c>
      <c r="O48" s="987" t="s">
        <v>551</v>
      </c>
      <c r="P48" s="1178" t="s">
        <v>666</v>
      </c>
      <c r="Q48" s="813" t="s">
        <v>1618</v>
      </c>
      <c r="R48" s="371" t="s">
        <v>666</v>
      </c>
    </row>
    <row r="49" spans="1:18" s="3" customFormat="1" x14ac:dyDescent="0.25">
      <c r="A49" s="298" t="s">
        <v>1460</v>
      </c>
      <c r="B49" s="298" t="s">
        <v>1341</v>
      </c>
      <c r="C49" s="1218">
        <v>42173</v>
      </c>
      <c r="D49" s="260">
        <v>42478</v>
      </c>
      <c r="E49" s="1219">
        <f t="shared" ref="E49:E79" si="4">+C49-D49</f>
        <v>-305</v>
      </c>
      <c r="F49" s="1220"/>
      <c r="G49" s="262">
        <v>8500</v>
      </c>
      <c r="H49" s="630"/>
      <c r="I49" s="259">
        <v>8500</v>
      </c>
      <c r="J49" s="259"/>
      <c r="K49" s="259">
        <v>4250</v>
      </c>
      <c r="L49" s="1221"/>
      <c r="M49" s="1215">
        <f t="shared" si="3"/>
        <v>0</v>
      </c>
      <c r="N49" s="1216">
        <f t="shared" ref="N49:N80" si="5">+I49+K49</f>
        <v>12750</v>
      </c>
      <c r="O49" s="987" t="s">
        <v>551</v>
      </c>
      <c r="P49" s="1178" t="s">
        <v>666</v>
      </c>
      <c r="Q49" s="811" t="s">
        <v>1618</v>
      </c>
      <c r="R49" s="371" t="s">
        <v>666</v>
      </c>
    </row>
    <row r="50" spans="1:18" s="3" customFormat="1" x14ac:dyDescent="0.25">
      <c r="A50" s="298" t="s">
        <v>1504</v>
      </c>
      <c r="B50" s="298" t="s">
        <v>1075</v>
      </c>
      <c r="C50" s="1218">
        <v>42233</v>
      </c>
      <c r="D50" s="260">
        <v>42355</v>
      </c>
      <c r="E50" s="1219">
        <f t="shared" si="4"/>
        <v>-122</v>
      </c>
      <c r="F50" s="1220"/>
      <c r="G50" s="262">
        <v>25000</v>
      </c>
      <c r="H50" s="630"/>
      <c r="I50" s="259">
        <v>25000</v>
      </c>
      <c r="J50" s="259"/>
      <c r="K50" s="259">
        <v>1250</v>
      </c>
      <c r="L50" s="1221"/>
      <c r="M50" s="1215">
        <f t="shared" si="3"/>
        <v>0</v>
      </c>
      <c r="N50" s="1216">
        <f t="shared" si="5"/>
        <v>26250</v>
      </c>
      <c r="O50" s="987" t="s">
        <v>859</v>
      </c>
      <c r="P50" s="1178" t="s">
        <v>666</v>
      </c>
      <c r="Q50" s="813" t="s">
        <v>1618</v>
      </c>
      <c r="R50" s="371" t="s">
        <v>666</v>
      </c>
    </row>
    <row r="51" spans="1:18" s="3" customFormat="1" x14ac:dyDescent="0.25">
      <c r="A51" s="298" t="s">
        <v>1505</v>
      </c>
      <c r="B51" s="298" t="s">
        <v>945</v>
      </c>
      <c r="C51" s="1218">
        <v>42214</v>
      </c>
      <c r="D51" s="260">
        <v>42337</v>
      </c>
      <c r="E51" s="1219">
        <f t="shared" si="4"/>
        <v>-123</v>
      </c>
      <c r="F51" s="1220"/>
      <c r="G51" s="262">
        <v>6000</v>
      </c>
      <c r="H51" s="630"/>
      <c r="I51" s="259">
        <v>6000</v>
      </c>
      <c r="J51" s="259"/>
      <c r="K51" s="259">
        <v>1200</v>
      </c>
      <c r="L51" s="1221"/>
      <c r="M51" s="1215">
        <f t="shared" si="3"/>
        <v>0</v>
      </c>
      <c r="N51" s="1216">
        <f t="shared" si="5"/>
        <v>7200</v>
      </c>
      <c r="O51" s="987" t="s">
        <v>479</v>
      </c>
      <c r="P51" s="1178" t="s">
        <v>666</v>
      </c>
      <c r="Q51" s="813" t="s">
        <v>1618</v>
      </c>
      <c r="R51" s="371" t="s">
        <v>666</v>
      </c>
    </row>
    <row r="52" spans="1:18" s="3" customFormat="1" x14ac:dyDescent="0.25">
      <c r="A52" s="298" t="s">
        <v>1456</v>
      </c>
      <c r="B52" s="298" t="s">
        <v>1457</v>
      </c>
      <c r="C52" s="1218">
        <v>42171</v>
      </c>
      <c r="D52" s="260">
        <v>42476</v>
      </c>
      <c r="E52" s="1219">
        <f t="shared" si="4"/>
        <v>-305</v>
      </c>
      <c r="F52" s="1220"/>
      <c r="G52" s="262">
        <v>10000</v>
      </c>
      <c r="H52" s="630"/>
      <c r="I52" s="259">
        <v>10000</v>
      </c>
      <c r="J52" s="259"/>
      <c r="K52" s="259">
        <v>5000</v>
      </c>
      <c r="L52" s="1221"/>
      <c r="M52" s="1215">
        <f t="shared" si="3"/>
        <v>0</v>
      </c>
      <c r="N52" s="1216">
        <f t="shared" si="5"/>
        <v>15000</v>
      </c>
      <c r="O52" s="987" t="s">
        <v>76</v>
      </c>
      <c r="P52" s="1178" t="s">
        <v>666</v>
      </c>
      <c r="Q52" s="813" t="s">
        <v>1618</v>
      </c>
      <c r="R52" s="371" t="s">
        <v>666</v>
      </c>
    </row>
    <row r="53" spans="1:18" x14ac:dyDescent="0.25">
      <c r="A53" s="298" t="s">
        <v>1750</v>
      </c>
      <c r="B53" s="298" t="s">
        <v>1047</v>
      </c>
      <c r="C53" s="1218">
        <v>42164</v>
      </c>
      <c r="D53" s="260">
        <v>42347</v>
      </c>
      <c r="E53" s="1219">
        <f t="shared" si="4"/>
        <v>-183</v>
      </c>
      <c r="F53" s="1220"/>
      <c r="G53" s="262">
        <v>30000</v>
      </c>
      <c r="H53" s="630">
        <v>5000</v>
      </c>
      <c r="I53" s="259">
        <v>25000</v>
      </c>
      <c r="J53" s="259">
        <v>1500</v>
      </c>
      <c r="K53" s="259">
        <v>7500</v>
      </c>
      <c r="L53" s="1221"/>
      <c r="M53" s="1215">
        <f t="shared" si="3"/>
        <v>6500</v>
      </c>
      <c r="N53" s="1216">
        <f t="shared" si="5"/>
        <v>32500</v>
      </c>
      <c r="O53" s="987">
        <v>42187</v>
      </c>
      <c r="P53" s="1178" t="s">
        <v>666</v>
      </c>
      <c r="Q53" s="813" t="s">
        <v>1618</v>
      </c>
      <c r="R53" s="371" t="s">
        <v>666</v>
      </c>
    </row>
    <row r="54" spans="1:18" x14ac:dyDescent="0.25">
      <c r="A54" s="298" t="s">
        <v>1511</v>
      </c>
      <c r="B54" s="298" t="s">
        <v>1512</v>
      </c>
      <c r="C54" s="1218">
        <v>42030</v>
      </c>
      <c r="D54" s="260">
        <v>42211</v>
      </c>
      <c r="E54" s="1219">
        <f t="shared" si="4"/>
        <v>-181</v>
      </c>
      <c r="F54" s="1220"/>
      <c r="G54" s="262">
        <v>15000</v>
      </c>
      <c r="H54" s="630"/>
      <c r="I54" s="259">
        <v>15000</v>
      </c>
      <c r="J54" s="259"/>
      <c r="K54" s="259">
        <v>2250</v>
      </c>
      <c r="L54" s="1221"/>
      <c r="M54" s="1215">
        <f t="shared" si="3"/>
        <v>0</v>
      </c>
      <c r="N54" s="1216">
        <f t="shared" si="5"/>
        <v>17250</v>
      </c>
      <c r="O54" s="987" t="s">
        <v>1513</v>
      </c>
      <c r="P54" s="1178" t="s">
        <v>666</v>
      </c>
      <c r="Q54" s="813"/>
      <c r="R54" s="371" t="s">
        <v>666</v>
      </c>
    </row>
    <row r="55" spans="1:18" x14ac:dyDescent="0.25">
      <c r="A55" s="298" t="s">
        <v>742</v>
      </c>
      <c r="B55" s="298" t="s">
        <v>1658</v>
      </c>
      <c r="C55" s="1218">
        <v>42116</v>
      </c>
      <c r="D55" s="260">
        <v>42420</v>
      </c>
      <c r="E55" s="1219">
        <f t="shared" si="4"/>
        <v>-304</v>
      </c>
      <c r="F55" s="1220"/>
      <c r="G55" s="262">
        <v>6000</v>
      </c>
      <c r="H55" s="630"/>
      <c r="I55" s="259">
        <v>5400</v>
      </c>
      <c r="J55" s="259">
        <v>879</v>
      </c>
      <c r="K55" s="259">
        <v>1821</v>
      </c>
      <c r="L55" s="1221">
        <v>21</v>
      </c>
      <c r="M55" s="1215">
        <f t="shared" si="3"/>
        <v>900</v>
      </c>
      <c r="N55" s="1216">
        <f t="shared" si="5"/>
        <v>7221</v>
      </c>
      <c r="O55" s="987">
        <v>42224</v>
      </c>
      <c r="P55" s="1178" t="s">
        <v>666</v>
      </c>
      <c r="Q55" s="1163" t="s">
        <v>1618</v>
      </c>
      <c r="R55" s="371" t="s">
        <v>666</v>
      </c>
    </row>
    <row r="56" spans="1:18" x14ac:dyDescent="0.25">
      <c r="A56" s="298" t="s">
        <v>1736</v>
      </c>
      <c r="B56" s="298" t="s">
        <v>1478</v>
      </c>
      <c r="C56" s="1218">
        <v>42229</v>
      </c>
      <c r="D56" s="260">
        <v>42534</v>
      </c>
      <c r="E56" s="1219">
        <f t="shared" si="4"/>
        <v>-305</v>
      </c>
      <c r="F56" s="1220"/>
      <c r="G56" s="262">
        <v>12000</v>
      </c>
      <c r="H56" s="630"/>
      <c r="I56" s="259">
        <v>12000</v>
      </c>
      <c r="J56" s="259"/>
      <c r="K56" s="259">
        <v>6000</v>
      </c>
      <c r="L56" s="1221"/>
      <c r="M56" s="1215">
        <f t="shared" si="3"/>
        <v>0</v>
      </c>
      <c r="N56" s="1216">
        <f t="shared" si="5"/>
        <v>18000</v>
      </c>
      <c r="O56" s="987" t="s">
        <v>77</v>
      </c>
      <c r="P56" s="1178" t="s">
        <v>666</v>
      </c>
      <c r="Q56" s="1163"/>
      <c r="R56" s="371" t="s">
        <v>666</v>
      </c>
    </row>
    <row r="57" spans="1:18" x14ac:dyDescent="0.25">
      <c r="A57" s="298" t="s">
        <v>1741</v>
      </c>
      <c r="B57" s="298" t="s">
        <v>1742</v>
      </c>
      <c r="C57" s="1218">
        <v>42170</v>
      </c>
      <c r="D57" s="260">
        <v>42353</v>
      </c>
      <c r="E57" s="1219">
        <f t="shared" si="4"/>
        <v>-183</v>
      </c>
      <c r="F57" s="1220"/>
      <c r="G57" s="262">
        <v>12000</v>
      </c>
      <c r="H57" s="630"/>
      <c r="I57" s="259">
        <v>12000</v>
      </c>
      <c r="J57" s="259"/>
      <c r="K57" s="259">
        <v>3600</v>
      </c>
      <c r="L57" s="1221"/>
      <c r="M57" s="1215">
        <f t="shared" si="3"/>
        <v>0</v>
      </c>
      <c r="N57" s="1216">
        <f t="shared" si="5"/>
        <v>15600</v>
      </c>
      <c r="O57" s="987" t="s">
        <v>479</v>
      </c>
      <c r="P57" s="1178" t="s">
        <v>666</v>
      </c>
      <c r="Q57" s="1163"/>
    </row>
    <row r="58" spans="1:18" x14ac:dyDescent="0.25">
      <c r="A58" s="298" t="s">
        <v>1745</v>
      </c>
      <c r="B58" s="298" t="s">
        <v>1746</v>
      </c>
      <c r="C58" s="1218">
        <v>42188</v>
      </c>
      <c r="D58" s="260">
        <v>42372</v>
      </c>
      <c r="E58" s="1219">
        <f t="shared" si="4"/>
        <v>-184</v>
      </c>
      <c r="F58" s="1220"/>
      <c r="G58" s="262">
        <v>10000</v>
      </c>
      <c r="H58" s="630">
        <v>1666</v>
      </c>
      <c r="I58" s="259">
        <v>8334</v>
      </c>
      <c r="J58" s="259">
        <v>500</v>
      </c>
      <c r="K58" s="259">
        <v>2500</v>
      </c>
      <c r="L58" s="1221"/>
      <c r="M58" s="1215">
        <f t="shared" si="3"/>
        <v>2166</v>
      </c>
      <c r="N58" s="1216">
        <f t="shared" si="5"/>
        <v>10834</v>
      </c>
      <c r="O58" s="987">
        <v>42224</v>
      </c>
      <c r="P58" s="1178" t="s">
        <v>666</v>
      </c>
      <c r="Q58" s="1163"/>
    </row>
    <row r="59" spans="1:18" x14ac:dyDescent="0.25">
      <c r="A59" s="298" t="s">
        <v>1184</v>
      </c>
      <c r="B59" s="298" t="s">
        <v>1479</v>
      </c>
      <c r="C59" s="1218">
        <v>42051</v>
      </c>
      <c r="D59" s="260">
        <v>42354</v>
      </c>
      <c r="E59" s="1219">
        <f t="shared" si="4"/>
        <v>-303</v>
      </c>
      <c r="F59" s="1220">
        <f>+E59/30</f>
        <v>-10.1</v>
      </c>
      <c r="G59" s="262">
        <v>20000</v>
      </c>
      <c r="H59" s="630"/>
      <c r="I59" s="259">
        <v>20000</v>
      </c>
      <c r="J59" s="259"/>
      <c r="K59" s="259">
        <v>10000</v>
      </c>
      <c r="L59" s="1221"/>
      <c r="M59" s="1215">
        <f t="shared" si="3"/>
        <v>0</v>
      </c>
      <c r="N59" s="1216">
        <f t="shared" si="5"/>
        <v>30000</v>
      </c>
      <c r="O59" s="987" t="s">
        <v>76</v>
      </c>
      <c r="P59" s="1178" t="s">
        <v>666</v>
      </c>
      <c r="Q59" s="811" t="s">
        <v>1618</v>
      </c>
      <c r="R59" s="371" t="s">
        <v>666</v>
      </c>
    </row>
    <row r="60" spans="1:18" x14ac:dyDescent="0.25">
      <c r="A60" s="298" t="s">
        <v>1455</v>
      </c>
      <c r="B60" s="298" t="s">
        <v>1033</v>
      </c>
      <c r="C60" s="1218">
        <v>41975</v>
      </c>
      <c r="D60" s="260">
        <v>42279</v>
      </c>
      <c r="E60" s="1219">
        <f t="shared" si="4"/>
        <v>-304</v>
      </c>
      <c r="F60" s="1220">
        <f>+E60/30</f>
        <v>-10.133333333333333</v>
      </c>
      <c r="G60" s="262">
        <v>29000</v>
      </c>
      <c r="H60" s="630"/>
      <c r="I60" s="259">
        <v>29000</v>
      </c>
      <c r="J60" s="259"/>
      <c r="K60" s="259">
        <v>14500</v>
      </c>
      <c r="L60" s="1221"/>
      <c r="M60" s="1215">
        <f t="shared" si="3"/>
        <v>0</v>
      </c>
      <c r="N60" s="1216">
        <f t="shared" si="5"/>
        <v>43500</v>
      </c>
      <c r="O60" s="987" t="s">
        <v>76</v>
      </c>
      <c r="P60" s="1178" t="s">
        <v>666</v>
      </c>
      <c r="Q60" s="811" t="s">
        <v>1618</v>
      </c>
      <c r="R60" s="371" t="s">
        <v>666</v>
      </c>
    </row>
    <row r="61" spans="1:18" x14ac:dyDescent="0.25">
      <c r="A61" s="298" t="s">
        <v>1506</v>
      </c>
      <c r="B61" s="304" t="s">
        <v>1507</v>
      </c>
      <c r="C61" s="1218">
        <v>41957</v>
      </c>
      <c r="D61" s="260">
        <v>42049</v>
      </c>
      <c r="E61" s="1219">
        <f t="shared" si="4"/>
        <v>-92</v>
      </c>
      <c r="F61" s="1220">
        <f>+E61/30</f>
        <v>-3.0666666666666669</v>
      </c>
      <c r="G61" s="262">
        <v>25000</v>
      </c>
      <c r="H61" s="630"/>
      <c r="I61" s="259">
        <v>25000</v>
      </c>
      <c r="J61" s="259"/>
      <c r="K61" s="259">
        <v>2500</v>
      </c>
      <c r="L61" s="1221"/>
      <c r="M61" s="1215">
        <f t="shared" si="3"/>
        <v>0</v>
      </c>
      <c r="N61" s="1216">
        <f t="shared" si="5"/>
        <v>27500</v>
      </c>
      <c r="O61" s="987" t="s">
        <v>76</v>
      </c>
      <c r="P61" s="1178" t="s">
        <v>666</v>
      </c>
      <c r="Q61" s="811" t="s">
        <v>1629</v>
      </c>
    </row>
    <row r="62" spans="1:18" x14ac:dyDescent="0.25">
      <c r="A62" s="298" t="s">
        <v>1704</v>
      </c>
      <c r="B62" s="304" t="s">
        <v>1478</v>
      </c>
      <c r="C62" s="1218">
        <v>42220</v>
      </c>
      <c r="D62" s="260">
        <v>42342</v>
      </c>
      <c r="E62" s="1219">
        <f t="shared" si="4"/>
        <v>-122</v>
      </c>
      <c r="F62" s="1220">
        <f>+E62/30</f>
        <v>-4.0666666666666664</v>
      </c>
      <c r="G62" s="262">
        <v>4000</v>
      </c>
      <c r="H62" s="630"/>
      <c r="I62" s="259">
        <v>4000</v>
      </c>
      <c r="J62" s="259"/>
      <c r="K62" s="259">
        <v>800</v>
      </c>
      <c r="L62" s="1221"/>
      <c r="M62" s="1215">
        <f t="shared" si="3"/>
        <v>0</v>
      </c>
      <c r="N62" s="1216">
        <f t="shared" si="5"/>
        <v>4800</v>
      </c>
      <c r="O62" s="987" t="s">
        <v>479</v>
      </c>
      <c r="P62" s="1178" t="s">
        <v>666</v>
      </c>
      <c r="Q62" s="811" t="s">
        <v>1618</v>
      </c>
      <c r="R62" s="371" t="s">
        <v>666</v>
      </c>
    </row>
    <row r="63" spans="1:18" x14ac:dyDescent="0.25">
      <c r="A63" s="298" t="s">
        <v>1236</v>
      </c>
      <c r="B63" s="298" t="s">
        <v>1237</v>
      </c>
      <c r="C63" s="1218">
        <v>42234</v>
      </c>
      <c r="D63" s="260">
        <v>42295</v>
      </c>
      <c r="E63" s="1219">
        <f t="shared" si="4"/>
        <v>-61</v>
      </c>
      <c r="F63" s="1220"/>
      <c r="G63" s="262">
        <v>8000</v>
      </c>
      <c r="H63" s="630"/>
      <c r="I63" s="259">
        <v>8000</v>
      </c>
      <c r="J63" s="259"/>
      <c r="K63" s="259">
        <v>400</v>
      </c>
      <c r="L63" s="1221"/>
      <c r="M63" s="1215">
        <f t="shared" si="3"/>
        <v>0</v>
      </c>
      <c r="N63" s="1216">
        <f t="shared" si="5"/>
        <v>8400</v>
      </c>
      <c r="O63" s="987" t="s">
        <v>1285</v>
      </c>
      <c r="P63" s="1178" t="s">
        <v>666</v>
      </c>
      <c r="Q63" s="811"/>
    </row>
    <row r="64" spans="1:18" x14ac:dyDescent="0.25">
      <c r="A64" s="298" t="s">
        <v>995</v>
      </c>
      <c r="B64" s="298" t="s">
        <v>996</v>
      </c>
      <c r="C64" s="1218">
        <v>41949</v>
      </c>
      <c r="D64" s="260">
        <v>42253</v>
      </c>
      <c r="E64" s="1219">
        <f t="shared" si="4"/>
        <v>-304</v>
      </c>
      <c r="F64" s="1220"/>
      <c r="G64" s="262">
        <v>7000</v>
      </c>
      <c r="H64" s="630"/>
      <c r="I64" s="259">
        <v>7000</v>
      </c>
      <c r="J64" s="259">
        <v>1685</v>
      </c>
      <c r="K64" s="259">
        <v>1815</v>
      </c>
      <c r="L64" s="1221">
        <v>315</v>
      </c>
      <c r="M64" s="1215">
        <f t="shared" si="3"/>
        <v>2000</v>
      </c>
      <c r="N64" s="1216">
        <f t="shared" si="5"/>
        <v>8815</v>
      </c>
      <c r="O64" s="987">
        <v>42146</v>
      </c>
      <c r="P64" s="1178" t="s">
        <v>666</v>
      </c>
      <c r="Q64" s="811" t="s">
        <v>1618</v>
      </c>
      <c r="R64" s="371" t="s">
        <v>666</v>
      </c>
    </row>
    <row r="65" spans="1:18" x14ac:dyDescent="0.25">
      <c r="A65" s="1226" t="s">
        <v>1628</v>
      </c>
      <c r="B65" s="1226" t="s">
        <v>996</v>
      </c>
      <c r="C65" s="1218">
        <v>41929</v>
      </c>
      <c r="D65" s="1227">
        <v>42264</v>
      </c>
      <c r="E65" s="1219">
        <f t="shared" si="4"/>
        <v>-335</v>
      </c>
      <c r="F65" s="1220"/>
      <c r="G65" s="262">
        <v>8000</v>
      </c>
      <c r="H65" s="630">
        <v>2000</v>
      </c>
      <c r="I65" s="259">
        <v>1620</v>
      </c>
      <c r="J65" s="259">
        <v>400</v>
      </c>
      <c r="K65" s="259">
        <v>1200</v>
      </c>
      <c r="L65" s="1221"/>
      <c r="M65" s="1215">
        <f t="shared" si="3"/>
        <v>2400</v>
      </c>
      <c r="N65" s="1216">
        <f t="shared" si="5"/>
        <v>2820</v>
      </c>
      <c r="O65" s="987">
        <v>42173</v>
      </c>
      <c r="P65" s="1178" t="s">
        <v>666</v>
      </c>
      <c r="Q65" s="811" t="s">
        <v>1618</v>
      </c>
      <c r="R65" s="371" t="s">
        <v>666</v>
      </c>
    </row>
    <row r="66" spans="1:18" x14ac:dyDescent="0.25">
      <c r="A66" s="298" t="s">
        <v>1508</v>
      </c>
      <c r="B66" s="298" t="s">
        <v>945</v>
      </c>
      <c r="C66" s="1218">
        <v>42139</v>
      </c>
      <c r="D66" s="260">
        <v>42444</v>
      </c>
      <c r="E66" s="1219">
        <f t="shared" si="4"/>
        <v>-305</v>
      </c>
      <c r="F66" s="1220"/>
      <c r="G66" s="262">
        <v>9000</v>
      </c>
      <c r="H66" s="630"/>
      <c r="I66" s="259">
        <v>9000</v>
      </c>
      <c r="J66" s="259"/>
      <c r="K66" s="259">
        <v>4500</v>
      </c>
      <c r="L66" s="1221"/>
      <c r="M66" s="1215">
        <f t="shared" si="3"/>
        <v>0</v>
      </c>
      <c r="N66" s="1216">
        <f t="shared" si="5"/>
        <v>13500</v>
      </c>
      <c r="O66" s="987" t="s">
        <v>551</v>
      </c>
      <c r="P66" s="1178" t="s">
        <v>666</v>
      </c>
      <c r="Q66" s="813" t="s">
        <v>1618</v>
      </c>
      <c r="R66" s="371" t="s">
        <v>666</v>
      </c>
    </row>
    <row r="67" spans="1:18" x14ac:dyDescent="0.25">
      <c r="A67" s="298" t="s">
        <v>1584</v>
      </c>
      <c r="B67" s="298" t="s">
        <v>719</v>
      </c>
      <c r="C67" s="1218">
        <v>42236</v>
      </c>
      <c r="D67" s="260">
        <v>42024</v>
      </c>
      <c r="E67" s="1219">
        <f t="shared" si="4"/>
        <v>212</v>
      </c>
      <c r="F67" s="1220"/>
      <c r="G67" s="262">
        <v>3000</v>
      </c>
      <c r="H67" s="630"/>
      <c r="I67" s="259">
        <v>3000</v>
      </c>
      <c r="J67" s="259"/>
      <c r="K67" s="259">
        <v>750</v>
      </c>
      <c r="L67" s="1221"/>
      <c r="M67" s="1215">
        <f t="shared" si="3"/>
        <v>0</v>
      </c>
      <c r="N67" s="1216">
        <f t="shared" si="5"/>
        <v>3750</v>
      </c>
      <c r="O67" s="987" t="s">
        <v>479</v>
      </c>
      <c r="P67" s="1178" t="s">
        <v>666</v>
      </c>
      <c r="Q67" s="811" t="s">
        <v>1618</v>
      </c>
      <c r="R67" s="371" t="s">
        <v>666</v>
      </c>
    </row>
    <row r="68" spans="1:18" x14ac:dyDescent="0.25">
      <c r="A68" s="298" t="s">
        <v>1067</v>
      </c>
      <c r="B68" s="298" t="s">
        <v>497</v>
      </c>
      <c r="C68" s="1218">
        <v>41988</v>
      </c>
      <c r="D68" s="260">
        <v>42292</v>
      </c>
      <c r="E68" s="1219">
        <f t="shared" si="4"/>
        <v>-304</v>
      </c>
      <c r="F68" s="1220"/>
      <c r="G68" s="262">
        <v>8000</v>
      </c>
      <c r="H68" s="630"/>
      <c r="I68" s="259">
        <v>8000</v>
      </c>
      <c r="J68" s="259"/>
      <c r="K68" s="259">
        <v>4000</v>
      </c>
      <c r="L68" s="1221"/>
      <c r="M68" s="1215">
        <f t="shared" si="3"/>
        <v>0</v>
      </c>
      <c r="N68" s="1216">
        <f t="shared" si="5"/>
        <v>12000</v>
      </c>
      <c r="O68" s="987" t="s">
        <v>76</v>
      </c>
      <c r="P68" s="1178" t="s">
        <v>666</v>
      </c>
      <c r="Q68" s="811"/>
      <c r="R68" s="371" t="s">
        <v>666</v>
      </c>
    </row>
    <row r="69" spans="1:18" x14ac:dyDescent="0.25">
      <c r="A69" s="298" t="s">
        <v>1582</v>
      </c>
      <c r="B69" s="298" t="s">
        <v>1583</v>
      </c>
      <c r="C69" s="1218">
        <v>42032</v>
      </c>
      <c r="D69" s="260">
        <v>42336</v>
      </c>
      <c r="E69" s="1219">
        <f t="shared" si="4"/>
        <v>-304</v>
      </c>
      <c r="F69" s="1220"/>
      <c r="G69" s="262">
        <v>9000</v>
      </c>
      <c r="H69" s="630">
        <v>965</v>
      </c>
      <c r="I69" s="259">
        <v>7518</v>
      </c>
      <c r="J69" s="259">
        <v>900</v>
      </c>
      <c r="K69" s="259">
        <v>2700</v>
      </c>
      <c r="L69" s="1221">
        <v>135</v>
      </c>
      <c r="M69" s="1215">
        <f t="shared" si="3"/>
        <v>2000</v>
      </c>
      <c r="N69" s="1216">
        <f t="shared" si="5"/>
        <v>10218</v>
      </c>
      <c r="O69" s="987">
        <v>42129</v>
      </c>
      <c r="P69" s="1178" t="s">
        <v>666</v>
      </c>
      <c r="Q69" s="811" t="s">
        <v>1618</v>
      </c>
      <c r="R69" s="371" t="s">
        <v>666</v>
      </c>
    </row>
    <row r="70" spans="1:18" x14ac:dyDescent="0.25">
      <c r="A70" s="298" t="s">
        <v>1395</v>
      </c>
      <c r="B70" s="298" t="s">
        <v>810</v>
      </c>
      <c r="C70" s="1218">
        <v>41855</v>
      </c>
      <c r="D70" s="260">
        <v>42251</v>
      </c>
      <c r="E70" s="1219">
        <f t="shared" si="4"/>
        <v>-396</v>
      </c>
      <c r="F70" s="1220"/>
      <c r="G70" s="262">
        <v>34000</v>
      </c>
      <c r="H70" s="630"/>
      <c r="I70" s="259">
        <v>34000</v>
      </c>
      <c r="J70" s="259"/>
      <c r="K70" s="259">
        <v>1700</v>
      </c>
      <c r="L70" s="1221"/>
      <c r="M70" s="1215">
        <f t="shared" si="3"/>
        <v>0</v>
      </c>
      <c r="N70" s="1216">
        <f t="shared" si="5"/>
        <v>35700</v>
      </c>
      <c r="O70" s="987" t="s">
        <v>479</v>
      </c>
      <c r="P70" s="1178" t="s">
        <v>666</v>
      </c>
      <c r="Q70" s="811"/>
      <c r="R70" s="371" t="s">
        <v>666</v>
      </c>
    </row>
    <row r="71" spans="1:18" x14ac:dyDescent="0.25">
      <c r="A71" s="298" t="s">
        <v>1747</v>
      </c>
      <c r="B71" s="298" t="s">
        <v>1478</v>
      </c>
      <c r="C71" s="1218">
        <v>42185</v>
      </c>
      <c r="D71" s="260">
        <v>42338</v>
      </c>
      <c r="E71" s="1219">
        <f t="shared" si="4"/>
        <v>-153</v>
      </c>
      <c r="F71" s="1220"/>
      <c r="G71" s="262">
        <v>40000</v>
      </c>
      <c r="H71" s="630">
        <v>8000</v>
      </c>
      <c r="I71" s="259">
        <v>32000</v>
      </c>
      <c r="J71" s="259">
        <v>2000</v>
      </c>
      <c r="K71" s="259">
        <v>8000</v>
      </c>
      <c r="L71" s="1221"/>
      <c r="M71" s="1215">
        <f t="shared" si="3"/>
        <v>10000</v>
      </c>
      <c r="N71" s="1216">
        <f t="shared" si="5"/>
        <v>40000</v>
      </c>
      <c r="O71" s="987">
        <v>42219</v>
      </c>
      <c r="P71" s="1178" t="s">
        <v>666</v>
      </c>
      <c r="Q71" s="811" t="s">
        <v>1633</v>
      </c>
    </row>
    <row r="72" spans="1:18" x14ac:dyDescent="0.25">
      <c r="A72" s="298" t="s">
        <v>1747</v>
      </c>
      <c r="B72" s="298" t="s">
        <v>1478</v>
      </c>
      <c r="C72" s="1218">
        <v>42236</v>
      </c>
      <c r="D72" s="260">
        <v>42328</v>
      </c>
      <c r="E72" s="1219">
        <f t="shared" si="4"/>
        <v>-92</v>
      </c>
      <c r="F72" s="1220"/>
      <c r="G72" s="262">
        <v>30000</v>
      </c>
      <c r="H72" s="630"/>
      <c r="I72" s="259">
        <v>30000</v>
      </c>
      <c r="J72" s="259"/>
      <c r="K72" s="259">
        <v>4500</v>
      </c>
      <c r="L72" s="1221"/>
      <c r="M72" s="1215">
        <f t="shared" si="3"/>
        <v>0</v>
      </c>
      <c r="N72" s="1216">
        <f t="shared" si="5"/>
        <v>34500</v>
      </c>
      <c r="O72" s="987" t="s">
        <v>1500</v>
      </c>
      <c r="P72" s="1178" t="s">
        <v>666</v>
      </c>
      <c r="Q72" s="811"/>
    </row>
    <row r="73" spans="1:18" x14ac:dyDescent="0.25">
      <c r="A73" s="298" t="s">
        <v>1748</v>
      </c>
      <c r="B73" s="298" t="s">
        <v>1749</v>
      </c>
      <c r="C73" s="1218">
        <v>42177</v>
      </c>
      <c r="D73" s="260">
        <v>42299</v>
      </c>
      <c r="E73" s="1219">
        <f t="shared" si="4"/>
        <v>-122</v>
      </c>
      <c r="F73" s="1220"/>
      <c r="G73" s="262">
        <v>40000</v>
      </c>
      <c r="H73" s="630"/>
      <c r="I73" s="259">
        <v>40000</v>
      </c>
      <c r="J73" s="259"/>
      <c r="K73" s="259">
        <v>8000</v>
      </c>
      <c r="L73" s="1221"/>
      <c r="M73" s="1215">
        <f t="shared" si="3"/>
        <v>0</v>
      </c>
      <c r="N73" s="1216">
        <f t="shared" si="5"/>
        <v>48000</v>
      </c>
      <c r="O73" s="987" t="s">
        <v>76</v>
      </c>
      <c r="P73" s="1178" t="s">
        <v>666</v>
      </c>
      <c r="Q73" s="811" t="s">
        <v>1636</v>
      </c>
      <c r="R73" s="371" t="s">
        <v>666</v>
      </c>
    </row>
    <row r="74" spans="1:18" x14ac:dyDescent="0.25">
      <c r="A74" s="298" t="s">
        <v>1329</v>
      </c>
      <c r="B74" s="298" t="s">
        <v>865</v>
      </c>
      <c r="C74" s="1218">
        <v>42215</v>
      </c>
      <c r="D74" s="260">
        <v>42520</v>
      </c>
      <c r="E74" s="1219">
        <f t="shared" si="4"/>
        <v>-305</v>
      </c>
      <c r="F74" s="1220"/>
      <c r="G74" s="262">
        <v>15000</v>
      </c>
      <c r="H74" s="630">
        <v>860</v>
      </c>
      <c r="I74" s="259">
        <v>14140</v>
      </c>
      <c r="J74" s="259">
        <v>200</v>
      </c>
      <c r="K74" s="259">
        <v>7300</v>
      </c>
      <c r="L74" s="1221"/>
      <c r="M74" s="1215">
        <f t="shared" si="3"/>
        <v>1060</v>
      </c>
      <c r="N74" s="1216">
        <f t="shared" si="5"/>
        <v>21440</v>
      </c>
      <c r="O74" s="987">
        <v>42240</v>
      </c>
      <c r="P74" s="1178" t="s">
        <v>666</v>
      </c>
      <c r="Q74" s="811"/>
    </row>
    <row r="75" spans="1:18" x14ac:dyDescent="0.25">
      <c r="A75" s="298" t="s">
        <v>786</v>
      </c>
      <c r="B75" s="298" t="s">
        <v>461</v>
      </c>
      <c r="C75" s="1218">
        <v>42209</v>
      </c>
      <c r="D75" s="260">
        <v>42514</v>
      </c>
      <c r="E75" s="1219">
        <f t="shared" si="4"/>
        <v>-305</v>
      </c>
      <c r="F75" s="1220"/>
      <c r="G75" s="262">
        <v>20000</v>
      </c>
      <c r="H75" s="630"/>
      <c r="I75" s="259">
        <v>20000</v>
      </c>
      <c r="J75" s="259"/>
      <c r="K75" s="259">
        <v>10000</v>
      </c>
      <c r="L75" s="1221"/>
      <c r="M75" s="1215">
        <f t="shared" si="3"/>
        <v>0</v>
      </c>
      <c r="N75" s="1216">
        <f t="shared" si="5"/>
        <v>30000</v>
      </c>
      <c r="O75" s="987" t="s">
        <v>479</v>
      </c>
      <c r="P75" s="1178" t="s">
        <v>666</v>
      </c>
      <c r="Q75" s="811"/>
    </row>
    <row r="76" spans="1:18" x14ac:dyDescent="0.25">
      <c r="A76" s="298" t="s">
        <v>1738</v>
      </c>
      <c r="B76" s="298" t="s">
        <v>937</v>
      </c>
      <c r="C76" s="1218">
        <v>42223</v>
      </c>
      <c r="D76" s="260">
        <v>42345</v>
      </c>
      <c r="E76" s="1219">
        <f t="shared" si="4"/>
        <v>-122</v>
      </c>
      <c r="F76" s="1220"/>
      <c r="G76" s="262">
        <v>30000</v>
      </c>
      <c r="H76" s="630"/>
      <c r="I76" s="259">
        <v>30000</v>
      </c>
      <c r="J76" s="259"/>
      <c r="K76" s="259">
        <v>1500</v>
      </c>
      <c r="L76" s="1221"/>
      <c r="M76" s="1215">
        <f t="shared" si="3"/>
        <v>0</v>
      </c>
      <c r="N76" s="1216">
        <f t="shared" si="5"/>
        <v>31500</v>
      </c>
      <c r="O76" s="987" t="s">
        <v>859</v>
      </c>
      <c r="P76" s="1178" t="s">
        <v>666</v>
      </c>
      <c r="Q76" s="811" t="s">
        <v>1626</v>
      </c>
      <c r="R76" s="371" t="s">
        <v>666</v>
      </c>
    </row>
    <row r="77" spans="1:18" x14ac:dyDescent="0.25">
      <c r="A77" s="298" t="s">
        <v>1737</v>
      </c>
      <c r="B77" s="298" t="s">
        <v>1353</v>
      </c>
      <c r="C77" s="1218">
        <v>42214</v>
      </c>
      <c r="D77" s="260">
        <v>42245</v>
      </c>
      <c r="E77" s="1219">
        <f t="shared" si="4"/>
        <v>-31</v>
      </c>
      <c r="F77" s="1220"/>
      <c r="G77" s="262">
        <v>25000</v>
      </c>
      <c r="H77" s="630"/>
      <c r="I77" s="259">
        <v>25000</v>
      </c>
      <c r="J77" s="259"/>
      <c r="K77" s="259">
        <v>1250</v>
      </c>
      <c r="L77" s="1221"/>
      <c r="M77" s="1215">
        <f t="shared" si="3"/>
        <v>0</v>
      </c>
      <c r="N77" s="1216">
        <f t="shared" si="5"/>
        <v>26250</v>
      </c>
      <c r="O77" s="987" t="s">
        <v>479</v>
      </c>
      <c r="P77" s="1178" t="s">
        <v>666</v>
      </c>
      <c r="Q77" s="811"/>
    </row>
    <row r="78" spans="1:18" x14ac:dyDescent="0.25">
      <c r="A78" s="298" t="s">
        <v>645</v>
      </c>
      <c r="B78" s="298" t="s">
        <v>532</v>
      </c>
      <c r="C78" s="1218">
        <v>42109</v>
      </c>
      <c r="D78" s="260">
        <v>42291</v>
      </c>
      <c r="E78" s="1219">
        <f t="shared" si="4"/>
        <v>-182</v>
      </c>
      <c r="F78" s="1220"/>
      <c r="G78" s="262">
        <v>15000</v>
      </c>
      <c r="H78" s="630">
        <v>500</v>
      </c>
      <c r="I78" s="259">
        <v>14500</v>
      </c>
      <c r="J78" s="259">
        <v>1500</v>
      </c>
      <c r="K78" s="259">
        <v>3000</v>
      </c>
      <c r="L78" s="1221"/>
      <c r="M78" s="1215">
        <f t="shared" si="3"/>
        <v>2000</v>
      </c>
      <c r="N78" s="1216">
        <f t="shared" si="5"/>
        <v>17500</v>
      </c>
      <c r="O78" s="987">
        <v>42193</v>
      </c>
      <c r="P78" s="1178" t="s">
        <v>666</v>
      </c>
      <c r="Q78" s="811"/>
    </row>
    <row r="79" spans="1:18" x14ac:dyDescent="0.25">
      <c r="A79" s="298" t="s">
        <v>868</v>
      </c>
      <c r="B79" s="298" t="s">
        <v>858</v>
      </c>
      <c r="C79" s="1218">
        <v>42153</v>
      </c>
      <c r="D79" s="260">
        <v>42317</v>
      </c>
      <c r="E79" s="1219">
        <f t="shared" si="4"/>
        <v>-164</v>
      </c>
      <c r="F79" s="1220"/>
      <c r="G79" s="262">
        <v>5000</v>
      </c>
      <c r="H79" s="630">
        <v>630</v>
      </c>
      <c r="I79" s="259">
        <v>2970</v>
      </c>
      <c r="J79" s="259">
        <v>170</v>
      </c>
      <c r="K79" s="259">
        <v>880</v>
      </c>
      <c r="L79" s="1221"/>
      <c r="M79" s="1215">
        <f t="shared" si="3"/>
        <v>800</v>
      </c>
      <c r="N79" s="1216">
        <f t="shared" si="5"/>
        <v>3850</v>
      </c>
      <c r="O79" s="987">
        <v>42233</v>
      </c>
      <c r="P79" s="1178" t="s">
        <v>666</v>
      </c>
      <c r="Q79" s="811"/>
    </row>
    <row r="80" spans="1:18" x14ac:dyDescent="0.25">
      <c r="A80" s="298" t="s">
        <v>1494</v>
      </c>
      <c r="B80" s="298" t="s">
        <v>1495</v>
      </c>
      <c r="C80" s="1218">
        <v>42200</v>
      </c>
      <c r="D80" s="260">
        <v>42505</v>
      </c>
      <c r="E80" s="1219"/>
      <c r="F80" s="1220"/>
      <c r="G80" s="262">
        <v>12000</v>
      </c>
      <c r="H80" s="630">
        <v>1000</v>
      </c>
      <c r="I80" s="259">
        <v>10510</v>
      </c>
      <c r="J80" s="259">
        <v>220</v>
      </c>
      <c r="K80" s="259">
        <v>5670</v>
      </c>
      <c r="L80" s="1221"/>
      <c r="M80" s="1215">
        <f t="shared" ref="M80:M110" si="6">+L80+J80+H80</f>
        <v>1220</v>
      </c>
      <c r="N80" s="1216">
        <f t="shared" si="5"/>
        <v>16180</v>
      </c>
      <c r="O80" s="987">
        <v>42238</v>
      </c>
      <c r="P80" s="1178" t="s">
        <v>666</v>
      </c>
      <c r="Q80" s="811"/>
      <c r="R80" s="371" t="s">
        <v>666</v>
      </c>
    </row>
    <row r="81" spans="1:18" x14ac:dyDescent="0.25">
      <c r="A81" s="298" t="s">
        <v>536</v>
      </c>
      <c r="B81" s="298" t="s">
        <v>421</v>
      </c>
      <c r="C81" s="1218">
        <v>42069</v>
      </c>
      <c r="D81" s="260">
        <v>42375</v>
      </c>
      <c r="E81" s="1219">
        <f>+C81-D81</f>
        <v>-306</v>
      </c>
      <c r="F81" s="1220">
        <f>+E81/30</f>
        <v>-10.199999999999999</v>
      </c>
      <c r="G81" s="262">
        <v>8000</v>
      </c>
      <c r="H81" s="630">
        <v>1500</v>
      </c>
      <c r="I81" s="259">
        <v>6500</v>
      </c>
      <c r="J81" s="259">
        <v>500</v>
      </c>
      <c r="K81" s="259">
        <v>3500</v>
      </c>
      <c r="L81" s="1221"/>
      <c r="M81" s="1215">
        <f t="shared" si="6"/>
        <v>2000</v>
      </c>
      <c r="N81" s="1216">
        <f t="shared" ref="N81:N111" si="7">+I81+K81</f>
        <v>10000</v>
      </c>
      <c r="O81" s="987">
        <v>42220</v>
      </c>
      <c r="P81" s="1178" t="s">
        <v>666</v>
      </c>
      <c r="Q81" s="811"/>
    </row>
    <row r="82" spans="1:18" x14ac:dyDescent="0.25">
      <c r="A82" s="298" t="s">
        <v>1510</v>
      </c>
      <c r="B82" s="298" t="s">
        <v>1047</v>
      </c>
      <c r="C82" s="1218">
        <v>42121</v>
      </c>
      <c r="D82" s="260">
        <v>42427</v>
      </c>
      <c r="E82" s="1219"/>
      <c r="F82" s="1220"/>
      <c r="G82" s="262">
        <v>18000</v>
      </c>
      <c r="H82" s="630">
        <v>1210</v>
      </c>
      <c r="I82" s="259">
        <v>10735</v>
      </c>
      <c r="J82" s="259">
        <v>565</v>
      </c>
      <c r="K82" s="259">
        <v>6615</v>
      </c>
      <c r="L82" s="1221"/>
      <c r="M82" s="1215">
        <f t="shared" si="6"/>
        <v>1775</v>
      </c>
      <c r="N82" s="1216">
        <f t="shared" si="7"/>
        <v>17350</v>
      </c>
      <c r="O82" s="987">
        <v>42238</v>
      </c>
      <c r="P82" s="1178" t="s">
        <v>666</v>
      </c>
      <c r="Q82" s="811" t="s">
        <v>1611</v>
      </c>
      <c r="R82" s="371" t="s">
        <v>666</v>
      </c>
    </row>
    <row r="83" spans="1:18" x14ac:dyDescent="0.25">
      <c r="A83" s="298" t="s">
        <v>1461</v>
      </c>
      <c r="B83" s="298" t="s">
        <v>398</v>
      </c>
      <c r="C83" s="1218">
        <v>42150</v>
      </c>
      <c r="D83" s="260">
        <v>42426</v>
      </c>
      <c r="E83" s="1219"/>
      <c r="F83" s="1220"/>
      <c r="G83" s="262">
        <v>25000</v>
      </c>
      <c r="H83" s="630"/>
      <c r="I83" s="259">
        <v>25000</v>
      </c>
      <c r="J83" s="259"/>
      <c r="K83" s="259">
        <v>6250</v>
      </c>
      <c r="L83" s="1221"/>
      <c r="M83" s="1215">
        <f t="shared" si="6"/>
        <v>0</v>
      </c>
      <c r="N83" s="1216">
        <f t="shared" si="7"/>
        <v>31250</v>
      </c>
      <c r="O83" s="987" t="s">
        <v>862</v>
      </c>
      <c r="P83" s="1178" t="s">
        <v>666</v>
      </c>
      <c r="Q83" s="811" t="s">
        <v>1618</v>
      </c>
    </row>
    <row r="84" spans="1:18" x14ac:dyDescent="0.25">
      <c r="A84" s="298" t="s">
        <v>1837</v>
      </c>
      <c r="B84" s="298" t="s">
        <v>719</v>
      </c>
      <c r="C84" s="1218">
        <v>42199</v>
      </c>
      <c r="D84" s="260">
        <v>42312</v>
      </c>
      <c r="E84" s="1219"/>
      <c r="F84" s="1220"/>
      <c r="G84" s="262">
        <v>20000</v>
      </c>
      <c r="H84" s="630">
        <v>3850</v>
      </c>
      <c r="I84" s="259">
        <v>13550</v>
      </c>
      <c r="J84" s="259">
        <v>950</v>
      </c>
      <c r="K84" s="259">
        <v>2450</v>
      </c>
      <c r="L84" s="1221"/>
      <c r="M84" s="1215">
        <f t="shared" si="6"/>
        <v>4800</v>
      </c>
      <c r="N84" s="1216">
        <f t="shared" si="7"/>
        <v>16000</v>
      </c>
      <c r="O84" s="987">
        <v>42240</v>
      </c>
      <c r="P84" s="1178" t="s">
        <v>666</v>
      </c>
      <c r="Q84" s="811"/>
    </row>
    <row r="85" spans="1:18" x14ac:dyDescent="0.25">
      <c r="A85" s="298" t="s">
        <v>1373</v>
      </c>
      <c r="B85" s="298" t="s">
        <v>461</v>
      </c>
      <c r="C85" s="1218">
        <v>42150</v>
      </c>
      <c r="D85" s="260">
        <v>42273</v>
      </c>
      <c r="E85" s="1219"/>
      <c r="F85" s="1220"/>
      <c r="G85" s="262">
        <v>8000</v>
      </c>
      <c r="H85" s="630">
        <v>120</v>
      </c>
      <c r="I85" s="259">
        <v>7410</v>
      </c>
      <c r="J85" s="259">
        <v>30</v>
      </c>
      <c r="K85" s="259">
        <v>1440</v>
      </c>
      <c r="L85" s="1221"/>
      <c r="M85" s="1215">
        <f t="shared" si="6"/>
        <v>150</v>
      </c>
      <c r="N85" s="1216">
        <f t="shared" si="7"/>
        <v>8850</v>
      </c>
      <c r="O85" s="987">
        <v>42186</v>
      </c>
      <c r="P85" s="1178" t="s">
        <v>666</v>
      </c>
      <c r="Q85" s="813" t="s">
        <v>1630</v>
      </c>
    </row>
    <row r="86" spans="1:18" x14ac:dyDescent="0.25">
      <c r="A86" s="298" t="s">
        <v>769</v>
      </c>
      <c r="B86" s="298" t="s">
        <v>18</v>
      </c>
      <c r="C86" s="1218">
        <v>42031</v>
      </c>
      <c r="D86" s="260">
        <v>42335</v>
      </c>
      <c r="E86" s="1219">
        <f t="shared" ref="E86:E96" si="8">+C86-D86</f>
        <v>-304</v>
      </c>
      <c r="F86" s="1220"/>
      <c r="G86" s="262">
        <v>10000</v>
      </c>
      <c r="H86" s="630">
        <v>2500</v>
      </c>
      <c r="I86" s="259">
        <v>7500</v>
      </c>
      <c r="J86" s="259">
        <v>500</v>
      </c>
      <c r="K86" s="259">
        <v>4500</v>
      </c>
      <c r="L86" s="1221"/>
      <c r="M86" s="1215">
        <f t="shared" si="6"/>
        <v>3000</v>
      </c>
      <c r="N86" s="1216">
        <f t="shared" si="7"/>
        <v>12000</v>
      </c>
      <c r="O86" s="987">
        <v>42163</v>
      </c>
      <c r="P86" s="1178" t="s">
        <v>666</v>
      </c>
      <c r="Q86" s="813"/>
      <c r="R86" s="371" t="s">
        <v>666</v>
      </c>
    </row>
    <row r="87" spans="1:18" x14ac:dyDescent="0.25">
      <c r="A87" s="298" t="s">
        <v>1632</v>
      </c>
      <c r="B87" s="298" t="s">
        <v>797</v>
      </c>
      <c r="C87" s="1218">
        <v>41999</v>
      </c>
      <c r="D87" s="260">
        <v>42303</v>
      </c>
      <c r="E87" s="1219">
        <f t="shared" si="8"/>
        <v>-304</v>
      </c>
      <c r="F87" s="1220"/>
      <c r="G87" s="262">
        <v>18000</v>
      </c>
      <c r="H87" s="630">
        <v>1800</v>
      </c>
      <c r="I87" s="259">
        <v>7299</v>
      </c>
      <c r="J87" s="259">
        <v>900</v>
      </c>
      <c r="K87" s="259">
        <v>3600</v>
      </c>
      <c r="L87" s="1221"/>
      <c r="M87" s="1215">
        <f t="shared" si="6"/>
        <v>2700</v>
      </c>
      <c r="N87" s="1216">
        <f t="shared" si="7"/>
        <v>10899</v>
      </c>
      <c r="O87" s="987">
        <v>42229</v>
      </c>
      <c r="P87" s="1178" t="s">
        <v>666</v>
      </c>
      <c r="Q87" s="813" t="s">
        <v>1618</v>
      </c>
      <c r="R87" s="371" t="s">
        <v>666</v>
      </c>
    </row>
    <row r="88" spans="1:18" x14ac:dyDescent="0.25">
      <c r="A88" s="298" t="s">
        <v>997</v>
      </c>
      <c r="B88" s="298" t="s">
        <v>998</v>
      </c>
      <c r="C88" s="1218">
        <v>42129</v>
      </c>
      <c r="D88" s="260">
        <v>42434</v>
      </c>
      <c r="E88" s="1219">
        <f t="shared" si="8"/>
        <v>-305</v>
      </c>
      <c r="F88" s="1220"/>
      <c r="G88" s="262">
        <v>20000</v>
      </c>
      <c r="H88" s="630"/>
      <c r="I88" s="259">
        <v>20000</v>
      </c>
      <c r="J88" s="259"/>
      <c r="K88" s="259">
        <v>8000</v>
      </c>
      <c r="L88" s="1221"/>
      <c r="M88" s="1215">
        <f t="shared" si="6"/>
        <v>0</v>
      </c>
      <c r="N88" s="1216">
        <f t="shared" si="7"/>
        <v>28000</v>
      </c>
      <c r="O88" s="987" t="s">
        <v>854</v>
      </c>
      <c r="P88" s="1178" t="s">
        <v>666</v>
      </c>
      <c r="Q88" s="813" t="s">
        <v>1623</v>
      </c>
      <c r="R88" s="371" t="s">
        <v>666</v>
      </c>
    </row>
    <row r="89" spans="1:18" x14ac:dyDescent="0.25">
      <c r="A89" s="298" t="s">
        <v>951</v>
      </c>
      <c r="B89" s="298" t="s">
        <v>561</v>
      </c>
      <c r="C89" s="1218">
        <v>42011</v>
      </c>
      <c r="D89" s="260">
        <v>42315</v>
      </c>
      <c r="E89" s="1219">
        <f t="shared" si="8"/>
        <v>-304</v>
      </c>
      <c r="F89" s="1220"/>
      <c r="G89" s="262">
        <v>6000</v>
      </c>
      <c r="H89" s="630">
        <v>600</v>
      </c>
      <c r="I89" s="259">
        <v>1800</v>
      </c>
      <c r="J89" s="259">
        <v>300</v>
      </c>
      <c r="K89" s="259">
        <v>900</v>
      </c>
      <c r="L89" s="1221"/>
      <c r="M89" s="1215">
        <f t="shared" si="6"/>
        <v>900</v>
      </c>
      <c r="N89" s="1216">
        <f t="shared" si="7"/>
        <v>2700</v>
      </c>
      <c r="O89" s="987">
        <v>42227</v>
      </c>
      <c r="P89" s="1178" t="s">
        <v>666</v>
      </c>
      <c r="Q89" s="813" t="s">
        <v>1618</v>
      </c>
    </row>
    <row r="90" spans="1:18" x14ac:dyDescent="0.25">
      <c r="A90" s="298" t="s">
        <v>1753</v>
      </c>
      <c r="B90" s="298" t="s">
        <v>1144</v>
      </c>
      <c r="C90" s="1218">
        <v>42160</v>
      </c>
      <c r="D90" s="260">
        <v>42252</v>
      </c>
      <c r="E90" s="1219">
        <f t="shared" si="8"/>
        <v>-92</v>
      </c>
      <c r="F90" s="1220"/>
      <c r="G90" s="262">
        <v>25000</v>
      </c>
      <c r="H90" s="630"/>
      <c r="I90" s="259">
        <v>25000</v>
      </c>
      <c r="J90" s="259"/>
      <c r="K90" s="259">
        <v>1250</v>
      </c>
      <c r="L90" s="1221"/>
      <c r="M90" s="1215">
        <f t="shared" si="6"/>
        <v>0</v>
      </c>
      <c r="N90" s="1216">
        <f t="shared" si="7"/>
        <v>26250</v>
      </c>
      <c r="O90" s="987" t="s">
        <v>1754</v>
      </c>
      <c r="P90" s="1178" t="s">
        <v>666</v>
      </c>
      <c r="Q90" s="813"/>
      <c r="R90" s="371" t="s">
        <v>666</v>
      </c>
    </row>
    <row r="91" spans="1:18" x14ac:dyDescent="0.25">
      <c r="A91" s="298" t="s">
        <v>1757</v>
      </c>
      <c r="B91" s="298" t="s">
        <v>1758</v>
      </c>
      <c r="C91" s="1218">
        <v>42226</v>
      </c>
      <c r="D91" s="260">
        <v>42379</v>
      </c>
      <c r="E91" s="1219">
        <f t="shared" si="8"/>
        <v>-153</v>
      </c>
      <c r="F91" s="1220"/>
      <c r="G91" s="262">
        <v>39000</v>
      </c>
      <c r="H91" s="630"/>
      <c r="I91" s="259">
        <v>39000</v>
      </c>
      <c r="J91" s="259"/>
      <c r="K91" s="259">
        <v>1950</v>
      </c>
      <c r="L91" s="1221"/>
      <c r="M91" s="1215">
        <f t="shared" si="6"/>
        <v>0</v>
      </c>
      <c r="N91" s="1216">
        <f t="shared" si="7"/>
        <v>40950</v>
      </c>
      <c r="O91" s="987" t="s">
        <v>862</v>
      </c>
      <c r="P91" s="1178" t="s">
        <v>666</v>
      </c>
      <c r="Q91" s="813"/>
      <c r="R91" s="371" t="s">
        <v>666</v>
      </c>
    </row>
    <row r="92" spans="1:18" x14ac:dyDescent="0.25">
      <c r="A92" s="298" t="s">
        <v>1462</v>
      </c>
      <c r="B92" s="298" t="s">
        <v>865</v>
      </c>
      <c r="C92" s="1218">
        <v>42216</v>
      </c>
      <c r="D92" s="260">
        <v>42520</v>
      </c>
      <c r="E92" s="1219">
        <f t="shared" si="8"/>
        <v>-304</v>
      </c>
      <c r="F92" s="1220"/>
      <c r="G92" s="262">
        <v>10000</v>
      </c>
      <c r="H92" s="630"/>
      <c r="I92" s="259">
        <v>10000</v>
      </c>
      <c r="J92" s="259"/>
      <c r="K92" s="259">
        <v>5000</v>
      </c>
      <c r="L92" s="1221"/>
      <c r="M92" s="1215">
        <f t="shared" si="6"/>
        <v>0</v>
      </c>
      <c r="N92" s="1216">
        <f t="shared" si="7"/>
        <v>15000</v>
      </c>
      <c r="O92" s="987" t="s">
        <v>479</v>
      </c>
      <c r="P92" s="1178" t="s">
        <v>666</v>
      </c>
      <c r="Q92" s="813"/>
      <c r="R92" s="371" t="s">
        <v>666</v>
      </c>
    </row>
    <row r="93" spans="1:18" x14ac:dyDescent="0.25">
      <c r="A93" s="298" t="s">
        <v>429</v>
      </c>
      <c r="B93" s="298" t="s">
        <v>8</v>
      </c>
      <c r="C93" s="1218">
        <v>41940</v>
      </c>
      <c r="D93" s="260">
        <v>42244</v>
      </c>
      <c r="E93" s="1219">
        <f t="shared" si="8"/>
        <v>-304</v>
      </c>
      <c r="F93" s="1220">
        <f>+E93/30</f>
        <v>-10.133333333333333</v>
      </c>
      <c r="G93" s="262">
        <v>25000</v>
      </c>
      <c r="H93" s="630">
        <v>1810</v>
      </c>
      <c r="I93" s="259">
        <v>9200</v>
      </c>
      <c r="J93" s="259">
        <v>440</v>
      </c>
      <c r="K93" s="259">
        <v>7100</v>
      </c>
      <c r="L93" s="1221"/>
      <c r="M93" s="1215">
        <f t="shared" si="6"/>
        <v>2250</v>
      </c>
      <c r="N93" s="1216">
        <f t="shared" si="7"/>
        <v>16300</v>
      </c>
      <c r="O93" s="987">
        <v>42240</v>
      </c>
      <c r="P93" s="1178" t="s">
        <v>666</v>
      </c>
      <c r="Q93" s="813" t="s">
        <v>1618</v>
      </c>
    </row>
    <row r="94" spans="1:18" x14ac:dyDescent="0.25">
      <c r="A94" s="298" t="s">
        <v>1639</v>
      </c>
      <c r="B94" s="298" t="s">
        <v>1485</v>
      </c>
      <c r="C94" s="1218">
        <v>41970</v>
      </c>
      <c r="D94" s="260">
        <v>42274</v>
      </c>
      <c r="E94" s="1219">
        <f t="shared" si="8"/>
        <v>-304</v>
      </c>
      <c r="F94" s="1220">
        <f>+E94/30</f>
        <v>-10.133333333333333</v>
      </c>
      <c r="G94" s="262">
        <v>20000</v>
      </c>
      <c r="H94" s="630">
        <v>2000</v>
      </c>
      <c r="I94" s="259">
        <v>4000</v>
      </c>
      <c r="J94" s="259">
        <v>1000</v>
      </c>
      <c r="K94" s="259">
        <v>2000</v>
      </c>
      <c r="L94" s="1221"/>
      <c r="M94" s="1215">
        <f t="shared" si="6"/>
        <v>3000</v>
      </c>
      <c r="N94" s="1216">
        <f t="shared" si="7"/>
        <v>6000</v>
      </c>
      <c r="O94" s="1228">
        <v>42233</v>
      </c>
      <c r="P94" s="1178" t="s">
        <v>666</v>
      </c>
      <c r="Q94" s="813"/>
    </row>
    <row r="95" spans="1:18" x14ac:dyDescent="0.25">
      <c r="A95" s="298" t="s">
        <v>1833</v>
      </c>
      <c r="B95" s="298" t="s">
        <v>480</v>
      </c>
      <c r="C95" s="1218">
        <v>42180</v>
      </c>
      <c r="D95" s="260">
        <v>42363</v>
      </c>
      <c r="E95" s="1219">
        <f t="shared" si="8"/>
        <v>-183</v>
      </c>
      <c r="F95" s="1220"/>
      <c r="G95" s="262">
        <v>15000</v>
      </c>
      <c r="H95" s="630">
        <v>1750</v>
      </c>
      <c r="I95" s="259">
        <v>13250</v>
      </c>
      <c r="J95" s="259">
        <v>550</v>
      </c>
      <c r="K95" s="259">
        <v>3950</v>
      </c>
      <c r="L95" s="1221"/>
      <c r="M95" s="1215">
        <f t="shared" si="6"/>
        <v>2300</v>
      </c>
      <c r="N95" s="1216">
        <f t="shared" si="7"/>
        <v>17200</v>
      </c>
      <c r="O95" s="987">
        <v>42238</v>
      </c>
      <c r="P95" s="1178" t="s">
        <v>666</v>
      </c>
      <c r="Q95" s="811"/>
      <c r="R95" s="371" t="s">
        <v>666</v>
      </c>
    </row>
    <row r="96" spans="1:18" x14ac:dyDescent="0.25">
      <c r="A96" s="298" t="s">
        <v>1759</v>
      </c>
      <c r="B96" s="298" t="s">
        <v>398</v>
      </c>
      <c r="C96" s="1218">
        <v>42177</v>
      </c>
      <c r="D96" s="260">
        <v>42482</v>
      </c>
      <c r="E96" s="1219">
        <f t="shared" si="8"/>
        <v>-305</v>
      </c>
      <c r="F96" s="1220">
        <f>+E96/30</f>
        <v>-10.166666666666666</v>
      </c>
      <c r="G96" s="262">
        <v>10000</v>
      </c>
      <c r="H96" s="630">
        <v>1000</v>
      </c>
      <c r="I96" s="259">
        <v>9000</v>
      </c>
      <c r="J96" s="259">
        <v>500</v>
      </c>
      <c r="K96" s="259">
        <v>4500</v>
      </c>
      <c r="L96" s="1221"/>
      <c r="M96" s="1215">
        <f t="shared" si="6"/>
        <v>1500</v>
      </c>
      <c r="N96" s="1216">
        <f t="shared" si="7"/>
        <v>13500</v>
      </c>
      <c r="O96" s="1228">
        <v>42222</v>
      </c>
      <c r="P96" s="1178" t="s">
        <v>666</v>
      </c>
      <c r="Q96" s="811"/>
    </row>
    <row r="97" spans="1:18" ht="15.75" customHeight="1" x14ac:dyDescent="0.25">
      <c r="A97" s="298" t="s">
        <v>1755</v>
      </c>
      <c r="B97" s="304" t="s">
        <v>1756</v>
      </c>
      <c r="C97" s="1218">
        <v>42170</v>
      </c>
      <c r="D97" s="1229">
        <v>42292</v>
      </c>
      <c r="E97" s="1219"/>
      <c r="F97" s="1220"/>
      <c r="G97" s="262">
        <v>5000</v>
      </c>
      <c r="H97" s="630">
        <v>1500</v>
      </c>
      <c r="I97" s="259">
        <v>3500</v>
      </c>
      <c r="J97" s="259">
        <v>500</v>
      </c>
      <c r="K97" s="259">
        <v>250</v>
      </c>
      <c r="L97" s="1221"/>
      <c r="M97" s="1215">
        <f t="shared" si="6"/>
        <v>2000</v>
      </c>
      <c r="N97" s="1216">
        <f t="shared" si="7"/>
        <v>3750</v>
      </c>
      <c r="O97" s="987">
        <v>42189</v>
      </c>
      <c r="P97" s="1178" t="s">
        <v>666</v>
      </c>
      <c r="Q97" s="813" t="s">
        <v>1638</v>
      </c>
    </row>
    <row r="98" spans="1:18" ht="15.75" customHeight="1" x14ac:dyDescent="0.25">
      <c r="A98" s="298" t="s">
        <v>404</v>
      </c>
      <c r="B98" s="298" t="s">
        <v>54</v>
      </c>
      <c r="C98" s="1218">
        <v>41977</v>
      </c>
      <c r="D98" s="260">
        <v>42281</v>
      </c>
      <c r="E98" s="1219">
        <f t="shared" ref="E98:E107" si="9">+C98-D98</f>
        <v>-304</v>
      </c>
      <c r="F98" s="1220">
        <f>+E98/30</f>
        <v>-10.133333333333333</v>
      </c>
      <c r="G98" s="262">
        <v>10000</v>
      </c>
      <c r="H98" s="630"/>
      <c r="I98" s="259">
        <v>10000</v>
      </c>
      <c r="J98" s="259"/>
      <c r="K98" s="259">
        <v>5000</v>
      </c>
      <c r="L98" s="1221"/>
      <c r="M98" s="1215">
        <f t="shared" si="6"/>
        <v>0</v>
      </c>
      <c r="N98" s="1216">
        <f t="shared" si="7"/>
        <v>15000</v>
      </c>
      <c r="O98" s="987" t="s">
        <v>551</v>
      </c>
      <c r="P98" s="1178" t="s">
        <v>666</v>
      </c>
      <c r="Q98" s="811" t="s">
        <v>1618</v>
      </c>
      <c r="R98" s="371" t="s">
        <v>666</v>
      </c>
    </row>
    <row r="99" spans="1:18" x14ac:dyDescent="0.25">
      <c r="A99" s="298" t="s">
        <v>1301</v>
      </c>
      <c r="B99" s="298" t="s">
        <v>1302</v>
      </c>
      <c r="C99" s="1218">
        <v>42194</v>
      </c>
      <c r="D99" s="260">
        <v>42378</v>
      </c>
      <c r="E99" s="1219">
        <f t="shared" si="9"/>
        <v>-184</v>
      </c>
      <c r="F99" s="1220">
        <f>+E99/30</f>
        <v>-6.1333333333333337</v>
      </c>
      <c r="G99" s="262">
        <v>6000</v>
      </c>
      <c r="H99" s="630">
        <v>1000</v>
      </c>
      <c r="I99" s="259">
        <v>5000</v>
      </c>
      <c r="J99" s="259">
        <v>300</v>
      </c>
      <c r="K99" s="259">
        <v>1500</v>
      </c>
      <c r="L99" s="1221"/>
      <c r="M99" s="1215">
        <f t="shared" si="6"/>
        <v>1300</v>
      </c>
      <c r="N99" s="1216">
        <f t="shared" si="7"/>
        <v>6500</v>
      </c>
      <c r="O99" s="987">
        <v>42226</v>
      </c>
      <c r="P99" s="1178" t="s">
        <v>666</v>
      </c>
      <c r="Q99" s="813"/>
      <c r="R99" s="371" t="s">
        <v>666</v>
      </c>
    </row>
    <row r="100" spans="1:18" x14ac:dyDescent="0.25">
      <c r="A100" s="298" t="s">
        <v>109</v>
      </c>
      <c r="B100" s="298" t="s">
        <v>10</v>
      </c>
      <c r="C100" s="1218">
        <v>42185</v>
      </c>
      <c r="D100" s="260">
        <v>42368</v>
      </c>
      <c r="E100" s="1219">
        <f t="shared" si="9"/>
        <v>-183</v>
      </c>
      <c r="F100" s="1220">
        <v>40619</v>
      </c>
      <c r="G100" s="262">
        <v>50000</v>
      </c>
      <c r="H100" s="630">
        <v>12000</v>
      </c>
      <c r="I100" s="259">
        <v>23000</v>
      </c>
      <c r="J100" s="259">
        <v>2400</v>
      </c>
      <c r="K100" s="259">
        <v>4600</v>
      </c>
      <c r="L100" s="1221"/>
      <c r="M100" s="1215">
        <f t="shared" si="6"/>
        <v>14400</v>
      </c>
      <c r="N100" s="1216">
        <f t="shared" si="7"/>
        <v>27600</v>
      </c>
      <c r="O100" s="987">
        <v>42238</v>
      </c>
      <c r="P100" s="1178" t="s">
        <v>666</v>
      </c>
      <c r="Q100" s="813" t="s">
        <v>1618</v>
      </c>
      <c r="R100" s="371" t="s">
        <v>666</v>
      </c>
    </row>
    <row r="101" spans="1:18" x14ac:dyDescent="0.25">
      <c r="A101" s="298" t="s">
        <v>1641</v>
      </c>
      <c r="B101" s="298" t="s">
        <v>1396</v>
      </c>
      <c r="C101" s="1218">
        <v>42205</v>
      </c>
      <c r="D101" s="260">
        <v>42328</v>
      </c>
      <c r="E101" s="1219">
        <f t="shared" si="9"/>
        <v>-123</v>
      </c>
      <c r="F101" s="1220">
        <f t="shared" ref="F101:F107" si="10">+E101/30</f>
        <v>-4.0999999999999996</v>
      </c>
      <c r="G101" s="262">
        <v>6000</v>
      </c>
      <c r="H101" s="630">
        <v>1500</v>
      </c>
      <c r="I101" s="259">
        <v>4500</v>
      </c>
      <c r="J101" s="259">
        <v>300</v>
      </c>
      <c r="K101" s="259">
        <v>900</v>
      </c>
      <c r="L101" s="1221"/>
      <c r="M101" s="1215">
        <f t="shared" si="6"/>
        <v>1800</v>
      </c>
      <c r="N101" s="1216">
        <f t="shared" si="7"/>
        <v>5400</v>
      </c>
      <c r="O101" s="987">
        <v>42223</v>
      </c>
      <c r="P101" s="1178" t="s">
        <v>666</v>
      </c>
      <c r="Q101" s="813"/>
    </row>
    <row r="102" spans="1:18" x14ac:dyDescent="0.25">
      <c r="A102" s="298" t="s">
        <v>1693</v>
      </c>
      <c r="B102" s="298" t="s">
        <v>1694</v>
      </c>
      <c r="C102" s="1218">
        <v>42012</v>
      </c>
      <c r="D102" s="260">
        <v>42284</v>
      </c>
      <c r="E102" s="1219">
        <f t="shared" si="9"/>
        <v>-272</v>
      </c>
      <c r="F102" s="1220">
        <f t="shared" si="10"/>
        <v>-9.0666666666666664</v>
      </c>
      <c r="G102" s="262">
        <v>8000</v>
      </c>
      <c r="H102" s="630"/>
      <c r="I102" s="259">
        <v>8000</v>
      </c>
      <c r="J102" s="259"/>
      <c r="K102" s="259">
        <v>3600</v>
      </c>
      <c r="L102" s="1221"/>
      <c r="M102" s="1215">
        <f t="shared" si="6"/>
        <v>0</v>
      </c>
      <c r="N102" s="1216">
        <f t="shared" si="7"/>
        <v>11600</v>
      </c>
      <c r="O102" s="987" t="s">
        <v>479</v>
      </c>
      <c r="P102" s="1178" t="s">
        <v>666</v>
      </c>
      <c r="Q102" s="813"/>
      <c r="R102" s="371" t="s">
        <v>666</v>
      </c>
    </row>
    <row r="103" spans="1:18" x14ac:dyDescent="0.25">
      <c r="A103" s="298" t="s">
        <v>1046</v>
      </c>
      <c r="B103" s="298" t="s">
        <v>1047</v>
      </c>
      <c r="C103" s="1218">
        <v>42164</v>
      </c>
      <c r="D103" s="260">
        <v>42469</v>
      </c>
      <c r="E103" s="1219">
        <f t="shared" si="9"/>
        <v>-305</v>
      </c>
      <c r="F103" s="1220">
        <f t="shared" si="10"/>
        <v>-10.166666666666666</v>
      </c>
      <c r="G103" s="262">
        <v>12000</v>
      </c>
      <c r="H103" s="630">
        <v>950</v>
      </c>
      <c r="I103" s="259">
        <v>9080</v>
      </c>
      <c r="J103" s="259">
        <v>380</v>
      </c>
      <c r="K103" s="259">
        <v>4790</v>
      </c>
      <c r="L103" s="1221"/>
      <c r="M103" s="1215">
        <f t="shared" si="6"/>
        <v>1330</v>
      </c>
      <c r="N103" s="1216">
        <f t="shared" si="7"/>
        <v>13870</v>
      </c>
      <c r="O103" s="987">
        <v>42238</v>
      </c>
      <c r="P103" s="1178" t="s">
        <v>666</v>
      </c>
      <c r="Q103" s="811"/>
      <c r="R103" s="371" t="s">
        <v>666</v>
      </c>
    </row>
    <row r="104" spans="1:18" x14ac:dyDescent="0.25">
      <c r="A104" s="298" t="s">
        <v>1751</v>
      </c>
      <c r="B104" s="298" t="s">
        <v>1752</v>
      </c>
      <c r="C104" s="1218">
        <v>42171</v>
      </c>
      <c r="D104" s="260">
        <v>42263</v>
      </c>
      <c r="E104" s="1219">
        <f t="shared" si="9"/>
        <v>-92</v>
      </c>
      <c r="F104" s="1220">
        <f t="shared" si="10"/>
        <v>-3.0666666666666669</v>
      </c>
      <c r="G104" s="262">
        <v>8000</v>
      </c>
      <c r="H104" s="630">
        <v>2100</v>
      </c>
      <c r="I104" s="259">
        <v>5900</v>
      </c>
      <c r="J104" s="259">
        <v>400</v>
      </c>
      <c r="K104" s="259">
        <v>800</v>
      </c>
      <c r="L104" s="1221"/>
      <c r="M104" s="1215">
        <f t="shared" si="6"/>
        <v>2500</v>
      </c>
      <c r="N104" s="1216">
        <f t="shared" si="7"/>
        <v>6700</v>
      </c>
      <c r="O104" s="987">
        <v>42205</v>
      </c>
      <c r="P104" s="1178" t="s">
        <v>666</v>
      </c>
      <c r="Q104" s="811" t="s">
        <v>1618</v>
      </c>
    </row>
    <row r="105" spans="1:18" x14ac:dyDescent="0.25">
      <c r="A105" s="298" t="s">
        <v>1760</v>
      </c>
      <c r="B105" s="298" t="s">
        <v>719</v>
      </c>
      <c r="C105" s="1218">
        <v>42177</v>
      </c>
      <c r="D105" s="260">
        <v>42482</v>
      </c>
      <c r="E105" s="1219">
        <f t="shared" si="9"/>
        <v>-305</v>
      </c>
      <c r="F105" s="1220">
        <f t="shared" si="10"/>
        <v>-10.166666666666666</v>
      </c>
      <c r="G105" s="262">
        <v>15000</v>
      </c>
      <c r="H105" s="630"/>
      <c r="I105" s="259">
        <v>13500</v>
      </c>
      <c r="J105" s="259"/>
      <c r="K105" s="259">
        <v>6750</v>
      </c>
      <c r="L105" s="1221"/>
      <c r="M105" s="1215">
        <f t="shared" si="6"/>
        <v>0</v>
      </c>
      <c r="N105" s="1216">
        <f t="shared" si="7"/>
        <v>20250</v>
      </c>
      <c r="O105" s="987">
        <v>42209</v>
      </c>
      <c r="P105" s="1178" t="s">
        <v>666</v>
      </c>
      <c r="Q105" s="811" t="s">
        <v>1618</v>
      </c>
    </row>
    <row r="106" spans="1:18" x14ac:dyDescent="0.25">
      <c r="A106" s="298" t="s">
        <v>1040</v>
      </c>
      <c r="B106" s="298" t="s">
        <v>1041</v>
      </c>
      <c r="C106" s="1218">
        <v>42143</v>
      </c>
      <c r="D106" s="260">
        <v>42262</v>
      </c>
      <c r="E106" s="1219">
        <f t="shared" si="9"/>
        <v>-119</v>
      </c>
      <c r="F106" s="1220">
        <f t="shared" si="10"/>
        <v>-3.9666666666666668</v>
      </c>
      <c r="G106" s="262">
        <v>15000</v>
      </c>
      <c r="H106" s="630"/>
      <c r="I106" s="259">
        <v>15000</v>
      </c>
      <c r="J106" s="259"/>
      <c r="K106" s="259">
        <v>3000</v>
      </c>
      <c r="L106" s="1221"/>
      <c r="M106" s="1215">
        <f t="shared" si="6"/>
        <v>0</v>
      </c>
      <c r="N106" s="1216">
        <f t="shared" si="7"/>
        <v>18000</v>
      </c>
      <c r="O106" s="987" t="s">
        <v>551</v>
      </c>
      <c r="P106" s="1178" t="s">
        <v>666</v>
      </c>
      <c r="Q106" s="811" t="s">
        <v>1640</v>
      </c>
    </row>
    <row r="107" spans="1:18" x14ac:dyDescent="0.25">
      <c r="A107" s="298" t="s">
        <v>1463</v>
      </c>
      <c r="B107" s="298" t="s">
        <v>1076</v>
      </c>
      <c r="C107" s="1218">
        <v>41665</v>
      </c>
      <c r="D107" s="260">
        <v>42334</v>
      </c>
      <c r="E107" s="1219">
        <f t="shared" si="9"/>
        <v>-669</v>
      </c>
      <c r="F107" s="1220">
        <f t="shared" si="10"/>
        <v>-22.3</v>
      </c>
      <c r="G107" s="262">
        <v>10000</v>
      </c>
      <c r="H107" s="630">
        <v>350</v>
      </c>
      <c r="I107" s="259">
        <v>7825</v>
      </c>
      <c r="J107" s="259">
        <v>1000</v>
      </c>
      <c r="K107" s="259">
        <v>2500</v>
      </c>
      <c r="L107" s="1221">
        <v>150</v>
      </c>
      <c r="M107" s="1215">
        <f t="shared" si="6"/>
        <v>1500</v>
      </c>
      <c r="N107" s="1216">
        <f t="shared" si="7"/>
        <v>10325</v>
      </c>
      <c r="O107" s="987">
        <v>42192</v>
      </c>
      <c r="P107" s="1178" t="s">
        <v>666</v>
      </c>
      <c r="Q107" s="811" t="s">
        <v>1618</v>
      </c>
      <c r="R107" s="371" t="s">
        <v>666</v>
      </c>
    </row>
    <row r="108" spans="1:18" x14ac:dyDescent="0.25">
      <c r="A108" s="298" t="s">
        <v>1763</v>
      </c>
      <c r="B108" s="298" t="s">
        <v>1239</v>
      </c>
      <c r="C108" s="1218">
        <v>42229</v>
      </c>
      <c r="D108" s="1229">
        <v>42413</v>
      </c>
      <c r="E108" s="1219"/>
      <c r="F108" s="1230"/>
      <c r="G108" s="262">
        <v>12000</v>
      </c>
      <c r="H108" s="630"/>
      <c r="I108" s="259">
        <v>12000</v>
      </c>
      <c r="J108" s="259"/>
      <c r="K108" s="259">
        <v>3600</v>
      </c>
      <c r="L108" s="1221"/>
      <c r="M108" s="1215">
        <f t="shared" si="6"/>
        <v>0</v>
      </c>
      <c r="N108" s="1216">
        <f t="shared" si="7"/>
        <v>15600</v>
      </c>
      <c r="O108" s="987" t="s">
        <v>479</v>
      </c>
      <c r="P108" s="1178" t="s">
        <v>666</v>
      </c>
      <c r="Q108" s="811"/>
    </row>
    <row r="109" spans="1:18" x14ac:dyDescent="0.25">
      <c r="A109" s="298" t="s">
        <v>1481</v>
      </c>
      <c r="B109" s="298" t="s">
        <v>1482</v>
      </c>
      <c r="C109" s="1218">
        <v>42175</v>
      </c>
      <c r="D109" s="260">
        <v>42277</v>
      </c>
      <c r="E109" s="1219">
        <f>+C109-D109</f>
        <v>-102</v>
      </c>
      <c r="F109" s="1220">
        <f>+E109/30</f>
        <v>-3.4</v>
      </c>
      <c r="G109" s="262">
        <v>30000</v>
      </c>
      <c r="H109" s="630"/>
      <c r="I109" s="259">
        <v>30000</v>
      </c>
      <c r="J109" s="259"/>
      <c r="K109" s="259">
        <v>4500</v>
      </c>
      <c r="L109" s="1221"/>
      <c r="M109" s="1215">
        <f t="shared" si="6"/>
        <v>0</v>
      </c>
      <c r="N109" s="1216">
        <f t="shared" si="7"/>
        <v>34500</v>
      </c>
      <c r="O109" s="987" t="s">
        <v>1764</v>
      </c>
      <c r="P109" s="1178" t="s">
        <v>666</v>
      </c>
      <c r="Q109" s="813" t="s">
        <v>1647</v>
      </c>
      <c r="R109" s="371" t="s">
        <v>666</v>
      </c>
    </row>
    <row r="110" spans="1:18" x14ac:dyDescent="0.25">
      <c r="A110" s="298" t="s">
        <v>1522</v>
      </c>
      <c r="B110" s="298" t="s">
        <v>1523</v>
      </c>
      <c r="C110" s="1218">
        <v>42200</v>
      </c>
      <c r="D110" s="1229">
        <v>42323</v>
      </c>
      <c r="E110" s="1219"/>
      <c r="F110" s="1230"/>
      <c r="G110" s="262">
        <v>27000</v>
      </c>
      <c r="H110" s="630"/>
      <c r="I110" s="259">
        <v>27000</v>
      </c>
      <c r="J110" s="259"/>
      <c r="K110" s="259">
        <v>2700</v>
      </c>
      <c r="L110" s="1221"/>
      <c r="M110" s="1215">
        <f t="shared" si="6"/>
        <v>0</v>
      </c>
      <c r="N110" s="1216">
        <f t="shared" si="7"/>
        <v>29700</v>
      </c>
      <c r="O110" s="987" t="s">
        <v>854</v>
      </c>
      <c r="P110" s="1178" t="s">
        <v>666</v>
      </c>
      <c r="Q110" s="811" t="s">
        <v>1618</v>
      </c>
      <c r="R110" s="371" t="s">
        <v>666</v>
      </c>
    </row>
    <row r="111" spans="1:18" x14ac:dyDescent="0.25">
      <c r="A111" s="298" t="s">
        <v>1303</v>
      </c>
      <c r="B111" s="298" t="s">
        <v>668</v>
      </c>
      <c r="C111" s="1218">
        <v>42139</v>
      </c>
      <c r="D111" s="260">
        <v>42323</v>
      </c>
      <c r="E111" s="1219">
        <f>+C111-D111</f>
        <v>-184</v>
      </c>
      <c r="F111" s="1220">
        <f>+E111/30</f>
        <v>-6.1333333333333337</v>
      </c>
      <c r="G111" s="262">
        <v>10000</v>
      </c>
      <c r="H111" s="1231">
        <v>800</v>
      </c>
      <c r="I111" s="259">
        <v>8000</v>
      </c>
      <c r="J111" s="259">
        <v>200</v>
      </c>
      <c r="K111" s="259">
        <v>2500</v>
      </c>
      <c r="L111" s="1221"/>
      <c r="M111" s="1215">
        <f t="shared" ref="M111:M143" si="11">+L111+J111+H111</f>
        <v>1000</v>
      </c>
      <c r="N111" s="1216">
        <f t="shared" si="7"/>
        <v>10500</v>
      </c>
      <c r="O111" s="987">
        <v>42236</v>
      </c>
      <c r="P111" s="1178" t="s">
        <v>666</v>
      </c>
      <c r="Q111" s="811"/>
    </row>
    <row r="112" spans="1:18" x14ac:dyDescent="0.25">
      <c r="A112" s="298" t="s">
        <v>1519</v>
      </c>
      <c r="B112" s="298" t="s">
        <v>1520</v>
      </c>
      <c r="C112" s="1218">
        <v>42129</v>
      </c>
      <c r="D112" s="260">
        <v>42434</v>
      </c>
      <c r="E112" s="1219">
        <f>+C112-D112</f>
        <v>-305</v>
      </c>
      <c r="F112" s="1220">
        <f>+E112/30</f>
        <v>-10.166666666666666</v>
      </c>
      <c r="G112" s="262">
        <v>10000</v>
      </c>
      <c r="H112" s="1231">
        <v>1000</v>
      </c>
      <c r="I112" s="259">
        <v>8000</v>
      </c>
      <c r="J112" s="259">
        <v>500</v>
      </c>
      <c r="K112" s="259">
        <v>4000</v>
      </c>
      <c r="L112" s="1221"/>
      <c r="M112" s="1215">
        <f t="shared" si="11"/>
        <v>1500</v>
      </c>
      <c r="N112" s="1216">
        <f t="shared" ref="N112:N144" si="12">+I112+K112</f>
        <v>12000</v>
      </c>
      <c r="O112" s="987">
        <v>42205</v>
      </c>
      <c r="P112" s="1178" t="s">
        <v>666</v>
      </c>
      <c r="Q112" s="813" t="s">
        <v>1611</v>
      </c>
    </row>
    <row r="113" spans="1:18" x14ac:dyDescent="0.25">
      <c r="A113" s="298" t="s">
        <v>1762</v>
      </c>
      <c r="B113" s="298" t="s">
        <v>865</v>
      </c>
      <c r="C113" s="1218">
        <v>42165</v>
      </c>
      <c r="D113" s="260">
        <v>42318</v>
      </c>
      <c r="E113" s="1219"/>
      <c r="F113" s="1230"/>
      <c r="G113" s="262">
        <v>5000</v>
      </c>
      <c r="H113" s="630"/>
      <c r="I113" s="259">
        <v>5000</v>
      </c>
      <c r="J113" s="259"/>
      <c r="K113" s="259">
        <v>1000</v>
      </c>
      <c r="L113" s="1221"/>
      <c r="M113" s="1215">
        <f t="shared" si="11"/>
        <v>0</v>
      </c>
      <c r="N113" s="1216">
        <f t="shared" si="12"/>
        <v>6000</v>
      </c>
      <c r="O113" s="987" t="s">
        <v>479</v>
      </c>
      <c r="P113" s="1178" t="s">
        <v>666</v>
      </c>
      <c r="Q113" s="811" t="s">
        <v>1616</v>
      </c>
      <c r="R113" s="371" t="s">
        <v>666</v>
      </c>
    </row>
    <row r="114" spans="1:18" x14ac:dyDescent="0.25">
      <c r="A114" s="298" t="s">
        <v>1521</v>
      </c>
      <c r="B114" s="298" t="s">
        <v>945</v>
      </c>
      <c r="C114" s="1218">
        <v>42129</v>
      </c>
      <c r="D114" s="260">
        <v>42434</v>
      </c>
      <c r="E114" s="1219"/>
      <c r="F114" s="1230"/>
      <c r="G114" s="262">
        <v>6000</v>
      </c>
      <c r="H114" s="630">
        <v>350</v>
      </c>
      <c r="I114" s="259">
        <v>4850</v>
      </c>
      <c r="J114" s="259">
        <v>50</v>
      </c>
      <c r="K114" s="259">
        <v>2750</v>
      </c>
      <c r="L114" s="1221"/>
      <c r="M114" s="1215">
        <f t="shared" si="11"/>
        <v>400</v>
      </c>
      <c r="N114" s="1216">
        <f t="shared" si="12"/>
        <v>7600</v>
      </c>
      <c r="O114" s="987">
        <v>42235</v>
      </c>
      <c r="P114" s="1178" t="s">
        <v>666</v>
      </c>
      <c r="Q114" s="811" t="s">
        <v>1646</v>
      </c>
      <c r="R114" s="371" t="s">
        <v>666</v>
      </c>
    </row>
    <row r="115" spans="1:18" x14ac:dyDescent="0.25">
      <c r="A115" s="298" t="s">
        <v>1642</v>
      </c>
      <c r="B115" s="298" t="s">
        <v>836</v>
      </c>
      <c r="C115" s="1218">
        <v>41995</v>
      </c>
      <c r="D115" s="1229">
        <v>42299</v>
      </c>
      <c r="E115" s="1219"/>
      <c r="F115" s="1230"/>
      <c r="G115" s="262">
        <v>7000</v>
      </c>
      <c r="H115" s="630"/>
      <c r="I115" s="259">
        <v>7000</v>
      </c>
      <c r="J115" s="259"/>
      <c r="K115" s="259">
        <v>3500</v>
      </c>
      <c r="L115" s="1221"/>
      <c r="M115" s="1215">
        <f t="shared" si="11"/>
        <v>0</v>
      </c>
      <c r="N115" s="1216">
        <f t="shared" si="12"/>
        <v>10500</v>
      </c>
      <c r="O115" s="987" t="s">
        <v>76</v>
      </c>
      <c r="P115" s="1178" t="s">
        <v>666</v>
      </c>
      <c r="Q115" s="811"/>
    </row>
    <row r="116" spans="1:18" x14ac:dyDescent="0.25">
      <c r="A116" s="298" t="s">
        <v>1524</v>
      </c>
      <c r="B116" s="298" t="s">
        <v>1482</v>
      </c>
      <c r="C116" s="1218">
        <v>42132</v>
      </c>
      <c r="D116" s="260">
        <v>42316</v>
      </c>
      <c r="E116" s="1219"/>
      <c r="F116" s="1220"/>
      <c r="G116" s="262">
        <v>150000</v>
      </c>
      <c r="H116" s="630"/>
      <c r="I116" s="259">
        <v>150000</v>
      </c>
      <c r="J116" s="259"/>
      <c r="K116" s="259">
        <v>30000</v>
      </c>
      <c r="L116" s="1221"/>
      <c r="M116" s="1215">
        <f t="shared" si="11"/>
        <v>0</v>
      </c>
      <c r="N116" s="1216">
        <f t="shared" si="12"/>
        <v>180000</v>
      </c>
      <c r="O116" s="987" t="s">
        <v>854</v>
      </c>
      <c r="P116" s="1178" t="s">
        <v>666</v>
      </c>
      <c r="Q116" s="811" t="s">
        <v>1623</v>
      </c>
      <c r="R116" s="371" t="s">
        <v>666</v>
      </c>
    </row>
    <row r="117" spans="1:18" x14ac:dyDescent="0.25">
      <c r="A117" s="298" t="s">
        <v>417</v>
      </c>
      <c r="B117" s="298" t="s">
        <v>15</v>
      </c>
      <c r="C117" s="1218">
        <v>42222</v>
      </c>
      <c r="D117" s="260">
        <v>42344</v>
      </c>
      <c r="E117" s="1219">
        <f>+C117-D117</f>
        <v>-122</v>
      </c>
      <c r="F117" s="1220">
        <f>+E117/30</f>
        <v>-4.0666666666666664</v>
      </c>
      <c r="G117" s="262">
        <v>45000</v>
      </c>
      <c r="H117" s="630">
        <v>4800</v>
      </c>
      <c r="I117" s="259">
        <v>40200</v>
      </c>
      <c r="J117" s="259">
        <v>1200</v>
      </c>
      <c r="K117" s="259">
        <v>7800</v>
      </c>
      <c r="L117" s="1221"/>
      <c r="M117" s="1215">
        <f t="shared" si="11"/>
        <v>6000</v>
      </c>
      <c r="N117" s="1216">
        <f t="shared" si="12"/>
        <v>48000</v>
      </c>
      <c r="O117" s="987">
        <v>42240</v>
      </c>
      <c r="P117" s="1178" t="s">
        <v>666</v>
      </c>
      <c r="Q117" s="813" t="s">
        <v>1575</v>
      </c>
      <c r="R117" s="371" t="s">
        <v>666</v>
      </c>
    </row>
    <row r="118" spans="1:18" x14ac:dyDescent="0.25">
      <c r="A118" s="298" t="s">
        <v>1518</v>
      </c>
      <c r="B118" s="298" t="s">
        <v>996</v>
      </c>
      <c r="C118" s="1218">
        <v>42023</v>
      </c>
      <c r="D118" s="260">
        <v>42353</v>
      </c>
      <c r="E118" s="1219"/>
      <c r="F118" s="1220"/>
      <c r="G118" s="262">
        <v>25000</v>
      </c>
      <c r="H118" s="630">
        <v>2500</v>
      </c>
      <c r="I118" s="259">
        <v>10000</v>
      </c>
      <c r="J118" s="259">
        <v>1250</v>
      </c>
      <c r="K118" s="259">
        <v>5000</v>
      </c>
      <c r="L118" s="1221"/>
      <c r="M118" s="1215">
        <f t="shared" si="11"/>
        <v>3750</v>
      </c>
      <c r="N118" s="1216">
        <f t="shared" si="12"/>
        <v>15000</v>
      </c>
      <c r="O118" s="987">
        <v>42196</v>
      </c>
      <c r="P118" s="1178" t="s">
        <v>666</v>
      </c>
      <c r="Q118" s="811" t="s">
        <v>1618</v>
      </c>
      <c r="R118" s="371" t="s">
        <v>666</v>
      </c>
    </row>
    <row r="119" spans="1:18" x14ac:dyDescent="0.25">
      <c r="A119" s="298" t="s">
        <v>1645</v>
      </c>
      <c r="B119" s="298" t="s">
        <v>945</v>
      </c>
      <c r="C119" s="1218">
        <v>42180</v>
      </c>
      <c r="D119" s="260">
        <v>42272</v>
      </c>
      <c r="E119" s="1219"/>
      <c r="F119" s="1220"/>
      <c r="G119" s="262">
        <v>15000</v>
      </c>
      <c r="H119" s="630"/>
      <c r="I119" s="259">
        <v>15000</v>
      </c>
      <c r="J119" s="259"/>
      <c r="K119" s="259">
        <v>4500</v>
      </c>
      <c r="L119" s="1221"/>
      <c r="M119" s="1215">
        <f t="shared" si="11"/>
        <v>0</v>
      </c>
      <c r="N119" s="1216">
        <f t="shared" si="12"/>
        <v>19500</v>
      </c>
      <c r="O119" s="987" t="s">
        <v>76</v>
      </c>
      <c r="P119" s="1178" t="s">
        <v>666</v>
      </c>
      <c r="Q119" s="811" t="s">
        <v>1618</v>
      </c>
    </row>
    <row r="120" spans="1:18" x14ac:dyDescent="0.25">
      <c r="A120" s="298" t="s">
        <v>1159</v>
      </c>
      <c r="B120" s="298" t="s">
        <v>792</v>
      </c>
      <c r="C120" s="1218">
        <v>42234</v>
      </c>
      <c r="D120" s="260">
        <v>42356</v>
      </c>
      <c r="E120" s="1219"/>
      <c r="F120" s="1220"/>
      <c r="G120" s="262">
        <v>5000</v>
      </c>
      <c r="H120" s="630"/>
      <c r="I120" s="259">
        <v>5000</v>
      </c>
      <c r="J120" s="259"/>
      <c r="K120" s="259">
        <v>500</v>
      </c>
      <c r="L120" s="1221"/>
      <c r="M120" s="1215">
        <f t="shared" si="11"/>
        <v>0</v>
      </c>
      <c r="N120" s="1216">
        <f t="shared" si="12"/>
        <v>5500</v>
      </c>
      <c r="O120" s="987" t="s">
        <v>854</v>
      </c>
      <c r="P120" s="1178" t="s">
        <v>666</v>
      </c>
      <c r="Q120" s="811"/>
      <c r="R120" s="371" t="s">
        <v>666</v>
      </c>
    </row>
    <row r="121" spans="1:18" x14ac:dyDescent="0.25">
      <c r="A121" s="298" t="s">
        <v>707</v>
      </c>
      <c r="B121" s="298" t="s">
        <v>466</v>
      </c>
      <c r="C121" s="1218">
        <v>42107</v>
      </c>
      <c r="D121" s="260">
        <v>42290</v>
      </c>
      <c r="E121" s="1219"/>
      <c r="F121" s="1220">
        <v>7000</v>
      </c>
      <c r="G121" s="262">
        <v>8000</v>
      </c>
      <c r="H121" s="630">
        <v>1400</v>
      </c>
      <c r="I121" s="259">
        <v>1016</v>
      </c>
      <c r="J121" s="259">
        <v>400</v>
      </c>
      <c r="K121" s="259">
        <v>800</v>
      </c>
      <c r="L121" s="1221"/>
      <c r="M121" s="1215">
        <f t="shared" si="11"/>
        <v>1800</v>
      </c>
      <c r="N121" s="1216">
        <f t="shared" si="12"/>
        <v>1816</v>
      </c>
      <c r="O121" s="987">
        <v>42220</v>
      </c>
      <c r="P121" s="1178" t="s">
        <v>666</v>
      </c>
      <c r="Q121" s="813" t="s">
        <v>1649</v>
      </c>
      <c r="R121" s="371" t="s">
        <v>666</v>
      </c>
    </row>
    <row r="122" spans="1:18" x14ac:dyDescent="0.25">
      <c r="A122" s="298" t="s">
        <v>952</v>
      </c>
      <c r="B122" s="298" t="s">
        <v>724</v>
      </c>
      <c r="C122" s="1218">
        <v>42061</v>
      </c>
      <c r="D122" s="260">
        <v>42364</v>
      </c>
      <c r="E122" s="1219"/>
      <c r="F122" s="1220"/>
      <c r="G122" s="262">
        <v>40000</v>
      </c>
      <c r="H122" s="630">
        <v>2700</v>
      </c>
      <c r="I122" s="259">
        <v>31600</v>
      </c>
      <c r="J122" s="259">
        <v>2000</v>
      </c>
      <c r="K122" s="259">
        <v>14000</v>
      </c>
      <c r="L122" s="1221">
        <v>300</v>
      </c>
      <c r="M122" s="1215">
        <f t="shared" si="11"/>
        <v>5000</v>
      </c>
      <c r="N122" s="1216">
        <f t="shared" si="12"/>
        <v>45600</v>
      </c>
      <c r="O122" s="987">
        <v>42198</v>
      </c>
      <c r="P122" s="1178" t="s">
        <v>666</v>
      </c>
      <c r="Q122" s="811" t="s">
        <v>1618</v>
      </c>
      <c r="R122" s="371" t="s">
        <v>666</v>
      </c>
    </row>
    <row r="123" spans="1:18" x14ac:dyDescent="0.25">
      <c r="A123" s="298" t="s">
        <v>1278</v>
      </c>
      <c r="B123" s="298" t="s">
        <v>813</v>
      </c>
      <c r="C123" s="1218">
        <v>42193</v>
      </c>
      <c r="D123" s="260">
        <v>42498</v>
      </c>
      <c r="E123" s="1219"/>
      <c r="F123" s="1220"/>
      <c r="G123" s="262">
        <v>9000</v>
      </c>
      <c r="H123" s="630"/>
      <c r="I123" s="259">
        <v>9000</v>
      </c>
      <c r="J123" s="259"/>
      <c r="K123" s="259">
        <v>4500</v>
      </c>
      <c r="L123" s="1221"/>
      <c r="M123" s="1215">
        <f t="shared" si="11"/>
        <v>0</v>
      </c>
      <c r="N123" s="1216">
        <f t="shared" si="12"/>
        <v>13500</v>
      </c>
      <c r="O123" s="987" t="s">
        <v>551</v>
      </c>
      <c r="P123" s="1178" t="s">
        <v>666</v>
      </c>
      <c r="Q123" s="811"/>
      <c r="R123" s="371" t="s">
        <v>666</v>
      </c>
    </row>
    <row r="124" spans="1:18" x14ac:dyDescent="0.25">
      <c r="A124" s="298" t="s">
        <v>1768</v>
      </c>
      <c r="B124" s="298" t="s">
        <v>487</v>
      </c>
      <c r="C124" s="1218">
        <v>42143</v>
      </c>
      <c r="D124" s="260">
        <v>42450</v>
      </c>
      <c r="E124" s="1219"/>
      <c r="F124" s="1220"/>
      <c r="G124" s="262">
        <v>15000</v>
      </c>
      <c r="H124" s="630"/>
      <c r="I124" s="259">
        <v>15000</v>
      </c>
      <c r="J124" s="259"/>
      <c r="K124" s="259">
        <v>1500</v>
      </c>
      <c r="L124" s="1221"/>
      <c r="M124" s="1215">
        <f t="shared" si="11"/>
        <v>0</v>
      </c>
      <c r="N124" s="1216">
        <f t="shared" si="12"/>
        <v>16500</v>
      </c>
      <c r="O124" s="987" t="s">
        <v>77</v>
      </c>
      <c r="P124" s="1178" t="s">
        <v>666</v>
      </c>
      <c r="Q124" s="811" t="s">
        <v>1618</v>
      </c>
      <c r="R124" s="371" t="s">
        <v>666</v>
      </c>
    </row>
    <row r="125" spans="1:18" x14ac:dyDescent="0.25">
      <c r="A125" s="298" t="s">
        <v>482</v>
      </c>
      <c r="B125" s="298" t="s">
        <v>546</v>
      </c>
      <c r="C125" s="1218">
        <v>42201</v>
      </c>
      <c r="D125" s="260">
        <v>42352</v>
      </c>
      <c r="E125" s="1219"/>
      <c r="F125" s="1220"/>
      <c r="G125" s="262">
        <v>15000</v>
      </c>
      <c r="H125" s="630"/>
      <c r="I125" s="259">
        <v>15000</v>
      </c>
      <c r="J125" s="259"/>
      <c r="K125" s="259">
        <v>1500</v>
      </c>
      <c r="L125" s="1221"/>
      <c r="M125" s="1215">
        <f t="shared" si="11"/>
        <v>0</v>
      </c>
      <c r="N125" s="1216">
        <f t="shared" si="12"/>
        <v>16500</v>
      </c>
      <c r="O125" s="987" t="s">
        <v>859</v>
      </c>
      <c r="P125" s="1178" t="s">
        <v>666</v>
      </c>
      <c r="Q125" s="811"/>
    </row>
    <row r="126" spans="1:18" x14ac:dyDescent="0.25">
      <c r="A126" s="298" t="s">
        <v>482</v>
      </c>
      <c r="B126" s="298" t="s">
        <v>546</v>
      </c>
      <c r="C126" s="1218">
        <v>42227</v>
      </c>
      <c r="D126" s="260">
        <v>42258</v>
      </c>
      <c r="E126" s="1219"/>
      <c r="F126" s="1220"/>
      <c r="G126" s="262">
        <v>12000</v>
      </c>
      <c r="H126" s="630"/>
      <c r="I126" s="259">
        <v>12000</v>
      </c>
      <c r="J126" s="259"/>
      <c r="K126" s="259">
        <v>600</v>
      </c>
      <c r="L126" s="1221"/>
      <c r="M126" s="1215">
        <f t="shared" si="11"/>
        <v>0</v>
      </c>
      <c r="N126" s="1216">
        <f t="shared" si="12"/>
        <v>12600</v>
      </c>
      <c r="O126" s="987" t="s">
        <v>1500</v>
      </c>
      <c r="P126" s="1178" t="s">
        <v>666</v>
      </c>
      <c r="Q126" s="811" t="s">
        <v>1618</v>
      </c>
    </row>
    <row r="127" spans="1:18" x14ac:dyDescent="0.25">
      <c r="A127" s="298" t="s">
        <v>1400</v>
      </c>
      <c r="B127" s="298" t="s">
        <v>1076</v>
      </c>
      <c r="C127" s="1218">
        <v>41645</v>
      </c>
      <c r="D127" s="260">
        <v>41949</v>
      </c>
      <c r="E127" s="1219"/>
      <c r="F127" s="1220"/>
      <c r="G127" s="262">
        <v>9000</v>
      </c>
      <c r="H127" s="630"/>
      <c r="I127" s="259">
        <v>9000</v>
      </c>
      <c r="J127" s="259"/>
      <c r="K127" s="259">
        <v>4500</v>
      </c>
      <c r="L127" s="1221"/>
      <c r="M127" s="1215">
        <f t="shared" si="11"/>
        <v>0</v>
      </c>
      <c r="N127" s="1216">
        <f t="shared" si="12"/>
        <v>13500</v>
      </c>
      <c r="O127" s="987" t="s">
        <v>479</v>
      </c>
      <c r="P127" s="1178" t="s">
        <v>666</v>
      </c>
      <c r="Q127" s="811"/>
    </row>
    <row r="128" spans="1:18" x14ac:dyDescent="0.25">
      <c r="A128" s="298" t="s">
        <v>1037</v>
      </c>
      <c r="B128" s="298" t="s">
        <v>428</v>
      </c>
      <c r="C128" s="1218">
        <v>42213</v>
      </c>
      <c r="D128" s="260">
        <v>42397</v>
      </c>
      <c r="E128" s="1219"/>
      <c r="F128" s="1220"/>
      <c r="G128" s="262">
        <v>8000</v>
      </c>
      <c r="H128" s="630">
        <v>1135</v>
      </c>
      <c r="I128" s="259">
        <v>6865</v>
      </c>
      <c r="J128" s="259">
        <v>170</v>
      </c>
      <c r="K128" s="259">
        <v>2230</v>
      </c>
      <c r="L128" s="1221"/>
      <c r="M128" s="1215">
        <f t="shared" si="11"/>
        <v>1305</v>
      </c>
      <c r="N128" s="1216">
        <f t="shared" si="12"/>
        <v>9095</v>
      </c>
      <c r="O128" s="987">
        <v>42233</v>
      </c>
      <c r="P128" s="1178" t="s">
        <v>666</v>
      </c>
      <c r="Q128" s="811"/>
    </row>
    <row r="129" spans="1:18" x14ac:dyDescent="0.25">
      <c r="A129" s="298" t="s">
        <v>1840</v>
      </c>
      <c r="B129" s="298" t="s">
        <v>428</v>
      </c>
      <c r="C129" s="1218">
        <v>42137</v>
      </c>
      <c r="D129" s="260">
        <v>42321</v>
      </c>
      <c r="E129" s="1219"/>
      <c r="F129" s="1220"/>
      <c r="G129" s="262">
        <v>8000</v>
      </c>
      <c r="H129" s="630">
        <v>2000</v>
      </c>
      <c r="I129" s="259">
        <v>2895</v>
      </c>
      <c r="J129" s="259">
        <v>175</v>
      </c>
      <c r="K129" s="259">
        <v>1415</v>
      </c>
      <c r="L129" s="1221"/>
      <c r="M129" s="1215">
        <f t="shared" si="11"/>
        <v>2175</v>
      </c>
      <c r="N129" s="1216">
        <f t="shared" si="12"/>
        <v>4310</v>
      </c>
      <c r="O129" s="987">
        <v>42237</v>
      </c>
      <c r="P129" s="1178" t="s">
        <v>666</v>
      </c>
      <c r="Q129" s="811" t="s">
        <v>1618</v>
      </c>
    </row>
    <row r="130" spans="1:18" x14ac:dyDescent="0.25">
      <c r="A130" s="298" t="s">
        <v>1648</v>
      </c>
      <c r="B130" s="298" t="s">
        <v>1260</v>
      </c>
      <c r="C130" s="1218">
        <v>41967</v>
      </c>
      <c r="D130" s="260">
        <v>42271</v>
      </c>
      <c r="E130" s="1219"/>
      <c r="F130" s="1220"/>
      <c r="G130" s="262">
        <v>10000</v>
      </c>
      <c r="H130" s="630"/>
      <c r="I130" s="259">
        <v>6500</v>
      </c>
      <c r="J130" s="259">
        <v>1500</v>
      </c>
      <c r="K130" s="259">
        <v>1750</v>
      </c>
      <c r="L130" s="1221"/>
      <c r="M130" s="1215">
        <f t="shared" si="11"/>
        <v>1500</v>
      </c>
      <c r="N130" s="1216">
        <f t="shared" si="12"/>
        <v>8250</v>
      </c>
      <c r="O130" s="987">
        <v>42231</v>
      </c>
      <c r="P130" s="1178" t="s">
        <v>666</v>
      </c>
      <c r="Q130" s="813" t="s">
        <v>1618</v>
      </c>
      <c r="R130" s="371" t="s">
        <v>666</v>
      </c>
    </row>
    <row r="131" spans="1:18" x14ac:dyDescent="0.25">
      <c r="A131" s="298" t="s">
        <v>1765</v>
      </c>
      <c r="B131" s="298" t="s">
        <v>755</v>
      </c>
      <c r="C131" s="1218">
        <v>42186</v>
      </c>
      <c r="D131" s="260">
        <v>42370</v>
      </c>
      <c r="E131" s="1219"/>
      <c r="F131" s="1220"/>
      <c r="G131" s="262">
        <v>20000</v>
      </c>
      <c r="H131" s="630"/>
      <c r="I131" s="259">
        <v>20000</v>
      </c>
      <c r="J131" s="259"/>
      <c r="K131" s="259">
        <v>2000</v>
      </c>
      <c r="L131" s="1221"/>
      <c r="M131" s="1215">
        <f t="shared" si="11"/>
        <v>0</v>
      </c>
      <c r="N131" s="1216">
        <f t="shared" si="12"/>
        <v>22000</v>
      </c>
      <c r="O131" s="987" t="s">
        <v>862</v>
      </c>
      <c r="P131" s="1178" t="s">
        <v>666</v>
      </c>
      <c r="Q131" s="813" t="s">
        <v>1618</v>
      </c>
      <c r="R131" s="371" t="s">
        <v>666</v>
      </c>
    </row>
    <row r="132" spans="1:18" x14ac:dyDescent="0.25">
      <c r="A132" s="298" t="s">
        <v>1846</v>
      </c>
      <c r="B132" s="298" t="s">
        <v>1766</v>
      </c>
      <c r="C132" s="1218">
        <v>42009</v>
      </c>
      <c r="D132" s="260">
        <v>42313</v>
      </c>
      <c r="E132" s="1219"/>
      <c r="F132" s="1220"/>
      <c r="G132" s="262">
        <v>15000</v>
      </c>
      <c r="H132" s="630">
        <v>750</v>
      </c>
      <c r="I132" s="259">
        <v>12000</v>
      </c>
      <c r="J132" s="259">
        <v>150</v>
      </c>
      <c r="K132" s="259">
        <v>2400</v>
      </c>
      <c r="L132" s="1221"/>
      <c r="M132" s="1215"/>
      <c r="N132" s="1216">
        <f t="shared" si="12"/>
        <v>14400</v>
      </c>
      <c r="O132" s="987">
        <v>42078</v>
      </c>
      <c r="P132" s="1178" t="s">
        <v>666</v>
      </c>
      <c r="Q132" s="813"/>
    </row>
    <row r="133" spans="1:18" x14ac:dyDescent="0.25">
      <c r="A133" s="298" t="s">
        <v>1205</v>
      </c>
      <c r="B133" s="298" t="s">
        <v>461</v>
      </c>
      <c r="C133" s="1218">
        <v>42219</v>
      </c>
      <c r="D133" s="260">
        <v>42524</v>
      </c>
      <c r="E133" s="1219"/>
      <c r="F133" s="1220"/>
      <c r="G133" s="262">
        <v>8500</v>
      </c>
      <c r="H133" s="630">
        <v>340</v>
      </c>
      <c r="I133" s="259">
        <v>8160</v>
      </c>
      <c r="J133" s="259">
        <v>130</v>
      </c>
      <c r="K133" s="259">
        <v>4120</v>
      </c>
      <c r="L133" s="1221"/>
      <c r="M133" s="1215">
        <f t="shared" si="11"/>
        <v>470</v>
      </c>
      <c r="N133" s="1216">
        <f t="shared" si="12"/>
        <v>12280</v>
      </c>
      <c r="O133" s="987">
        <v>42236</v>
      </c>
      <c r="P133" s="1178" t="s">
        <v>666</v>
      </c>
      <c r="Q133" s="813"/>
    </row>
    <row r="134" spans="1:18" x14ac:dyDescent="0.25">
      <c r="A134" s="298" t="s">
        <v>1525</v>
      </c>
      <c r="B134" s="298" t="s">
        <v>719</v>
      </c>
      <c r="C134" s="1218">
        <v>42114</v>
      </c>
      <c r="D134" s="260">
        <v>42297</v>
      </c>
      <c r="E134" s="1219"/>
      <c r="F134" s="1220"/>
      <c r="G134" s="262">
        <v>10000</v>
      </c>
      <c r="H134" s="630">
        <v>800</v>
      </c>
      <c r="I134" s="259">
        <v>7400</v>
      </c>
      <c r="J134" s="259">
        <v>200</v>
      </c>
      <c r="K134" s="259">
        <v>2100</v>
      </c>
      <c r="L134" s="1221"/>
      <c r="M134" s="1215">
        <f t="shared" si="11"/>
        <v>1000</v>
      </c>
      <c r="N134" s="1216">
        <f t="shared" si="12"/>
        <v>9500</v>
      </c>
      <c r="O134" s="987">
        <v>42201</v>
      </c>
      <c r="P134" s="1178" t="s">
        <v>666</v>
      </c>
      <c r="Q134" s="811"/>
    </row>
    <row r="135" spans="1:18" x14ac:dyDescent="0.25">
      <c r="A135" s="298" t="s">
        <v>1767</v>
      </c>
      <c r="B135" s="298" t="s">
        <v>1766</v>
      </c>
      <c r="C135" s="1218">
        <v>42093</v>
      </c>
      <c r="D135" s="260">
        <v>42399</v>
      </c>
      <c r="E135" s="1219"/>
      <c r="F135" s="1220"/>
      <c r="G135" s="262">
        <v>20000</v>
      </c>
      <c r="H135" s="630"/>
      <c r="I135" s="259">
        <v>20000</v>
      </c>
      <c r="J135" s="259"/>
      <c r="K135" s="259">
        <v>6000</v>
      </c>
      <c r="L135" s="1221"/>
      <c r="M135" s="1215">
        <f t="shared" si="11"/>
        <v>0</v>
      </c>
      <c r="N135" s="1216">
        <f t="shared" si="12"/>
        <v>26000</v>
      </c>
      <c r="O135" s="987" t="s">
        <v>479</v>
      </c>
      <c r="P135" s="1178" t="s">
        <v>666</v>
      </c>
      <c r="Q135" s="811"/>
      <c r="R135" s="371" t="s">
        <v>666</v>
      </c>
    </row>
    <row r="136" spans="1:18" x14ac:dyDescent="0.25">
      <c r="A136" s="298" t="s">
        <v>1188</v>
      </c>
      <c r="B136" s="298" t="s">
        <v>755</v>
      </c>
      <c r="C136" s="1218">
        <v>42191</v>
      </c>
      <c r="D136" s="260">
        <v>42496</v>
      </c>
      <c r="E136" s="1219"/>
      <c r="F136" s="1220"/>
      <c r="G136" s="262">
        <v>25000</v>
      </c>
      <c r="H136" s="630">
        <v>2500</v>
      </c>
      <c r="I136" s="259">
        <v>22500</v>
      </c>
      <c r="J136" s="259">
        <v>1250</v>
      </c>
      <c r="K136" s="259">
        <v>11250</v>
      </c>
      <c r="L136" s="1221"/>
      <c r="M136" s="1215">
        <f t="shared" si="11"/>
        <v>3750</v>
      </c>
      <c r="N136" s="1216">
        <f t="shared" si="12"/>
        <v>33750</v>
      </c>
      <c r="O136" s="987">
        <v>42223</v>
      </c>
      <c r="P136" s="1178" t="s">
        <v>666</v>
      </c>
      <c r="Q136" s="811"/>
    </row>
    <row r="137" spans="1:18" x14ac:dyDescent="0.25">
      <c r="A137" s="298" t="s">
        <v>1202</v>
      </c>
      <c r="B137" s="298" t="s">
        <v>669</v>
      </c>
      <c r="C137" s="1218">
        <v>42013</v>
      </c>
      <c r="D137" s="260">
        <v>42317</v>
      </c>
      <c r="E137" s="1219"/>
      <c r="F137" s="1220"/>
      <c r="G137" s="262">
        <v>25000</v>
      </c>
      <c r="H137" s="630"/>
      <c r="I137" s="259">
        <v>14600</v>
      </c>
      <c r="J137" s="259"/>
      <c r="K137" s="259">
        <v>2400</v>
      </c>
      <c r="L137" s="1221"/>
      <c r="M137" s="1215">
        <f t="shared" si="11"/>
        <v>0</v>
      </c>
      <c r="N137" s="1216">
        <f t="shared" si="12"/>
        <v>17000</v>
      </c>
      <c r="O137" s="987">
        <v>42151</v>
      </c>
      <c r="P137" s="1178" t="s">
        <v>666</v>
      </c>
      <c r="Q137" s="813" t="s">
        <v>1618</v>
      </c>
    </row>
    <row r="138" spans="1:18" x14ac:dyDescent="0.25">
      <c r="A138" s="298" t="s">
        <v>1769</v>
      </c>
      <c r="B138" s="298" t="s">
        <v>1770</v>
      </c>
      <c r="C138" s="1218">
        <v>42164</v>
      </c>
      <c r="D138" s="260">
        <v>42469</v>
      </c>
      <c r="E138" s="1219"/>
      <c r="F138" s="1220"/>
      <c r="G138" s="262">
        <v>12000</v>
      </c>
      <c r="H138" s="630">
        <v>1200</v>
      </c>
      <c r="I138" s="259">
        <v>9600</v>
      </c>
      <c r="J138" s="259">
        <v>600</v>
      </c>
      <c r="K138" s="259">
        <v>4800</v>
      </c>
      <c r="L138" s="1221"/>
      <c r="M138" s="1215">
        <f t="shared" si="11"/>
        <v>1800</v>
      </c>
      <c r="N138" s="1216">
        <f t="shared" si="12"/>
        <v>14400</v>
      </c>
      <c r="O138" s="987">
        <v>42220</v>
      </c>
      <c r="P138" s="1178" t="s">
        <v>666</v>
      </c>
      <c r="Q138" s="813"/>
      <c r="R138" s="371" t="s">
        <v>666</v>
      </c>
    </row>
    <row r="139" spans="1:18" x14ac:dyDescent="0.25">
      <c r="A139" s="298" t="s">
        <v>1841</v>
      </c>
      <c r="B139" s="298" t="s">
        <v>1842</v>
      </c>
      <c r="C139" s="1218">
        <v>42132</v>
      </c>
      <c r="D139" s="260">
        <v>42255</v>
      </c>
      <c r="E139" s="1219"/>
      <c r="F139" s="1220"/>
      <c r="G139" s="262">
        <v>7000</v>
      </c>
      <c r="H139" s="630"/>
      <c r="I139" s="259">
        <v>3000</v>
      </c>
      <c r="J139" s="259"/>
      <c r="K139" s="259">
        <v>150</v>
      </c>
      <c r="L139" s="1221"/>
      <c r="M139" s="1215">
        <f t="shared" si="11"/>
        <v>0</v>
      </c>
      <c r="N139" s="1216">
        <f t="shared" si="12"/>
        <v>3150</v>
      </c>
      <c r="O139" s="987">
        <v>42216</v>
      </c>
      <c r="P139" s="1178" t="s">
        <v>666</v>
      </c>
      <c r="Q139" s="813"/>
    </row>
    <row r="140" spans="1:18" x14ac:dyDescent="0.25">
      <c r="A140" s="298" t="s">
        <v>483</v>
      </c>
      <c r="B140" s="298" t="s">
        <v>796</v>
      </c>
      <c r="C140" s="1218">
        <v>42114</v>
      </c>
      <c r="D140" s="260">
        <v>42420</v>
      </c>
      <c r="E140" s="1219"/>
      <c r="F140" s="1220"/>
      <c r="G140" s="262">
        <v>12000</v>
      </c>
      <c r="H140" s="630"/>
      <c r="I140" s="259">
        <v>11950</v>
      </c>
      <c r="J140" s="259"/>
      <c r="K140" s="259">
        <v>5980</v>
      </c>
      <c r="L140" s="1221"/>
      <c r="M140" s="1215">
        <f t="shared" si="11"/>
        <v>0</v>
      </c>
      <c r="N140" s="1216">
        <f t="shared" si="12"/>
        <v>17930</v>
      </c>
      <c r="O140" s="987">
        <v>42117</v>
      </c>
      <c r="P140" s="1178" t="s">
        <v>666</v>
      </c>
      <c r="Q140" s="813"/>
    </row>
    <row r="141" spans="1:18" x14ac:dyDescent="0.25">
      <c r="A141" s="298" t="s">
        <v>1771</v>
      </c>
      <c r="B141" s="298" t="s">
        <v>1621</v>
      </c>
      <c r="C141" s="1218">
        <v>42177</v>
      </c>
      <c r="D141" s="260">
        <v>42482</v>
      </c>
      <c r="E141" s="1219"/>
      <c r="F141" s="1220"/>
      <c r="G141" s="262">
        <v>30000</v>
      </c>
      <c r="H141" s="630"/>
      <c r="I141" s="259">
        <v>30000</v>
      </c>
      <c r="J141" s="259"/>
      <c r="K141" s="259">
        <v>12000</v>
      </c>
      <c r="L141" s="1221"/>
      <c r="M141" s="1215">
        <f t="shared" si="11"/>
        <v>0</v>
      </c>
      <c r="N141" s="1216">
        <f t="shared" si="12"/>
        <v>42000</v>
      </c>
      <c r="O141" s="987" t="s">
        <v>854</v>
      </c>
      <c r="P141" s="1178" t="s">
        <v>666</v>
      </c>
      <c r="Q141" s="813" t="s">
        <v>1652</v>
      </c>
      <c r="R141" s="371" t="s">
        <v>666</v>
      </c>
    </row>
    <row r="142" spans="1:18" x14ac:dyDescent="0.25">
      <c r="A142" s="298" t="s">
        <v>1401</v>
      </c>
      <c r="B142" s="298" t="s">
        <v>770</v>
      </c>
      <c r="C142" s="1218">
        <v>42009</v>
      </c>
      <c r="D142" s="1218">
        <v>42313</v>
      </c>
      <c r="E142" s="1219"/>
      <c r="F142" s="1220"/>
      <c r="G142" s="262">
        <v>15000</v>
      </c>
      <c r="H142" s="630">
        <v>3550</v>
      </c>
      <c r="I142" s="259">
        <v>11450</v>
      </c>
      <c r="J142" s="259">
        <v>3000</v>
      </c>
      <c r="K142" s="259">
        <v>4500</v>
      </c>
      <c r="L142" s="1221">
        <v>450</v>
      </c>
      <c r="M142" s="1215">
        <f t="shared" si="11"/>
        <v>7000</v>
      </c>
      <c r="N142" s="1216">
        <f t="shared" si="12"/>
        <v>15950</v>
      </c>
      <c r="O142" s="987">
        <v>42151</v>
      </c>
      <c r="P142" s="1178" t="s">
        <v>666</v>
      </c>
      <c r="Q142" s="813"/>
    </row>
    <row r="143" spans="1:18" x14ac:dyDescent="0.25">
      <c r="A143" s="298" t="s">
        <v>1401</v>
      </c>
      <c r="B143" s="298" t="s">
        <v>1307</v>
      </c>
      <c r="C143" s="1218">
        <v>42013</v>
      </c>
      <c r="D143" s="1218">
        <v>42317</v>
      </c>
      <c r="E143" s="1219"/>
      <c r="F143" s="1220"/>
      <c r="G143" s="262">
        <v>10000</v>
      </c>
      <c r="H143" s="630"/>
      <c r="I143" s="259">
        <v>10000</v>
      </c>
      <c r="J143" s="259"/>
      <c r="K143" s="259">
        <v>2500</v>
      </c>
      <c r="L143" s="1221"/>
      <c r="M143" s="1215">
        <f t="shared" si="11"/>
        <v>0</v>
      </c>
      <c r="N143" s="1216">
        <f t="shared" si="12"/>
        <v>12500</v>
      </c>
      <c r="O143" s="987" t="s">
        <v>76</v>
      </c>
      <c r="P143" s="1178" t="s">
        <v>666</v>
      </c>
      <c r="Q143" s="813" t="s">
        <v>1623</v>
      </c>
    </row>
    <row r="144" spans="1:18" x14ac:dyDescent="0.25">
      <c r="A144" s="298" t="s">
        <v>1247</v>
      </c>
      <c r="B144" s="298" t="s">
        <v>945</v>
      </c>
      <c r="C144" s="1218">
        <v>42192</v>
      </c>
      <c r="D144" s="1218">
        <v>42315</v>
      </c>
      <c r="E144" s="1219"/>
      <c r="F144" s="1220"/>
      <c r="G144" s="262">
        <v>18000</v>
      </c>
      <c r="H144" s="630">
        <v>4670</v>
      </c>
      <c r="I144" s="259">
        <v>13330</v>
      </c>
      <c r="J144" s="259">
        <v>1480</v>
      </c>
      <c r="K144" s="259">
        <v>2120</v>
      </c>
      <c r="L144" s="1221"/>
      <c r="M144" s="1215">
        <f t="shared" ref="M144:M147" si="13">+L144+J144+H144</f>
        <v>6150</v>
      </c>
      <c r="N144" s="1216">
        <f t="shared" si="12"/>
        <v>15450</v>
      </c>
      <c r="O144" s="987">
        <v>42240</v>
      </c>
      <c r="P144" s="1178" t="s">
        <v>666</v>
      </c>
      <c r="Q144" s="813" t="s">
        <v>1651</v>
      </c>
      <c r="R144" s="371" t="s">
        <v>666</v>
      </c>
    </row>
    <row r="145" spans="1:18" x14ac:dyDescent="0.25">
      <c r="A145" s="298" t="s">
        <v>1772</v>
      </c>
      <c r="B145" s="298" t="s">
        <v>461</v>
      </c>
      <c r="C145" s="1218">
        <v>42180</v>
      </c>
      <c r="D145" s="1218">
        <v>42485</v>
      </c>
      <c r="E145" s="1219"/>
      <c r="F145" s="1220"/>
      <c r="G145" s="262">
        <v>10000</v>
      </c>
      <c r="H145" s="630">
        <v>1000</v>
      </c>
      <c r="I145" s="259">
        <v>9000</v>
      </c>
      <c r="J145" s="259">
        <v>500</v>
      </c>
      <c r="K145" s="259">
        <v>4500</v>
      </c>
      <c r="L145" s="1221"/>
      <c r="M145" s="1215">
        <f t="shared" si="13"/>
        <v>1500</v>
      </c>
      <c r="N145" s="1216">
        <f t="shared" ref="N145:N176" si="14">+I145+K145</f>
        <v>13500</v>
      </c>
      <c r="O145" s="987">
        <v>42216</v>
      </c>
      <c r="P145" s="1178" t="s">
        <v>666</v>
      </c>
      <c r="Q145" s="813"/>
      <c r="R145" s="371" t="s">
        <v>666</v>
      </c>
    </row>
    <row r="146" spans="1:18" x14ac:dyDescent="0.25">
      <c r="A146" s="298" t="s">
        <v>1466</v>
      </c>
      <c r="B146" s="298" t="s">
        <v>675</v>
      </c>
      <c r="C146" s="1218">
        <v>42206</v>
      </c>
      <c r="D146" s="1218">
        <v>42390</v>
      </c>
      <c r="E146" s="1219"/>
      <c r="F146" s="1220"/>
      <c r="G146" s="262">
        <v>5000</v>
      </c>
      <c r="H146" s="630"/>
      <c r="I146" s="259">
        <v>5000</v>
      </c>
      <c r="J146" s="259"/>
      <c r="K146" s="259">
        <v>1500</v>
      </c>
      <c r="L146" s="1221"/>
      <c r="M146" s="1215">
        <f t="shared" si="13"/>
        <v>0</v>
      </c>
      <c r="N146" s="1216">
        <f t="shared" si="14"/>
        <v>6500</v>
      </c>
      <c r="O146" s="987" t="s">
        <v>479</v>
      </c>
      <c r="P146" s="1178" t="s">
        <v>666</v>
      </c>
      <c r="Q146" s="813"/>
      <c r="R146" s="371" t="s">
        <v>666</v>
      </c>
    </row>
    <row r="147" spans="1:18" x14ac:dyDescent="0.25">
      <c r="A147" s="298" t="s">
        <v>1240</v>
      </c>
      <c r="B147" s="298" t="s">
        <v>571</v>
      </c>
      <c r="C147" s="1218">
        <v>42013</v>
      </c>
      <c r="D147" s="1218">
        <v>42317</v>
      </c>
      <c r="E147" s="1219"/>
      <c r="F147" s="1220"/>
      <c r="G147" s="262">
        <v>25000</v>
      </c>
      <c r="H147" s="630"/>
      <c r="I147" s="259">
        <v>25000</v>
      </c>
      <c r="J147" s="259">
        <v>1250</v>
      </c>
      <c r="K147" s="259">
        <v>6250</v>
      </c>
      <c r="L147" s="1221"/>
      <c r="M147" s="1215">
        <f t="shared" si="13"/>
        <v>1250</v>
      </c>
      <c r="N147" s="1216">
        <f t="shared" si="14"/>
        <v>31250</v>
      </c>
      <c r="O147" s="987">
        <v>42186</v>
      </c>
      <c r="P147" s="1178" t="s">
        <v>666</v>
      </c>
      <c r="Q147" s="813"/>
    </row>
    <row r="148" spans="1:18" x14ac:dyDescent="0.25">
      <c r="A148" s="298" t="s">
        <v>1773</v>
      </c>
      <c r="B148" s="298" t="s">
        <v>1153</v>
      </c>
      <c r="C148" s="1218">
        <v>42191</v>
      </c>
      <c r="D148" s="1218">
        <v>42496</v>
      </c>
      <c r="E148" s="1219"/>
      <c r="F148" s="1220"/>
      <c r="G148" s="262">
        <v>30000</v>
      </c>
      <c r="H148" s="630"/>
      <c r="I148" s="259">
        <v>30000</v>
      </c>
      <c r="J148" s="259"/>
      <c r="K148" s="259">
        <v>15000</v>
      </c>
      <c r="L148" s="1221"/>
      <c r="M148" s="1215"/>
      <c r="N148" s="1216">
        <f t="shared" si="14"/>
        <v>45000</v>
      </c>
      <c r="O148" s="987" t="s">
        <v>479</v>
      </c>
      <c r="P148" s="1178" t="s">
        <v>666</v>
      </c>
      <c r="Q148" s="813" t="s">
        <v>1618</v>
      </c>
    </row>
    <row r="149" spans="1:18" x14ac:dyDescent="0.25">
      <c r="A149" s="298" t="s">
        <v>1070</v>
      </c>
      <c r="B149" s="298" t="s">
        <v>719</v>
      </c>
      <c r="C149" s="1218">
        <v>42067</v>
      </c>
      <c r="D149" s="1218">
        <v>42373</v>
      </c>
      <c r="E149" s="1219"/>
      <c r="F149" s="1220"/>
      <c r="G149" s="262">
        <v>15000</v>
      </c>
      <c r="H149" s="630">
        <v>3200</v>
      </c>
      <c r="I149" s="259">
        <v>9812</v>
      </c>
      <c r="J149" s="259">
        <v>1500</v>
      </c>
      <c r="K149" s="259">
        <v>4100</v>
      </c>
      <c r="L149" s="1221">
        <v>300</v>
      </c>
      <c r="M149" s="1215">
        <f t="shared" ref="M149:M170" si="15">+L149+J149+H149</f>
        <v>5000</v>
      </c>
      <c r="N149" s="1216">
        <f t="shared" si="14"/>
        <v>13912</v>
      </c>
      <c r="O149" s="987">
        <v>42201</v>
      </c>
      <c r="P149" s="1178" t="s">
        <v>666</v>
      </c>
      <c r="Q149" s="813"/>
    </row>
    <row r="150" spans="1:18" x14ac:dyDescent="0.25">
      <c r="A150" s="298" t="s">
        <v>1587</v>
      </c>
      <c r="B150" s="298" t="s">
        <v>1588</v>
      </c>
      <c r="C150" s="1218">
        <v>42151</v>
      </c>
      <c r="D150" s="1218">
        <v>42304</v>
      </c>
      <c r="E150" s="1219"/>
      <c r="F150" s="1220"/>
      <c r="G150" s="262">
        <v>8000</v>
      </c>
      <c r="H150" s="630"/>
      <c r="I150" s="259">
        <v>7150</v>
      </c>
      <c r="J150" s="259"/>
      <c r="K150" s="259">
        <v>1770</v>
      </c>
      <c r="L150" s="1221"/>
      <c r="M150" s="1215">
        <f t="shared" si="15"/>
        <v>0</v>
      </c>
      <c r="N150" s="1216">
        <f t="shared" si="14"/>
        <v>8920</v>
      </c>
      <c r="O150" s="987">
        <v>42183</v>
      </c>
      <c r="P150" s="1178" t="s">
        <v>666</v>
      </c>
      <c r="Q150" s="811" t="s">
        <v>1618</v>
      </c>
      <c r="R150" s="371" t="s">
        <v>666</v>
      </c>
    </row>
    <row r="151" spans="1:18" x14ac:dyDescent="0.25">
      <c r="A151" s="298" t="s">
        <v>1344</v>
      </c>
      <c r="B151" s="298" t="s">
        <v>461</v>
      </c>
      <c r="C151" s="1218">
        <v>41918</v>
      </c>
      <c r="D151" s="1218">
        <v>42069</v>
      </c>
      <c r="E151" s="1219"/>
      <c r="F151" s="1220"/>
      <c r="G151" s="262">
        <v>25000</v>
      </c>
      <c r="H151" s="630"/>
      <c r="I151" s="259">
        <v>9791</v>
      </c>
      <c r="J151" s="259"/>
      <c r="K151" s="259">
        <v>2500</v>
      </c>
      <c r="L151" s="1221"/>
      <c r="M151" s="1215">
        <f t="shared" si="15"/>
        <v>0</v>
      </c>
      <c r="N151" s="1216">
        <f t="shared" si="14"/>
        <v>12291</v>
      </c>
      <c r="O151" s="987">
        <v>42012</v>
      </c>
      <c r="P151" s="1178" t="s">
        <v>666</v>
      </c>
      <c r="Q151" s="811"/>
    </row>
    <row r="152" spans="1:18" x14ac:dyDescent="0.25">
      <c r="A152" s="298" t="s">
        <v>1078</v>
      </c>
      <c r="B152" s="298" t="s">
        <v>668</v>
      </c>
      <c r="C152" s="1218">
        <v>42156</v>
      </c>
      <c r="D152" s="1218">
        <v>42339</v>
      </c>
      <c r="E152" s="1219"/>
      <c r="F152" s="1220"/>
      <c r="G152" s="262">
        <v>8000</v>
      </c>
      <c r="H152" s="630">
        <v>1000</v>
      </c>
      <c r="I152" s="259">
        <v>7000</v>
      </c>
      <c r="J152" s="259">
        <v>700</v>
      </c>
      <c r="K152" s="259">
        <v>1700</v>
      </c>
      <c r="L152" s="1221"/>
      <c r="M152" s="1215">
        <f t="shared" si="15"/>
        <v>1700</v>
      </c>
      <c r="N152" s="1216">
        <f t="shared" si="14"/>
        <v>8700</v>
      </c>
      <c r="O152" s="987">
        <v>42217</v>
      </c>
      <c r="P152" s="1178" t="s">
        <v>666</v>
      </c>
      <c r="Q152" s="811" t="s">
        <v>1654</v>
      </c>
      <c r="R152" s="371" t="s">
        <v>666</v>
      </c>
    </row>
    <row r="153" spans="1:18" x14ac:dyDescent="0.25">
      <c r="A153" s="298" t="s">
        <v>1529</v>
      </c>
      <c r="B153" s="298" t="s">
        <v>1530</v>
      </c>
      <c r="C153" s="1218">
        <v>42142</v>
      </c>
      <c r="D153" s="1218">
        <v>42323</v>
      </c>
      <c r="E153" s="1219"/>
      <c r="F153" s="1220"/>
      <c r="G153" s="262">
        <v>5000</v>
      </c>
      <c r="H153" s="630">
        <v>800</v>
      </c>
      <c r="I153" s="259">
        <v>3800</v>
      </c>
      <c r="J153" s="259">
        <v>300</v>
      </c>
      <c r="K153" s="259">
        <v>1050</v>
      </c>
      <c r="L153" s="1221"/>
      <c r="M153" s="1215">
        <f t="shared" si="15"/>
        <v>1100</v>
      </c>
      <c r="N153" s="1216">
        <f t="shared" si="14"/>
        <v>4850</v>
      </c>
      <c r="O153" s="987">
        <v>42185</v>
      </c>
      <c r="P153" s="1178" t="s">
        <v>666</v>
      </c>
      <c r="Q153" s="811" t="s">
        <v>1611</v>
      </c>
      <c r="R153" s="371" t="s">
        <v>666</v>
      </c>
    </row>
    <row r="154" spans="1:18" x14ac:dyDescent="0.25">
      <c r="A154" s="298" t="s">
        <v>1775</v>
      </c>
      <c r="B154" s="298" t="s">
        <v>1201</v>
      </c>
      <c r="C154" s="1218">
        <v>42191</v>
      </c>
      <c r="D154" s="260">
        <v>42741</v>
      </c>
      <c r="E154" s="1219"/>
      <c r="F154" s="1220"/>
      <c r="G154" s="262">
        <v>5000</v>
      </c>
      <c r="H154" s="630"/>
      <c r="I154" s="259">
        <v>5000</v>
      </c>
      <c r="J154" s="259"/>
      <c r="K154" s="259">
        <v>1500</v>
      </c>
      <c r="L154" s="1221"/>
      <c r="M154" s="1215">
        <f t="shared" si="15"/>
        <v>0</v>
      </c>
      <c r="N154" s="1216">
        <f t="shared" si="14"/>
        <v>6500</v>
      </c>
      <c r="O154" s="987" t="s">
        <v>479</v>
      </c>
      <c r="P154" s="1178" t="s">
        <v>666</v>
      </c>
      <c r="Q154" s="811" t="s">
        <v>1618</v>
      </c>
    </row>
    <row r="155" spans="1:18" x14ac:dyDescent="0.25">
      <c r="A155" s="298" t="s">
        <v>953</v>
      </c>
      <c r="B155" s="298" t="s">
        <v>702</v>
      </c>
      <c r="C155" s="1218">
        <v>42107</v>
      </c>
      <c r="D155" s="260">
        <v>42413</v>
      </c>
      <c r="E155" s="1219">
        <f>+C155-D155</f>
        <v>-306</v>
      </c>
      <c r="F155" s="1220">
        <f>+E155/30</f>
        <v>-10.199999999999999</v>
      </c>
      <c r="G155" s="262">
        <v>4000</v>
      </c>
      <c r="H155" s="630"/>
      <c r="I155" s="259">
        <v>4000</v>
      </c>
      <c r="J155" s="259"/>
      <c r="K155" s="259">
        <v>2000</v>
      </c>
      <c r="L155" s="1221"/>
      <c r="M155" s="1215">
        <f t="shared" si="15"/>
        <v>0</v>
      </c>
      <c r="N155" s="1216">
        <f t="shared" si="14"/>
        <v>6000</v>
      </c>
      <c r="O155" s="987" t="s">
        <v>479</v>
      </c>
      <c r="P155" s="1178" t="s">
        <v>666</v>
      </c>
      <c r="Q155" s="811" t="s">
        <v>1575</v>
      </c>
    </row>
    <row r="156" spans="1:18" x14ac:dyDescent="0.25">
      <c r="A156" s="298" t="s">
        <v>1836</v>
      </c>
      <c r="B156" s="298" t="s">
        <v>1601</v>
      </c>
      <c r="C156" s="1218">
        <v>42205</v>
      </c>
      <c r="D156" s="260">
        <v>42328</v>
      </c>
      <c r="E156" s="1219"/>
      <c r="F156" s="1220"/>
      <c r="G156" s="262">
        <v>10000</v>
      </c>
      <c r="H156" s="630">
        <v>380</v>
      </c>
      <c r="I156" s="259">
        <v>9620</v>
      </c>
      <c r="J156" s="259">
        <v>80</v>
      </c>
      <c r="K156" s="259">
        <v>1920</v>
      </c>
      <c r="L156" s="1221"/>
      <c r="M156" s="1215">
        <f t="shared" si="15"/>
        <v>460</v>
      </c>
      <c r="N156" s="1216">
        <f t="shared" si="14"/>
        <v>11540</v>
      </c>
      <c r="O156" s="987">
        <v>42227</v>
      </c>
      <c r="P156" s="1178" t="s">
        <v>666</v>
      </c>
      <c r="Q156" s="811"/>
    </row>
    <row r="157" spans="1:18" x14ac:dyDescent="0.25">
      <c r="A157" s="298" t="s">
        <v>1273</v>
      </c>
      <c r="B157" s="298" t="s">
        <v>1259</v>
      </c>
      <c r="C157" s="1218">
        <v>42213</v>
      </c>
      <c r="D157" s="260">
        <v>42518</v>
      </c>
      <c r="E157" s="1219"/>
      <c r="F157" s="1220"/>
      <c r="G157" s="262">
        <v>25000</v>
      </c>
      <c r="H157" s="630"/>
      <c r="I157" s="259">
        <v>25000</v>
      </c>
      <c r="J157" s="259"/>
      <c r="K157" s="259">
        <v>12500</v>
      </c>
      <c r="L157" s="1221"/>
      <c r="M157" s="1215">
        <f t="shared" si="15"/>
        <v>0</v>
      </c>
      <c r="N157" s="1216">
        <f t="shared" si="14"/>
        <v>37500</v>
      </c>
      <c r="O157" s="987" t="s">
        <v>479</v>
      </c>
      <c r="P157" s="1178" t="s">
        <v>666</v>
      </c>
      <c r="Q157" s="811" t="s">
        <v>1618</v>
      </c>
      <c r="R157" s="371" t="s">
        <v>666</v>
      </c>
    </row>
    <row r="158" spans="1:18" x14ac:dyDescent="0.25">
      <c r="A158" s="298" t="s">
        <v>814</v>
      </c>
      <c r="B158" s="298" t="s">
        <v>487</v>
      </c>
      <c r="C158" s="1218">
        <v>42187</v>
      </c>
      <c r="D158" s="1218">
        <v>42310</v>
      </c>
      <c r="E158" s="1219">
        <f>+C158-D158</f>
        <v>-123</v>
      </c>
      <c r="F158" s="1220">
        <f>+E158/30</f>
        <v>-4.0999999999999996</v>
      </c>
      <c r="G158" s="262">
        <v>20000</v>
      </c>
      <c r="H158" s="630">
        <v>11100</v>
      </c>
      <c r="I158" s="259">
        <v>8900</v>
      </c>
      <c r="J158" s="259">
        <v>1910</v>
      </c>
      <c r="K158" s="259">
        <v>2090</v>
      </c>
      <c r="L158" s="1221"/>
      <c r="M158" s="1215">
        <f t="shared" si="15"/>
        <v>13010</v>
      </c>
      <c r="N158" s="1216">
        <f t="shared" si="14"/>
        <v>10990</v>
      </c>
      <c r="O158" s="987">
        <v>42238</v>
      </c>
      <c r="P158" s="1178" t="s">
        <v>666</v>
      </c>
      <c r="Q158" s="811"/>
    </row>
    <row r="159" spans="1:18" x14ac:dyDescent="0.25">
      <c r="A159" s="298" t="s">
        <v>1375</v>
      </c>
      <c r="B159" s="298" t="s">
        <v>668</v>
      </c>
      <c r="C159" s="1218">
        <v>42138</v>
      </c>
      <c r="D159" s="1218">
        <v>42322</v>
      </c>
      <c r="E159" s="1219"/>
      <c r="F159" s="1220"/>
      <c r="G159" s="262">
        <v>10000</v>
      </c>
      <c r="H159" s="630">
        <v>1350</v>
      </c>
      <c r="I159" s="259">
        <v>4120</v>
      </c>
      <c r="J159" s="259">
        <v>200</v>
      </c>
      <c r="K159" s="259">
        <v>680</v>
      </c>
      <c r="L159" s="1221"/>
      <c r="M159" s="1215">
        <f t="shared" si="15"/>
        <v>1550</v>
      </c>
      <c r="N159" s="1216">
        <f t="shared" si="14"/>
        <v>4800</v>
      </c>
      <c r="O159" s="987">
        <v>42231</v>
      </c>
      <c r="P159" s="1178" t="s">
        <v>666</v>
      </c>
      <c r="Q159" s="811"/>
      <c r="R159" s="371" t="s">
        <v>666</v>
      </c>
    </row>
    <row r="160" spans="1:18" x14ac:dyDescent="0.25">
      <c r="A160" s="298" t="s">
        <v>1835</v>
      </c>
      <c r="B160" s="298" t="s">
        <v>945</v>
      </c>
      <c r="C160" s="1218">
        <v>42120</v>
      </c>
      <c r="D160" s="1218">
        <v>42426</v>
      </c>
      <c r="E160" s="1219"/>
      <c r="F160" s="1220"/>
      <c r="G160" s="262">
        <v>8000</v>
      </c>
      <c r="H160" s="630"/>
      <c r="I160" s="259">
        <v>5860</v>
      </c>
      <c r="J160" s="259"/>
      <c r="K160" s="259">
        <v>3440</v>
      </c>
      <c r="L160" s="1221"/>
      <c r="M160" s="1215">
        <f t="shared" si="15"/>
        <v>0</v>
      </c>
      <c r="N160" s="1216">
        <f t="shared" si="14"/>
        <v>9300</v>
      </c>
      <c r="O160" s="987">
        <v>42189</v>
      </c>
      <c r="P160" s="1178" t="s">
        <v>666</v>
      </c>
      <c r="Q160" s="811"/>
    </row>
    <row r="161" spans="1:18" x14ac:dyDescent="0.25">
      <c r="A161" s="298" t="s">
        <v>815</v>
      </c>
      <c r="B161" s="298" t="s">
        <v>461</v>
      </c>
      <c r="C161" s="1218">
        <v>41961</v>
      </c>
      <c r="D161" s="260">
        <v>42265</v>
      </c>
      <c r="E161" s="1219"/>
      <c r="F161" s="1220"/>
      <c r="G161" s="262">
        <v>10000</v>
      </c>
      <c r="H161" s="630">
        <v>800</v>
      </c>
      <c r="I161" s="259">
        <v>8290</v>
      </c>
      <c r="J161" s="259">
        <v>200</v>
      </c>
      <c r="K161" s="259">
        <v>4170</v>
      </c>
      <c r="L161" s="1221"/>
      <c r="M161" s="1215">
        <f t="shared" si="15"/>
        <v>1000</v>
      </c>
      <c r="N161" s="1216">
        <f t="shared" si="14"/>
        <v>12460</v>
      </c>
      <c r="O161" s="987">
        <v>42223</v>
      </c>
      <c r="P161" s="1178" t="s">
        <v>666</v>
      </c>
      <c r="Q161" s="811"/>
      <c r="R161" s="371" t="s">
        <v>666</v>
      </c>
    </row>
    <row r="162" spans="1:18" x14ac:dyDescent="0.25">
      <c r="A162" s="298" t="s">
        <v>1257</v>
      </c>
      <c r="B162" s="298" t="s">
        <v>499</v>
      </c>
      <c r="C162" s="1218">
        <v>42114</v>
      </c>
      <c r="D162" s="260">
        <v>42277</v>
      </c>
      <c r="E162" s="1219">
        <f>+C162-D162</f>
        <v>-163</v>
      </c>
      <c r="F162" s="1220"/>
      <c r="G162" s="262">
        <v>20000</v>
      </c>
      <c r="H162" s="630">
        <v>5000</v>
      </c>
      <c r="I162" s="259">
        <v>9166</v>
      </c>
      <c r="J162" s="259"/>
      <c r="K162" s="259">
        <v>1000</v>
      </c>
      <c r="L162" s="1221"/>
      <c r="M162" s="1215">
        <f t="shared" si="15"/>
        <v>5000</v>
      </c>
      <c r="N162" s="1216">
        <f t="shared" si="14"/>
        <v>10166</v>
      </c>
      <c r="O162" s="987">
        <v>42220</v>
      </c>
      <c r="P162" s="1178" t="s">
        <v>666</v>
      </c>
      <c r="Q162" s="813"/>
      <c r="R162" s="371" t="s">
        <v>666</v>
      </c>
    </row>
    <row r="163" spans="1:18" x14ac:dyDescent="0.25">
      <c r="A163" s="298" t="s">
        <v>1162</v>
      </c>
      <c r="B163" s="298" t="s">
        <v>1163</v>
      </c>
      <c r="C163" s="1218">
        <v>42199</v>
      </c>
      <c r="D163" s="260">
        <v>42383</v>
      </c>
      <c r="E163" s="1219"/>
      <c r="F163" s="1220"/>
      <c r="G163" s="262">
        <v>4000</v>
      </c>
      <c r="H163" s="630"/>
      <c r="I163" s="259">
        <v>4000</v>
      </c>
      <c r="J163" s="259"/>
      <c r="K163" s="259">
        <v>1300</v>
      </c>
      <c r="L163" s="1221"/>
      <c r="M163" s="1215">
        <f t="shared" si="15"/>
        <v>0</v>
      </c>
      <c r="N163" s="1216">
        <f t="shared" si="14"/>
        <v>5300</v>
      </c>
      <c r="O163" s="987" t="s">
        <v>479</v>
      </c>
      <c r="P163" s="1178" t="s">
        <v>666</v>
      </c>
      <c r="Q163" s="813" t="s">
        <v>1618</v>
      </c>
    </row>
    <row r="164" spans="1:18" x14ac:dyDescent="0.25">
      <c r="A164" s="298" t="s">
        <v>938</v>
      </c>
      <c r="B164" s="298" t="s">
        <v>867</v>
      </c>
      <c r="C164" s="1218">
        <v>42031</v>
      </c>
      <c r="D164" s="260">
        <v>42335</v>
      </c>
      <c r="E164" s="1219"/>
      <c r="F164" s="1220"/>
      <c r="G164" s="262">
        <v>10000</v>
      </c>
      <c r="H164" s="630"/>
      <c r="I164" s="259">
        <v>10000</v>
      </c>
      <c r="J164" s="259">
        <v>400</v>
      </c>
      <c r="K164" s="259">
        <v>4600</v>
      </c>
      <c r="L164" s="1221">
        <v>100</v>
      </c>
      <c r="M164" s="1215">
        <f t="shared" si="15"/>
        <v>500</v>
      </c>
      <c r="N164" s="1216">
        <f t="shared" si="14"/>
        <v>14600</v>
      </c>
      <c r="O164" s="987">
        <v>42067</v>
      </c>
      <c r="P164" s="1178" t="s">
        <v>666</v>
      </c>
      <c r="Q164" s="811" t="s">
        <v>666</v>
      </c>
    </row>
    <row r="165" spans="1:18" x14ac:dyDescent="0.25">
      <c r="A165" s="298" t="s">
        <v>1531</v>
      </c>
      <c r="B165" s="298" t="s">
        <v>1776</v>
      </c>
      <c r="C165" s="1218">
        <v>42157</v>
      </c>
      <c r="D165" s="260">
        <v>42340</v>
      </c>
      <c r="E165" s="1219"/>
      <c r="F165" s="1220"/>
      <c r="G165" s="262">
        <v>25000</v>
      </c>
      <c r="H165" s="630"/>
      <c r="I165" s="259">
        <v>25000</v>
      </c>
      <c r="J165" s="259"/>
      <c r="K165" s="259">
        <v>2500</v>
      </c>
      <c r="L165" s="1221"/>
      <c r="M165" s="1215">
        <f t="shared" si="15"/>
        <v>0</v>
      </c>
      <c r="N165" s="1216">
        <f t="shared" si="14"/>
        <v>27500</v>
      </c>
      <c r="O165" s="987" t="s">
        <v>479</v>
      </c>
      <c r="P165" s="1178" t="s">
        <v>666</v>
      </c>
      <c r="Q165" s="813" t="s">
        <v>1618</v>
      </c>
    </row>
    <row r="166" spans="1:18" x14ac:dyDescent="0.25">
      <c r="A166" s="298" t="s">
        <v>966</v>
      </c>
      <c r="B166" s="298" t="s">
        <v>1598</v>
      </c>
      <c r="C166" s="1218">
        <v>42200</v>
      </c>
      <c r="D166" s="1232">
        <v>42231</v>
      </c>
      <c r="E166" s="1219"/>
      <c r="F166" s="1220"/>
      <c r="G166" s="262">
        <v>50000</v>
      </c>
      <c r="H166" s="630"/>
      <c r="I166" s="259">
        <v>50000</v>
      </c>
      <c r="J166" s="259"/>
      <c r="K166" s="259">
        <v>1000</v>
      </c>
      <c r="L166" s="1221"/>
      <c r="M166" s="1215">
        <f t="shared" si="15"/>
        <v>0</v>
      </c>
      <c r="N166" s="1216">
        <f t="shared" si="14"/>
        <v>51000</v>
      </c>
      <c r="O166" s="987" t="s">
        <v>77</v>
      </c>
      <c r="P166" s="1178" t="s">
        <v>666</v>
      </c>
      <c r="Q166" s="813"/>
      <c r="R166" s="371" t="s">
        <v>666</v>
      </c>
    </row>
    <row r="167" spans="1:18" x14ac:dyDescent="0.25">
      <c r="A167" s="298" t="s">
        <v>1777</v>
      </c>
      <c r="B167" s="298" t="s">
        <v>1266</v>
      </c>
      <c r="C167" s="1218">
        <v>42195</v>
      </c>
      <c r="D167" s="260">
        <v>42348</v>
      </c>
      <c r="E167" s="1219"/>
      <c r="F167" s="1220"/>
      <c r="G167" s="262">
        <v>10000</v>
      </c>
      <c r="H167" s="630"/>
      <c r="I167" s="259">
        <v>10000</v>
      </c>
      <c r="J167" s="259"/>
      <c r="K167" s="259">
        <v>1000</v>
      </c>
      <c r="L167" s="1221"/>
      <c r="M167" s="1215">
        <f t="shared" si="15"/>
        <v>0</v>
      </c>
      <c r="N167" s="1216">
        <f t="shared" si="14"/>
        <v>11000</v>
      </c>
      <c r="O167" s="987" t="s">
        <v>1778</v>
      </c>
      <c r="P167" s="1178" t="s">
        <v>666</v>
      </c>
      <c r="Q167" s="813"/>
    </row>
    <row r="168" spans="1:18" x14ac:dyDescent="0.25">
      <c r="A168" s="298" t="s">
        <v>1602</v>
      </c>
      <c r="B168" s="298" t="s">
        <v>1041</v>
      </c>
      <c r="C168" s="1218">
        <v>42010</v>
      </c>
      <c r="D168" s="260">
        <v>42314</v>
      </c>
      <c r="E168" s="1219"/>
      <c r="F168" s="1220"/>
      <c r="G168" s="262">
        <v>10000</v>
      </c>
      <c r="H168" s="630">
        <v>4500</v>
      </c>
      <c r="I168" s="259">
        <v>5500</v>
      </c>
      <c r="J168" s="259">
        <v>500</v>
      </c>
      <c r="K168" s="259">
        <v>4500</v>
      </c>
      <c r="L168" s="1221"/>
      <c r="M168" s="1215">
        <f t="shared" si="15"/>
        <v>5000</v>
      </c>
      <c r="N168" s="1216">
        <f t="shared" si="14"/>
        <v>10000</v>
      </c>
      <c r="O168" s="987">
        <v>42083</v>
      </c>
      <c r="P168" s="1178" t="s">
        <v>666</v>
      </c>
      <c r="Q168" s="813"/>
    </row>
    <row r="169" spans="1:18" x14ac:dyDescent="0.25">
      <c r="A169" s="298" t="s">
        <v>1779</v>
      </c>
      <c r="B169" s="298" t="s">
        <v>721</v>
      </c>
      <c r="C169" s="1218">
        <v>42164</v>
      </c>
      <c r="D169" s="260">
        <v>42469</v>
      </c>
      <c r="E169" s="1219"/>
      <c r="F169" s="1220"/>
      <c r="G169" s="262">
        <v>20000</v>
      </c>
      <c r="H169" s="630"/>
      <c r="I169" s="259">
        <v>20000</v>
      </c>
      <c r="J169" s="259"/>
      <c r="K169" s="259">
        <v>10000</v>
      </c>
      <c r="L169" s="1221"/>
      <c r="M169" s="1215">
        <f t="shared" si="15"/>
        <v>0</v>
      </c>
      <c r="N169" s="1216">
        <f t="shared" si="14"/>
        <v>30000</v>
      </c>
      <c r="O169" s="987" t="s">
        <v>479</v>
      </c>
      <c r="P169" s="1178" t="s">
        <v>666</v>
      </c>
      <c r="Q169" s="813"/>
    </row>
    <row r="170" spans="1:18" x14ac:dyDescent="0.25">
      <c r="A170" s="298" t="s">
        <v>1706</v>
      </c>
      <c r="B170" s="298" t="s">
        <v>865</v>
      </c>
      <c r="C170" s="1218">
        <v>42094</v>
      </c>
      <c r="D170" s="260">
        <v>42400</v>
      </c>
      <c r="E170" s="1219"/>
      <c r="F170" s="1220"/>
      <c r="G170" s="262">
        <v>13300</v>
      </c>
      <c r="H170" s="630"/>
      <c r="I170" s="259">
        <v>12900</v>
      </c>
      <c r="J170" s="259"/>
      <c r="K170" s="259">
        <v>6550</v>
      </c>
      <c r="L170" s="1221"/>
      <c r="M170" s="1215">
        <f t="shared" si="15"/>
        <v>0</v>
      </c>
      <c r="N170" s="1216">
        <f t="shared" si="14"/>
        <v>19450</v>
      </c>
      <c r="O170" s="987">
        <v>42147</v>
      </c>
      <c r="P170" s="1178" t="s">
        <v>666</v>
      </c>
      <c r="Q170" s="813"/>
    </row>
    <row r="171" spans="1:18" x14ac:dyDescent="0.25">
      <c r="A171" s="298" t="s">
        <v>1402</v>
      </c>
      <c r="B171" s="298" t="s">
        <v>1843</v>
      </c>
      <c r="C171" s="1218">
        <v>42151</v>
      </c>
      <c r="D171" s="260">
        <v>42335</v>
      </c>
      <c r="E171" s="1219"/>
      <c r="F171" s="1220"/>
      <c r="G171" s="262">
        <v>25000</v>
      </c>
      <c r="H171" s="630"/>
      <c r="I171" s="259">
        <v>25000</v>
      </c>
      <c r="J171" s="259"/>
      <c r="K171" s="259">
        <v>2500</v>
      </c>
      <c r="L171" s="1221"/>
      <c r="M171" s="1215">
        <f t="shared" ref="M171:M176" si="16">+L171+J171+H171</f>
        <v>0</v>
      </c>
      <c r="N171" s="1216">
        <f t="shared" si="14"/>
        <v>27500</v>
      </c>
      <c r="O171" s="987" t="s">
        <v>862</v>
      </c>
      <c r="P171" s="1178" t="s">
        <v>666</v>
      </c>
      <c r="Q171" s="813"/>
    </row>
    <row r="172" spans="1:18" x14ac:dyDescent="0.25">
      <c r="A172" s="298" t="s">
        <v>1533</v>
      </c>
      <c r="B172" s="298" t="s">
        <v>755</v>
      </c>
      <c r="C172" s="1218">
        <v>42151</v>
      </c>
      <c r="D172" s="260">
        <v>42335</v>
      </c>
      <c r="E172" s="1219"/>
      <c r="F172" s="1220"/>
      <c r="G172" s="262">
        <v>60000</v>
      </c>
      <c r="H172" s="630"/>
      <c r="I172" s="259">
        <v>60000</v>
      </c>
      <c r="J172" s="259"/>
      <c r="K172" s="259">
        <v>6000</v>
      </c>
      <c r="L172" s="1221"/>
      <c r="M172" s="1215">
        <f t="shared" si="16"/>
        <v>0</v>
      </c>
      <c r="N172" s="1216">
        <f t="shared" si="14"/>
        <v>66000</v>
      </c>
      <c r="O172" s="987" t="s">
        <v>862</v>
      </c>
      <c r="P172" s="1178" t="s">
        <v>666</v>
      </c>
      <c r="Q172" s="813"/>
    </row>
    <row r="173" spans="1:18" x14ac:dyDescent="0.25">
      <c r="A173" s="298" t="s">
        <v>1281</v>
      </c>
      <c r="B173" s="298" t="s">
        <v>925</v>
      </c>
      <c r="C173" s="1218">
        <v>41962</v>
      </c>
      <c r="D173" s="260">
        <v>42266</v>
      </c>
      <c r="E173" s="1219"/>
      <c r="F173" s="1220"/>
      <c r="G173" s="262">
        <v>5000</v>
      </c>
      <c r="H173" s="630"/>
      <c r="I173" s="259">
        <v>5000</v>
      </c>
      <c r="J173" s="259"/>
      <c r="K173" s="259">
        <v>2500</v>
      </c>
      <c r="L173" s="1221"/>
      <c r="M173" s="1215">
        <f t="shared" si="16"/>
        <v>0</v>
      </c>
      <c r="N173" s="1216">
        <f t="shared" si="14"/>
        <v>7500</v>
      </c>
      <c r="O173" s="987" t="s">
        <v>479</v>
      </c>
      <c r="P173" s="1178" t="s">
        <v>666</v>
      </c>
      <c r="Q173" s="811" t="s">
        <v>1611</v>
      </c>
      <c r="R173" s="371" t="s">
        <v>666</v>
      </c>
    </row>
    <row r="174" spans="1:18" x14ac:dyDescent="0.25">
      <c r="A174" s="575" t="s">
        <v>1426</v>
      </c>
      <c r="B174" s="298" t="s">
        <v>1427</v>
      </c>
      <c r="C174" s="1218">
        <v>42159</v>
      </c>
      <c r="D174" s="260">
        <v>42342</v>
      </c>
      <c r="E174" s="1219">
        <f>+C174-D174</f>
        <v>-183</v>
      </c>
      <c r="F174" s="1220"/>
      <c r="G174" s="262">
        <v>25000</v>
      </c>
      <c r="H174" s="630">
        <v>4750</v>
      </c>
      <c r="I174" s="259">
        <v>9000</v>
      </c>
      <c r="J174" s="259">
        <v>950</v>
      </c>
      <c r="K174" s="259">
        <v>3050</v>
      </c>
      <c r="L174" s="1221"/>
      <c r="M174" s="1215">
        <f t="shared" si="16"/>
        <v>5700</v>
      </c>
      <c r="N174" s="1216">
        <f t="shared" si="14"/>
        <v>12050</v>
      </c>
      <c r="O174" s="1233">
        <v>42238</v>
      </c>
      <c r="P174" s="1178" t="s">
        <v>666</v>
      </c>
      <c r="Q174" s="811" t="s">
        <v>1655</v>
      </c>
      <c r="R174" s="371" t="s">
        <v>666</v>
      </c>
    </row>
    <row r="175" spans="1:18" x14ac:dyDescent="0.25">
      <c r="A175" s="575" t="s">
        <v>1786</v>
      </c>
      <c r="B175" s="298" t="s">
        <v>1787</v>
      </c>
      <c r="C175" s="1218">
        <v>42206</v>
      </c>
      <c r="D175" s="260">
        <v>42359</v>
      </c>
      <c r="E175" s="1219">
        <f>+C175-D175</f>
        <v>-153</v>
      </c>
      <c r="F175" s="1220"/>
      <c r="G175" s="262">
        <v>70000</v>
      </c>
      <c r="H175" s="630"/>
      <c r="I175" s="259">
        <v>70000</v>
      </c>
      <c r="J175" s="259"/>
      <c r="K175" s="259">
        <v>3500</v>
      </c>
      <c r="L175" s="1221"/>
      <c r="M175" s="1215">
        <f t="shared" si="16"/>
        <v>0</v>
      </c>
      <c r="N175" s="1216">
        <f t="shared" si="14"/>
        <v>73500</v>
      </c>
      <c r="O175" s="1233" t="s">
        <v>862</v>
      </c>
      <c r="P175" s="1178" t="s">
        <v>666</v>
      </c>
      <c r="Q175" s="813" t="s">
        <v>1618</v>
      </c>
    </row>
    <row r="176" spans="1:18" x14ac:dyDescent="0.25">
      <c r="A176" s="575" t="s">
        <v>1786</v>
      </c>
      <c r="B176" s="298" t="s">
        <v>1787</v>
      </c>
      <c r="C176" s="1218">
        <v>42212</v>
      </c>
      <c r="D176" s="260">
        <v>42335</v>
      </c>
      <c r="E176" s="1219"/>
      <c r="F176" s="1220"/>
      <c r="G176" s="262">
        <v>35000</v>
      </c>
      <c r="H176" s="630"/>
      <c r="I176" s="259">
        <v>35000</v>
      </c>
      <c r="J176" s="259"/>
      <c r="K176" s="259">
        <v>3500</v>
      </c>
      <c r="L176" s="1221"/>
      <c r="M176" s="1215">
        <f t="shared" si="16"/>
        <v>0</v>
      </c>
      <c r="N176" s="1216">
        <f t="shared" si="14"/>
        <v>38500</v>
      </c>
      <c r="O176" s="1233" t="s">
        <v>1754</v>
      </c>
      <c r="P176" s="1178" t="s">
        <v>666</v>
      </c>
      <c r="Q176" s="813"/>
    </row>
    <row r="177" spans="1:18" x14ac:dyDescent="0.25">
      <c r="A177" s="575" t="s">
        <v>1784</v>
      </c>
      <c r="B177" s="304" t="s">
        <v>1785</v>
      </c>
      <c r="C177" s="1218">
        <v>42194</v>
      </c>
      <c r="D177" s="260">
        <v>42499</v>
      </c>
      <c r="E177" s="1219">
        <f t="shared" ref="E177:E182" si="17">+C177-D177</f>
        <v>-305</v>
      </c>
      <c r="F177" s="1220"/>
      <c r="G177" s="262">
        <v>20000</v>
      </c>
      <c r="H177" s="630">
        <v>2000</v>
      </c>
      <c r="I177" s="259">
        <v>18000</v>
      </c>
      <c r="J177" s="259">
        <v>1000</v>
      </c>
      <c r="K177" s="259">
        <v>9000</v>
      </c>
      <c r="L177" s="1221">
        <v>35</v>
      </c>
      <c r="M177" s="1215">
        <f t="shared" ref="M177:M202" si="18">+L177+J177+H177</f>
        <v>3035</v>
      </c>
      <c r="N177" s="1216">
        <f t="shared" ref="N177:N208" si="19">+I177+K177</f>
        <v>27000</v>
      </c>
      <c r="O177" s="1233">
        <v>42237</v>
      </c>
      <c r="P177" s="1178" t="s">
        <v>666</v>
      </c>
      <c r="Q177" s="813"/>
    </row>
    <row r="178" spans="1:18" x14ac:dyDescent="0.25">
      <c r="A178" s="575" t="s">
        <v>1173</v>
      </c>
      <c r="B178" s="298" t="s">
        <v>803</v>
      </c>
      <c r="C178" s="1218">
        <v>42171</v>
      </c>
      <c r="D178" s="260">
        <v>42476</v>
      </c>
      <c r="E178" s="1219">
        <f t="shared" si="17"/>
        <v>-305</v>
      </c>
      <c r="F178" s="1220">
        <f>+E178/30</f>
        <v>-10.166666666666666</v>
      </c>
      <c r="G178" s="262">
        <v>10000</v>
      </c>
      <c r="H178" s="630">
        <v>1000</v>
      </c>
      <c r="I178" s="259">
        <v>9000</v>
      </c>
      <c r="J178" s="259">
        <v>500</v>
      </c>
      <c r="K178" s="259">
        <v>4500</v>
      </c>
      <c r="L178" s="1221"/>
      <c r="M178" s="1215">
        <f t="shared" si="18"/>
        <v>1500</v>
      </c>
      <c r="N178" s="1216">
        <f t="shared" si="19"/>
        <v>13500</v>
      </c>
      <c r="O178" s="1233">
        <v>42201</v>
      </c>
      <c r="P178" s="1178" t="s">
        <v>666</v>
      </c>
      <c r="Q178" s="813"/>
    </row>
    <row r="179" spans="1:18" x14ac:dyDescent="0.25">
      <c r="A179" s="575" t="s">
        <v>654</v>
      </c>
      <c r="B179" s="298" t="s">
        <v>655</v>
      </c>
      <c r="C179" s="1218">
        <v>42129</v>
      </c>
      <c r="D179" s="260">
        <v>42252</v>
      </c>
      <c r="E179" s="1219">
        <f t="shared" si="17"/>
        <v>-123</v>
      </c>
      <c r="F179" s="1220">
        <f>+E179/30</f>
        <v>-4.0999999999999996</v>
      </c>
      <c r="G179" s="262">
        <v>5000</v>
      </c>
      <c r="H179" s="630">
        <v>750</v>
      </c>
      <c r="I179" s="259">
        <v>1260</v>
      </c>
      <c r="J179" s="259">
        <v>150</v>
      </c>
      <c r="K179" s="259">
        <v>730</v>
      </c>
      <c r="L179" s="1221"/>
      <c r="M179" s="1215">
        <f t="shared" si="18"/>
        <v>900</v>
      </c>
      <c r="N179" s="1216">
        <f t="shared" si="19"/>
        <v>1990</v>
      </c>
      <c r="O179" s="1233">
        <v>42236</v>
      </c>
      <c r="P179" s="1178" t="s">
        <v>666</v>
      </c>
      <c r="Q179" s="811" t="s">
        <v>1656</v>
      </c>
      <c r="R179" s="371" t="s">
        <v>666</v>
      </c>
    </row>
    <row r="180" spans="1:18" x14ac:dyDescent="0.25">
      <c r="A180" s="575" t="s">
        <v>1325</v>
      </c>
      <c r="B180" s="298" t="s">
        <v>839</v>
      </c>
      <c r="C180" s="1218">
        <v>42213</v>
      </c>
      <c r="D180" s="260">
        <v>42336</v>
      </c>
      <c r="E180" s="1219">
        <f t="shared" si="17"/>
        <v>-123</v>
      </c>
      <c r="F180" s="1220">
        <f>+E180/30</f>
        <v>-4.0999999999999996</v>
      </c>
      <c r="G180" s="262">
        <v>2500</v>
      </c>
      <c r="H180" s="630"/>
      <c r="I180" s="259">
        <v>2500</v>
      </c>
      <c r="J180" s="259"/>
      <c r="K180" s="259">
        <v>500</v>
      </c>
      <c r="L180" s="1221"/>
      <c r="M180" s="1215">
        <f t="shared" si="18"/>
        <v>0</v>
      </c>
      <c r="N180" s="1216">
        <f t="shared" si="19"/>
        <v>3000</v>
      </c>
      <c r="O180" s="1233" t="s">
        <v>479</v>
      </c>
      <c r="P180" s="1178" t="s">
        <v>666</v>
      </c>
      <c r="Q180" s="813"/>
      <c r="R180" s="371" t="s">
        <v>666</v>
      </c>
    </row>
    <row r="181" spans="1:18" x14ac:dyDescent="0.25">
      <c r="A181" s="575" t="s">
        <v>1781</v>
      </c>
      <c r="B181" s="298" t="s">
        <v>461</v>
      </c>
      <c r="C181" s="1218">
        <v>42166</v>
      </c>
      <c r="D181" s="260">
        <v>42287</v>
      </c>
      <c r="E181" s="1219">
        <f t="shared" si="17"/>
        <v>-121</v>
      </c>
      <c r="F181" s="1220">
        <f>+E181/30</f>
        <v>-4.0333333333333332</v>
      </c>
      <c r="G181" s="262">
        <v>5000</v>
      </c>
      <c r="H181" s="630">
        <v>400</v>
      </c>
      <c r="I181" s="259">
        <v>4600</v>
      </c>
      <c r="J181" s="259">
        <v>100</v>
      </c>
      <c r="K181" s="259">
        <v>900</v>
      </c>
      <c r="L181" s="1221"/>
      <c r="M181" s="1215">
        <f t="shared" si="18"/>
        <v>500</v>
      </c>
      <c r="N181" s="1216">
        <f t="shared" si="19"/>
        <v>5500</v>
      </c>
      <c r="O181" s="1233">
        <v>42186</v>
      </c>
      <c r="P181" s="1178" t="s">
        <v>666</v>
      </c>
      <c r="Q181" s="813" t="s">
        <v>1611</v>
      </c>
    </row>
    <row r="182" spans="1:18" x14ac:dyDescent="0.25">
      <c r="A182" s="575" t="s">
        <v>1782</v>
      </c>
      <c r="B182" s="298" t="s">
        <v>1783</v>
      </c>
      <c r="C182" s="1218">
        <v>42066</v>
      </c>
      <c r="D182" s="1234">
        <v>42372</v>
      </c>
      <c r="E182" s="1219">
        <f t="shared" si="17"/>
        <v>-306</v>
      </c>
      <c r="F182" s="1220">
        <f>+E182/30</f>
        <v>-10.199999999999999</v>
      </c>
      <c r="G182" s="262">
        <v>40000</v>
      </c>
      <c r="H182" s="630">
        <v>2000</v>
      </c>
      <c r="I182" s="259">
        <v>38000</v>
      </c>
      <c r="J182" s="259">
        <v>2000</v>
      </c>
      <c r="K182" s="259">
        <v>18000</v>
      </c>
      <c r="L182" s="1221">
        <v>1000</v>
      </c>
      <c r="M182" s="1215">
        <f t="shared" si="18"/>
        <v>5000</v>
      </c>
      <c r="N182" s="1216">
        <f t="shared" si="19"/>
        <v>56000</v>
      </c>
      <c r="O182" s="1233">
        <v>42226</v>
      </c>
      <c r="P182" s="1178" t="s">
        <v>666</v>
      </c>
      <c r="Q182" s="813" t="s">
        <v>1618</v>
      </c>
      <c r="R182" s="371" t="s">
        <v>666</v>
      </c>
    </row>
    <row r="183" spans="1:18" x14ac:dyDescent="0.25">
      <c r="A183" s="575" t="s">
        <v>1657</v>
      </c>
      <c r="B183" s="298" t="s">
        <v>1658</v>
      </c>
      <c r="C183" s="1218">
        <v>41948</v>
      </c>
      <c r="D183" s="1234">
        <v>42252</v>
      </c>
      <c r="E183" s="1219"/>
      <c r="F183" s="1220"/>
      <c r="G183" s="262">
        <v>8000</v>
      </c>
      <c r="H183" s="630"/>
      <c r="I183" s="259">
        <v>6600</v>
      </c>
      <c r="J183" s="259">
        <v>350</v>
      </c>
      <c r="K183" s="259">
        <v>2950</v>
      </c>
      <c r="L183" s="1221">
        <v>350</v>
      </c>
      <c r="M183" s="1215">
        <f t="shared" si="18"/>
        <v>700</v>
      </c>
      <c r="N183" s="1216">
        <f t="shared" si="19"/>
        <v>9550</v>
      </c>
      <c r="O183" s="1233">
        <v>42200</v>
      </c>
      <c r="P183" s="1178" t="s">
        <v>666</v>
      </c>
      <c r="Q183" s="813"/>
    </row>
    <row r="184" spans="1:18" x14ac:dyDescent="0.25">
      <c r="A184" s="575" t="s">
        <v>1283</v>
      </c>
      <c r="B184" s="298" t="s">
        <v>1485</v>
      </c>
      <c r="C184" s="1218">
        <v>42166</v>
      </c>
      <c r="D184" s="260">
        <v>42471</v>
      </c>
      <c r="E184" s="1219"/>
      <c r="F184" s="1220"/>
      <c r="G184" s="262">
        <v>34000</v>
      </c>
      <c r="H184" s="630">
        <v>11300</v>
      </c>
      <c r="I184" s="259">
        <v>10400</v>
      </c>
      <c r="J184" s="259">
        <v>1700</v>
      </c>
      <c r="K184" s="259">
        <v>13600</v>
      </c>
      <c r="L184" s="1221"/>
      <c r="M184" s="1215">
        <f t="shared" si="18"/>
        <v>13000</v>
      </c>
      <c r="N184" s="1216">
        <f t="shared" si="19"/>
        <v>24000</v>
      </c>
      <c r="O184" s="1233">
        <v>42144</v>
      </c>
      <c r="P184" s="1178" t="s">
        <v>666</v>
      </c>
      <c r="Q184" s="813"/>
      <c r="R184" s="371" t="s">
        <v>666</v>
      </c>
    </row>
    <row r="185" spans="1:18" x14ac:dyDescent="0.25">
      <c r="A185" s="575" t="s">
        <v>1716</v>
      </c>
      <c r="B185" s="304" t="s">
        <v>865</v>
      </c>
      <c r="C185" s="1218">
        <v>42163</v>
      </c>
      <c r="D185" s="260">
        <v>42285</v>
      </c>
      <c r="E185" s="1219"/>
      <c r="F185" s="1220"/>
      <c r="G185" s="262">
        <v>20000</v>
      </c>
      <c r="H185" s="630">
        <v>1320</v>
      </c>
      <c r="I185" s="259">
        <v>14330</v>
      </c>
      <c r="J185" s="259">
        <v>870</v>
      </c>
      <c r="K185" s="259">
        <v>2430</v>
      </c>
      <c r="L185" s="1221"/>
      <c r="M185" s="1215">
        <f t="shared" si="18"/>
        <v>2190</v>
      </c>
      <c r="N185" s="1216">
        <f t="shared" si="19"/>
        <v>16760</v>
      </c>
      <c r="O185" s="1233">
        <v>42238</v>
      </c>
      <c r="P185" s="1178" t="s">
        <v>666</v>
      </c>
      <c r="Q185" s="811" t="s">
        <v>1650</v>
      </c>
    </row>
    <row r="186" spans="1:18" x14ac:dyDescent="0.25">
      <c r="A186" s="575" t="s">
        <v>1537</v>
      </c>
      <c r="B186" s="304" t="s">
        <v>796</v>
      </c>
      <c r="C186" s="1218">
        <v>42138</v>
      </c>
      <c r="D186" s="260">
        <v>42443</v>
      </c>
      <c r="E186" s="1219"/>
      <c r="F186" s="1220"/>
      <c r="G186" s="262">
        <v>15000</v>
      </c>
      <c r="H186" s="630">
        <v>1500</v>
      </c>
      <c r="I186" s="259">
        <v>10500</v>
      </c>
      <c r="J186" s="259">
        <v>750</v>
      </c>
      <c r="K186" s="259">
        <v>5250</v>
      </c>
      <c r="L186" s="1221"/>
      <c r="M186" s="1215">
        <f t="shared" si="18"/>
        <v>2250</v>
      </c>
      <c r="N186" s="1216">
        <f t="shared" si="19"/>
        <v>15750</v>
      </c>
      <c r="O186" s="1233">
        <v>42226</v>
      </c>
      <c r="P186" s="1178" t="s">
        <v>666</v>
      </c>
      <c r="Q186" s="813" t="s">
        <v>1618</v>
      </c>
      <c r="R186" s="371" t="s">
        <v>666</v>
      </c>
    </row>
    <row r="187" spans="1:18" x14ac:dyDescent="0.25">
      <c r="A187" s="575" t="s">
        <v>1288</v>
      </c>
      <c r="B187" s="304" t="s">
        <v>937</v>
      </c>
      <c r="C187" s="1218">
        <v>42188</v>
      </c>
      <c r="D187" s="260">
        <v>42372</v>
      </c>
      <c r="E187" s="1219"/>
      <c r="F187" s="1220"/>
      <c r="G187" s="262">
        <v>12000</v>
      </c>
      <c r="H187" s="630">
        <v>800</v>
      </c>
      <c r="I187" s="259">
        <v>11200</v>
      </c>
      <c r="J187" s="259">
        <v>200</v>
      </c>
      <c r="K187" s="259">
        <v>3400</v>
      </c>
      <c r="L187" s="1221"/>
      <c r="M187" s="1215">
        <f t="shared" si="18"/>
        <v>1000</v>
      </c>
      <c r="N187" s="1216">
        <f t="shared" si="19"/>
        <v>14600</v>
      </c>
      <c r="O187" s="1233">
        <v>42234</v>
      </c>
      <c r="P187" s="1178" t="s">
        <v>666</v>
      </c>
      <c r="Q187" s="813"/>
      <c r="R187" s="371" t="s">
        <v>666</v>
      </c>
    </row>
    <row r="188" spans="1:18" x14ac:dyDescent="0.25">
      <c r="A188" s="575" t="s">
        <v>1191</v>
      </c>
      <c r="B188" s="298" t="s">
        <v>1192</v>
      </c>
      <c r="C188" s="1218">
        <v>42231</v>
      </c>
      <c r="D188" s="260">
        <v>42384</v>
      </c>
      <c r="E188" s="1219"/>
      <c r="F188" s="1220"/>
      <c r="G188" s="262">
        <v>7000</v>
      </c>
      <c r="H188" s="630"/>
      <c r="I188" s="259">
        <v>7000</v>
      </c>
      <c r="J188" s="259"/>
      <c r="K188" s="259">
        <v>1750</v>
      </c>
      <c r="L188" s="1221"/>
      <c r="M188" s="1215">
        <f t="shared" si="18"/>
        <v>0</v>
      </c>
      <c r="N188" s="1216">
        <f t="shared" si="19"/>
        <v>8750</v>
      </c>
      <c r="O188" s="1233" t="s">
        <v>551</v>
      </c>
      <c r="P188" s="1178" t="s">
        <v>666</v>
      </c>
      <c r="Q188" s="813" t="s">
        <v>1663</v>
      </c>
      <c r="R188" s="371" t="s">
        <v>666</v>
      </c>
    </row>
    <row r="189" spans="1:18" x14ac:dyDescent="0.25">
      <c r="A189" s="575" t="s">
        <v>673</v>
      </c>
      <c r="B189" s="298" t="s">
        <v>1791</v>
      </c>
      <c r="C189" s="1218">
        <v>42116</v>
      </c>
      <c r="D189" s="260">
        <v>42422</v>
      </c>
      <c r="E189" s="1219"/>
      <c r="F189" s="1220"/>
      <c r="G189" s="262">
        <v>7500</v>
      </c>
      <c r="H189" s="630">
        <v>1600</v>
      </c>
      <c r="I189" s="259">
        <v>5100</v>
      </c>
      <c r="J189" s="259">
        <v>650</v>
      </c>
      <c r="K189" s="259">
        <v>2775</v>
      </c>
      <c r="L189" s="1221">
        <v>112</v>
      </c>
      <c r="M189" s="1215">
        <f t="shared" si="18"/>
        <v>2362</v>
      </c>
      <c r="N189" s="1216">
        <f t="shared" si="19"/>
        <v>7875</v>
      </c>
      <c r="O189" s="1233">
        <v>42223</v>
      </c>
      <c r="P189" s="1178" t="s">
        <v>666</v>
      </c>
      <c r="Q189" s="813" t="s">
        <v>1611</v>
      </c>
      <c r="R189" s="371" t="s">
        <v>666</v>
      </c>
    </row>
    <row r="190" spans="1:18" x14ac:dyDescent="0.25">
      <c r="A190" s="575" t="s">
        <v>1207</v>
      </c>
      <c r="B190" s="298" t="s">
        <v>945</v>
      </c>
      <c r="C190" s="1218">
        <v>42094</v>
      </c>
      <c r="D190" s="260">
        <v>42643</v>
      </c>
      <c r="E190" s="1219"/>
      <c r="F190" s="1220"/>
      <c r="G190" s="262">
        <v>16000</v>
      </c>
      <c r="H190" s="630">
        <v>860</v>
      </c>
      <c r="I190" s="259">
        <v>11160</v>
      </c>
      <c r="J190" s="259">
        <v>240</v>
      </c>
      <c r="K190" s="259">
        <v>3280</v>
      </c>
      <c r="L190" s="1221"/>
      <c r="M190" s="1215">
        <f t="shared" si="18"/>
        <v>1100</v>
      </c>
      <c r="N190" s="1216">
        <f t="shared" si="19"/>
        <v>14440</v>
      </c>
      <c r="O190" s="1233">
        <v>42235</v>
      </c>
      <c r="P190" s="1178" t="s">
        <v>666</v>
      </c>
      <c r="Q190" s="811" t="s">
        <v>1618</v>
      </c>
    </row>
    <row r="191" spans="1:18" x14ac:dyDescent="0.25">
      <c r="A191" s="575" t="s">
        <v>1538</v>
      </c>
      <c r="B191" s="298" t="s">
        <v>398</v>
      </c>
      <c r="C191" s="1218">
        <v>42222</v>
      </c>
      <c r="D191" s="260">
        <v>42406</v>
      </c>
      <c r="E191" s="1219"/>
      <c r="F191" s="1220"/>
      <c r="G191" s="262">
        <v>10000</v>
      </c>
      <c r="H191" s="630"/>
      <c r="I191" s="259">
        <v>10000</v>
      </c>
      <c r="J191" s="259"/>
      <c r="K191" s="259">
        <v>3000</v>
      </c>
      <c r="L191" s="1221"/>
      <c r="M191" s="1215">
        <f t="shared" si="18"/>
        <v>0</v>
      </c>
      <c r="N191" s="1216">
        <f t="shared" si="19"/>
        <v>13000</v>
      </c>
      <c r="O191" s="1233" t="s">
        <v>479</v>
      </c>
      <c r="P191" s="1178" t="s">
        <v>666</v>
      </c>
      <c r="Q191" s="811"/>
      <c r="R191" s="371" t="s">
        <v>666</v>
      </c>
    </row>
    <row r="192" spans="1:18" x14ac:dyDescent="0.25">
      <c r="A192" s="575" t="s">
        <v>1306</v>
      </c>
      <c r="B192" s="298" t="s">
        <v>1307</v>
      </c>
      <c r="C192" s="1218">
        <v>42088</v>
      </c>
      <c r="D192" s="260">
        <v>42394</v>
      </c>
      <c r="E192" s="1219"/>
      <c r="F192" s="1220"/>
      <c r="G192" s="262">
        <v>20000</v>
      </c>
      <c r="H192" s="630">
        <v>500</v>
      </c>
      <c r="I192" s="259">
        <v>19500</v>
      </c>
      <c r="J192" s="259">
        <v>2000</v>
      </c>
      <c r="K192" s="259">
        <v>8000</v>
      </c>
      <c r="L192" s="1221">
        <v>500</v>
      </c>
      <c r="M192" s="1215">
        <f t="shared" si="18"/>
        <v>3000</v>
      </c>
      <c r="N192" s="1216">
        <f t="shared" si="19"/>
        <v>27500</v>
      </c>
      <c r="O192" s="1233">
        <v>42214</v>
      </c>
      <c r="P192" s="1178" t="s">
        <v>666</v>
      </c>
      <c r="Q192" s="811" t="s">
        <v>1660</v>
      </c>
      <c r="R192" s="371" t="s">
        <v>666</v>
      </c>
    </row>
    <row r="193" spans="1:18" x14ac:dyDescent="0.25">
      <c r="A193" s="575" t="s">
        <v>800</v>
      </c>
      <c r="B193" s="298" t="s">
        <v>1121</v>
      </c>
      <c r="C193" s="1218">
        <v>42198</v>
      </c>
      <c r="D193" s="260">
        <v>42321</v>
      </c>
      <c r="E193" s="1219"/>
      <c r="F193" s="1220"/>
      <c r="G193" s="262">
        <v>55000</v>
      </c>
      <c r="H193" s="630">
        <v>14000</v>
      </c>
      <c r="I193" s="259">
        <v>41000</v>
      </c>
      <c r="J193" s="259">
        <v>2500</v>
      </c>
      <c r="K193" s="259">
        <v>8500</v>
      </c>
      <c r="L193" s="1221"/>
      <c r="M193" s="1215">
        <f t="shared" si="18"/>
        <v>16500</v>
      </c>
      <c r="N193" s="1216">
        <f t="shared" si="19"/>
        <v>49500</v>
      </c>
      <c r="O193" s="1233">
        <v>42236</v>
      </c>
      <c r="P193" s="1178" t="s">
        <v>666</v>
      </c>
      <c r="Q193" s="813" t="s">
        <v>1618</v>
      </c>
      <c r="R193" s="371" t="s">
        <v>666</v>
      </c>
    </row>
    <row r="194" spans="1:18" x14ac:dyDescent="0.25">
      <c r="A194" s="575" t="s">
        <v>831</v>
      </c>
      <c r="B194" s="298" t="s">
        <v>478</v>
      </c>
      <c r="C194" s="1218">
        <v>42137</v>
      </c>
      <c r="D194" s="260">
        <v>42442</v>
      </c>
      <c r="E194" s="1219"/>
      <c r="F194" s="1220"/>
      <c r="G194" s="262">
        <v>18000</v>
      </c>
      <c r="H194" s="630"/>
      <c r="I194" s="259">
        <v>18000</v>
      </c>
      <c r="J194" s="259"/>
      <c r="K194" s="259">
        <v>9000</v>
      </c>
      <c r="L194" s="1221"/>
      <c r="M194" s="1215">
        <f t="shared" si="18"/>
        <v>0</v>
      </c>
      <c r="N194" s="1216">
        <f t="shared" si="19"/>
        <v>27000</v>
      </c>
      <c r="O194" s="1233" t="s">
        <v>479</v>
      </c>
      <c r="P194" s="1178" t="s">
        <v>666</v>
      </c>
      <c r="Q194" s="813" t="s">
        <v>1618</v>
      </c>
      <c r="R194" s="371" t="s">
        <v>666</v>
      </c>
    </row>
    <row r="195" spans="1:18" x14ac:dyDescent="0.25">
      <c r="A195" s="575" t="s">
        <v>1540</v>
      </c>
      <c r="B195" s="298" t="s">
        <v>1541</v>
      </c>
      <c r="C195" s="1218">
        <v>42187</v>
      </c>
      <c r="D195" s="260">
        <v>42371</v>
      </c>
      <c r="E195" s="1219"/>
      <c r="F195" s="1220"/>
      <c r="G195" s="262">
        <v>18000</v>
      </c>
      <c r="H195" s="630"/>
      <c r="I195" s="259">
        <v>18000</v>
      </c>
      <c r="J195" s="259"/>
      <c r="K195" s="259">
        <v>2700</v>
      </c>
      <c r="L195" s="1221"/>
      <c r="M195" s="1215">
        <f t="shared" si="18"/>
        <v>0</v>
      </c>
      <c r="N195" s="1216">
        <f t="shared" si="19"/>
        <v>20700</v>
      </c>
      <c r="O195" s="1233" t="s">
        <v>859</v>
      </c>
      <c r="P195" s="1178" t="s">
        <v>666</v>
      </c>
      <c r="Q195" s="813" t="s">
        <v>1618</v>
      </c>
      <c r="R195" s="371" t="s">
        <v>666</v>
      </c>
    </row>
    <row r="196" spans="1:18" x14ac:dyDescent="0.25">
      <c r="A196" s="575" t="s">
        <v>1795</v>
      </c>
      <c r="B196" s="298" t="s">
        <v>1478</v>
      </c>
      <c r="C196" s="1218">
        <v>42159</v>
      </c>
      <c r="D196" s="260">
        <v>42342</v>
      </c>
      <c r="E196" s="1219"/>
      <c r="F196" s="1220"/>
      <c r="G196" s="262">
        <v>7000</v>
      </c>
      <c r="H196" s="630">
        <v>1132</v>
      </c>
      <c r="I196" s="259">
        <v>4668</v>
      </c>
      <c r="J196" s="259">
        <v>400</v>
      </c>
      <c r="K196" s="259">
        <v>1400</v>
      </c>
      <c r="L196" s="1221"/>
      <c r="M196" s="1215">
        <f t="shared" si="18"/>
        <v>1532</v>
      </c>
      <c r="N196" s="1216">
        <f t="shared" si="19"/>
        <v>6068</v>
      </c>
      <c r="O196" s="1233">
        <v>42213</v>
      </c>
      <c r="P196" s="1178" t="s">
        <v>666</v>
      </c>
      <c r="Q196" s="813"/>
      <c r="R196" s="371" t="s">
        <v>666</v>
      </c>
    </row>
    <row r="197" spans="1:18" x14ac:dyDescent="0.25">
      <c r="A197" s="575" t="s">
        <v>1286</v>
      </c>
      <c r="B197" s="298" t="s">
        <v>1287</v>
      </c>
      <c r="C197" s="1218">
        <v>42163</v>
      </c>
      <c r="D197" s="260">
        <v>42316</v>
      </c>
      <c r="E197" s="1219"/>
      <c r="F197" s="1220">
        <v>12</v>
      </c>
      <c r="G197" s="262">
        <v>10000</v>
      </c>
      <c r="H197" s="630">
        <v>400</v>
      </c>
      <c r="I197" s="259">
        <v>7200</v>
      </c>
      <c r="J197" s="259">
        <v>100</v>
      </c>
      <c r="K197" s="259">
        <v>1800</v>
      </c>
      <c r="L197" s="1221"/>
      <c r="M197" s="1215">
        <f t="shared" si="18"/>
        <v>500</v>
      </c>
      <c r="N197" s="1216">
        <f t="shared" si="19"/>
        <v>9000</v>
      </c>
      <c r="O197" s="1233">
        <v>42227</v>
      </c>
      <c r="P197" s="1178" t="s">
        <v>666</v>
      </c>
      <c r="Q197" s="813"/>
      <c r="R197" s="371" t="s">
        <v>666</v>
      </c>
    </row>
    <row r="198" spans="1:18" x14ac:dyDescent="0.25">
      <c r="A198" s="575" t="s">
        <v>1696</v>
      </c>
      <c r="B198" s="298" t="s">
        <v>1260</v>
      </c>
      <c r="C198" s="1218">
        <v>42193</v>
      </c>
      <c r="D198" s="260">
        <v>42315</v>
      </c>
      <c r="E198" s="1219"/>
      <c r="F198" s="1220"/>
      <c r="G198" s="262">
        <v>2500</v>
      </c>
      <c r="H198" s="630">
        <v>320</v>
      </c>
      <c r="I198" s="259">
        <v>1870</v>
      </c>
      <c r="J198" s="259">
        <v>60</v>
      </c>
      <c r="K198" s="259">
        <v>330</v>
      </c>
      <c r="L198" s="1221"/>
      <c r="M198" s="1215">
        <f t="shared" si="18"/>
        <v>380</v>
      </c>
      <c r="N198" s="1216">
        <f t="shared" si="19"/>
        <v>2200</v>
      </c>
      <c r="O198" s="1233">
        <v>42231</v>
      </c>
      <c r="P198" s="1178" t="s">
        <v>666</v>
      </c>
      <c r="Q198" s="813"/>
    </row>
    <row r="199" spans="1:18" x14ac:dyDescent="0.25">
      <c r="A199" s="575" t="s">
        <v>799</v>
      </c>
      <c r="B199" s="298" t="s">
        <v>718</v>
      </c>
      <c r="C199" s="1218">
        <v>42114</v>
      </c>
      <c r="D199" s="260">
        <v>42267</v>
      </c>
      <c r="E199" s="1219">
        <f>+C199-D199</f>
        <v>-153</v>
      </c>
      <c r="F199" s="1220">
        <f>+E199/30</f>
        <v>-5.0999999999999996</v>
      </c>
      <c r="G199" s="262">
        <v>5000</v>
      </c>
      <c r="H199" s="630">
        <v>400</v>
      </c>
      <c r="I199" s="259">
        <v>4600</v>
      </c>
      <c r="J199" s="259">
        <v>100</v>
      </c>
      <c r="K199" s="259">
        <v>1150</v>
      </c>
      <c r="L199" s="1221"/>
      <c r="M199" s="1215">
        <f t="shared" si="18"/>
        <v>500</v>
      </c>
      <c r="N199" s="1216">
        <f t="shared" si="19"/>
        <v>5750</v>
      </c>
      <c r="O199" s="1233">
        <v>42199</v>
      </c>
      <c r="P199" s="1178" t="s">
        <v>666</v>
      </c>
      <c r="Q199" s="811" t="s">
        <v>1618</v>
      </c>
    </row>
    <row r="200" spans="1:18" x14ac:dyDescent="0.25">
      <c r="A200" s="575" t="s">
        <v>878</v>
      </c>
      <c r="B200" s="298" t="s">
        <v>1478</v>
      </c>
      <c r="C200" s="1218">
        <v>41841</v>
      </c>
      <c r="D200" s="260">
        <v>42298</v>
      </c>
      <c r="E200" s="1219"/>
      <c r="F200" s="1220"/>
      <c r="G200" s="262">
        <v>15000</v>
      </c>
      <c r="H200" s="630">
        <v>1500</v>
      </c>
      <c r="I200" s="259">
        <v>8500</v>
      </c>
      <c r="J200" s="259">
        <v>625</v>
      </c>
      <c r="K200" s="259">
        <v>3575</v>
      </c>
      <c r="L200" s="1221"/>
      <c r="M200" s="1215">
        <f t="shared" si="18"/>
        <v>2125</v>
      </c>
      <c r="N200" s="1216">
        <f t="shared" si="19"/>
        <v>12075</v>
      </c>
      <c r="O200" s="1233">
        <v>42180</v>
      </c>
      <c r="P200" s="1178" t="s">
        <v>666</v>
      </c>
      <c r="Q200" s="811" t="s">
        <v>1618</v>
      </c>
    </row>
    <row r="201" spans="1:18" x14ac:dyDescent="0.25">
      <c r="A201" s="575" t="s">
        <v>1666</v>
      </c>
      <c r="B201" s="298" t="s">
        <v>1478</v>
      </c>
      <c r="C201" s="1218">
        <v>41935</v>
      </c>
      <c r="D201" s="260">
        <v>42239</v>
      </c>
      <c r="E201" s="1219"/>
      <c r="F201" s="1220"/>
      <c r="G201" s="262">
        <v>20000</v>
      </c>
      <c r="H201" s="630"/>
      <c r="I201" s="259">
        <v>20000</v>
      </c>
      <c r="J201" s="259"/>
      <c r="K201" s="259">
        <v>10000</v>
      </c>
      <c r="L201" s="1221"/>
      <c r="M201" s="1215">
        <f t="shared" si="18"/>
        <v>0</v>
      </c>
      <c r="N201" s="1216">
        <f t="shared" si="19"/>
        <v>30000</v>
      </c>
      <c r="O201" s="1233" t="s">
        <v>479</v>
      </c>
      <c r="P201" s="1178" t="s">
        <v>666</v>
      </c>
      <c r="Q201" s="811"/>
    </row>
    <row r="202" spans="1:18" x14ac:dyDescent="0.25">
      <c r="A202" s="575" t="s">
        <v>1662</v>
      </c>
      <c r="B202" s="298" t="s">
        <v>882</v>
      </c>
      <c r="C202" s="1218">
        <v>42019</v>
      </c>
      <c r="D202" s="260">
        <v>42323</v>
      </c>
      <c r="E202" s="1219"/>
      <c r="F202" s="1220"/>
      <c r="G202" s="262">
        <v>8000</v>
      </c>
      <c r="H202" s="630">
        <v>900</v>
      </c>
      <c r="I202" s="259">
        <v>6380</v>
      </c>
      <c r="J202" s="259">
        <v>200</v>
      </c>
      <c r="K202" s="259">
        <v>2100</v>
      </c>
      <c r="L202" s="1221"/>
      <c r="M202" s="1215">
        <f t="shared" si="18"/>
        <v>1100</v>
      </c>
      <c r="N202" s="1216">
        <f t="shared" si="19"/>
        <v>8480</v>
      </c>
      <c r="O202" s="1233">
        <v>42175</v>
      </c>
      <c r="P202" s="1178" t="s">
        <v>666</v>
      </c>
      <c r="Q202" s="811" t="s">
        <v>1618</v>
      </c>
      <c r="R202" s="371" t="s">
        <v>666</v>
      </c>
    </row>
    <row r="203" spans="1:18" x14ac:dyDescent="0.25">
      <c r="A203" s="575" t="s">
        <v>1788</v>
      </c>
      <c r="B203" s="298" t="s">
        <v>1789</v>
      </c>
      <c r="C203" s="1218">
        <v>42187</v>
      </c>
      <c r="D203" s="260">
        <v>42492</v>
      </c>
      <c r="E203" s="1219"/>
      <c r="F203" s="1220"/>
      <c r="G203" s="262">
        <v>30000</v>
      </c>
      <c r="H203" s="630">
        <v>3000</v>
      </c>
      <c r="I203" s="259">
        <v>27000</v>
      </c>
      <c r="J203" s="259">
        <v>1500</v>
      </c>
      <c r="K203" s="259">
        <v>13500</v>
      </c>
      <c r="L203" s="1221"/>
      <c r="M203" s="1215">
        <f t="shared" ref="M203:M208" si="20">+L203+J203+H203</f>
        <v>4500</v>
      </c>
      <c r="N203" s="1216">
        <f t="shared" si="19"/>
        <v>40500</v>
      </c>
      <c r="O203" s="1233">
        <v>42220</v>
      </c>
      <c r="P203" s="1178" t="s">
        <v>666</v>
      </c>
      <c r="Q203" s="811"/>
    </row>
    <row r="204" spans="1:18" x14ac:dyDescent="0.25">
      <c r="A204" s="575" t="s">
        <v>1697</v>
      </c>
      <c r="B204" s="298" t="s">
        <v>1698</v>
      </c>
      <c r="C204" s="1218">
        <v>41929</v>
      </c>
      <c r="D204" s="260">
        <v>42233</v>
      </c>
      <c r="E204" s="1219"/>
      <c r="F204" s="1220"/>
      <c r="G204" s="262">
        <v>20000</v>
      </c>
      <c r="H204" s="630"/>
      <c r="I204" s="259">
        <v>13400</v>
      </c>
      <c r="J204" s="259"/>
      <c r="K204" s="259">
        <v>7100</v>
      </c>
      <c r="L204" s="1221"/>
      <c r="M204" s="1215">
        <f t="shared" si="20"/>
        <v>0</v>
      </c>
      <c r="N204" s="1216">
        <f t="shared" si="19"/>
        <v>20500</v>
      </c>
      <c r="O204" s="1233">
        <v>42014</v>
      </c>
      <c r="P204" s="1178" t="s">
        <v>666</v>
      </c>
      <c r="Q204" s="811"/>
      <c r="R204" s="371" t="s">
        <v>666</v>
      </c>
    </row>
    <row r="205" spans="1:18" x14ac:dyDescent="0.25">
      <c r="A205" s="575" t="s">
        <v>1539</v>
      </c>
      <c r="B205" s="298" t="s">
        <v>861</v>
      </c>
      <c r="C205" s="1218">
        <v>42177</v>
      </c>
      <c r="D205" s="260">
        <v>42360</v>
      </c>
      <c r="E205" s="1219">
        <f>+C205-D205</f>
        <v>-183</v>
      </c>
      <c r="F205" s="1220">
        <f>+E205/30</f>
        <v>-6.1</v>
      </c>
      <c r="G205" s="262">
        <v>13000</v>
      </c>
      <c r="H205" s="630"/>
      <c r="I205" s="259">
        <v>13000</v>
      </c>
      <c r="J205" s="259"/>
      <c r="K205" s="259">
        <v>2600</v>
      </c>
      <c r="L205" s="1221"/>
      <c r="M205" s="1215">
        <f t="shared" si="20"/>
        <v>0</v>
      </c>
      <c r="N205" s="1216">
        <f t="shared" si="19"/>
        <v>15600</v>
      </c>
      <c r="O205" s="1233" t="s">
        <v>854</v>
      </c>
      <c r="P205" s="1178" t="s">
        <v>666</v>
      </c>
      <c r="Q205" s="811" t="s">
        <v>1618</v>
      </c>
      <c r="R205" s="371" t="s">
        <v>666</v>
      </c>
    </row>
    <row r="206" spans="1:18" x14ac:dyDescent="0.25">
      <c r="A206" s="575" t="s">
        <v>1793</v>
      </c>
      <c r="B206" s="298" t="s">
        <v>461</v>
      </c>
      <c r="C206" s="1218">
        <v>42180</v>
      </c>
      <c r="D206" s="260">
        <v>42363</v>
      </c>
      <c r="E206" s="1219"/>
      <c r="F206" s="1220"/>
      <c r="G206" s="262">
        <v>300000</v>
      </c>
      <c r="H206" s="630"/>
      <c r="I206" s="259">
        <v>300000</v>
      </c>
      <c r="J206" s="259"/>
      <c r="K206" s="259">
        <v>90000</v>
      </c>
      <c r="L206" s="1221"/>
      <c r="M206" s="1215">
        <f t="shared" si="20"/>
        <v>0</v>
      </c>
      <c r="N206" s="1216">
        <f t="shared" si="19"/>
        <v>390000</v>
      </c>
      <c r="O206" s="1233">
        <v>42363</v>
      </c>
      <c r="P206" s="1178" t="s">
        <v>666</v>
      </c>
      <c r="Q206" s="811" t="s">
        <v>666</v>
      </c>
    </row>
    <row r="207" spans="1:18" x14ac:dyDescent="0.25">
      <c r="A207" s="575" t="s">
        <v>1262</v>
      </c>
      <c r="B207" s="298" t="s">
        <v>1263</v>
      </c>
      <c r="C207" s="1218">
        <v>42011</v>
      </c>
      <c r="D207" s="260">
        <v>42315</v>
      </c>
      <c r="E207" s="1219">
        <f>+C207-D207</f>
        <v>-304</v>
      </c>
      <c r="F207" s="1220">
        <f>+E207/30</f>
        <v>-10.133333333333333</v>
      </c>
      <c r="G207" s="262">
        <v>12000</v>
      </c>
      <c r="H207" s="630">
        <v>3600</v>
      </c>
      <c r="I207" s="259">
        <v>7200</v>
      </c>
      <c r="J207" s="259">
        <v>1800</v>
      </c>
      <c r="K207" s="259">
        <v>3600</v>
      </c>
      <c r="L207" s="1221">
        <v>270</v>
      </c>
      <c r="M207" s="1215">
        <f t="shared" si="20"/>
        <v>5670</v>
      </c>
      <c r="N207" s="1216">
        <f t="shared" si="19"/>
        <v>10800</v>
      </c>
      <c r="O207" s="1233">
        <v>42159</v>
      </c>
      <c r="P207" s="1178" t="s">
        <v>666</v>
      </c>
      <c r="Q207" s="811"/>
    </row>
    <row r="208" spans="1:18" x14ac:dyDescent="0.25">
      <c r="A208" s="575" t="s">
        <v>1365</v>
      </c>
      <c r="B208" s="298" t="s">
        <v>1260</v>
      </c>
      <c r="C208" s="1218">
        <v>42052</v>
      </c>
      <c r="D208" s="260">
        <v>42355</v>
      </c>
      <c r="E208" s="1219"/>
      <c r="F208" s="1220"/>
      <c r="G208" s="262">
        <v>10000</v>
      </c>
      <c r="H208" s="630">
        <v>1000</v>
      </c>
      <c r="I208" s="259">
        <v>9000</v>
      </c>
      <c r="J208" s="259">
        <v>400</v>
      </c>
      <c r="K208" s="259">
        <v>1600</v>
      </c>
      <c r="L208" s="1221"/>
      <c r="M208" s="1215">
        <f t="shared" si="20"/>
        <v>1400</v>
      </c>
      <c r="N208" s="1216">
        <f t="shared" si="19"/>
        <v>10600</v>
      </c>
      <c r="O208" s="1233">
        <v>42102</v>
      </c>
      <c r="P208" s="1178" t="s">
        <v>666</v>
      </c>
      <c r="Q208" s="811"/>
    </row>
    <row r="209" spans="1:18" x14ac:dyDescent="0.25">
      <c r="A209" s="575" t="s">
        <v>1284</v>
      </c>
      <c r="B209" s="298" t="s">
        <v>1153</v>
      </c>
      <c r="C209" s="1218">
        <v>42040</v>
      </c>
      <c r="D209" s="260">
        <v>42343</v>
      </c>
      <c r="E209" s="1219"/>
      <c r="F209" s="1220"/>
      <c r="G209" s="262">
        <v>20000</v>
      </c>
      <c r="H209" s="630"/>
      <c r="I209" s="259">
        <v>20000</v>
      </c>
      <c r="J209" s="259"/>
      <c r="K209" s="259">
        <v>10000</v>
      </c>
      <c r="L209" s="1221"/>
      <c r="M209" s="1215">
        <f t="shared" ref="M209:M240" si="21">+L209+J209+H209</f>
        <v>0</v>
      </c>
      <c r="N209" s="1216">
        <f t="shared" ref="N209:N240" si="22">+I209+K209</f>
        <v>30000</v>
      </c>
      <c r="O209" s="1233" t="s">
        <v>479</v>
      </c>
      <c r="P209" s="1178" t="s">
        <v>666</v>
      </c>
      <c r="Q209" s="811"/>
    </row>
    <row r="210" spans="1:18" x14ac:dyDescent="0.25">
      <c r="A210" s="575" t="s">
        <v>1347</v>
      </c>
      <c r="B210" s="298" t="s">
        <v>771</v>
      </c>
      <c r="C210" s="1218">
        <v>42093</v>
      </c>
      <c r="D210" s="260">
        <v>42399</v>
      </c>
      <c r="E210" s="1219"/>
      <c r="F210" s="1220"/>
      <c r="G210" s="262">
        <v>20000</v>
      </c>
      <c r="H210" s="630"/>
      <c r="I210" s="259">
        <v>20000</v>
      </c>
      <c r="J210" s="259">
        <v>2000</v>
      </c>
      <c r="K210" s="259">
        <v>4000</v>
      </c>
      <c r="L210" s="1221"/>
      <c r="M210" s="1215">
        <f t="shared" si="21"/>
        <v>2000</v>
      </c>
      <c r="N210" s="1216">
        <f t="shared" si="22"/>
        <v>24000</v>
      </c>
      <c r="O210" s="1233">
        <v>42093</v>
      </c>
      <c r="P210" s="1178" t="s">
        <v>666</v>
      </c>
      <c r="Q210" s="813" t="s">
        <v>1618</v>
      </c>
      <c r="R210" s="371" t="s">
        <v>666</v>
      </c>
    </row>
    <row r="211" spans="1:18" x14ac:dyDescent="0.25">
      <c r="A211" s="575" t="s">
        <v>1424</v>
      </c>
      <c r="B211" s="298" t="s">
        <v>1425</v>
      </c>
      <c r="C211" s="1218">
        <v>42180</v>
      </c>
      <c r="D211" s="260">
        <v>42486</v>
      </c>
      <c r="E211" s="1219"/>
      <c r="F211" s="1220"/>
      <c r="G211" s="262">
        <v>28000</v>
      </c>
      <c r="H211" s="630">
        <v>2500</v>
      </c>
      <c r="I211" s="259">
        <v>25500</v>
      </c>
      <c r="J211" s="259">
        <v>500</v>
      </c>
      <c r="K211" s="259">
        <v>13500</v>
      </c>
      <c r="L211" s="1221"/>
      <c r="M211" s="1215">
        <f t="shared" si="21"/>
        <v>3000</v>
      </c>
      <c r="N211" s="1216">
        <f t="shared" si="22"/>
        <v>39000</v>
      </c>
      <c r="O211" s="1233">
        <v>42236</v>
      </c>
      <c r="P211" s="1178" t="s">
        <v>666</v>
      </c>
      <c r="Q211" s="813"/>
    </row>
    <row r="212" spans="1:18" x14ac:dyDescent="0.25">
      <c r="A212" s="575" t="s">
        <v>1071</v>
      </c>
      <c r="B212" s="298" t="s">
        <v>461</v>
      </c>
      <c r="C212" s="1218">
        <v>42108</v>
      </c>
      <c r="D212" s="260">
        <v>42414</v>
      </c>
      <c r="E212" s="1219"/>
      <c r="F212" s="1220"/>
      <c r="G212" s="262">
        <v>80000</v>
      </c>
      <c r="H212" s="630"/>
      <c r="I212" s="259">
        <v>80000</v>
      </c>
      <c r="J212" s="259"/>
      <c r="K212" s="259">
        <v>40000</v>
      </c>
      <c r="L212" s="1221"/>
      <c r="M212" s="1215">
        <f t="shared" si="21"/>
        <v>0</v>
      </c>
      <c r="N212" s="1216">
        <f t="shared" si="22"/>
        <v>120000</v>
      </c>
      <c r="O212" s="1233" t="s">
        <v>76</v>
      </c>
      <c r="P212" s="1178" t="s">
        <v>666</v>
      </c>
      <c r="Q212" s="813"/>
    </row>
    <row r="213" spans="1:18" x14ac:dyDescent="0.25">
      <c r="A213" s="575" t="s">
        <v>1792</v>
      </c>
      <c r="B213" s="298" t="s">
        <v>677</v>
      </c>
      <c r="C213" s="1218">
        <v>42226</v>
      </c>
      <c r="D213" s="260">
        <v>42379</v>
      </c>
      <c r="E213" s="1219"/>
      <c r="F213" s="1220"/>
      <c r="G213" s="262">
        <v>20000</v>
      </c>
      <c r="H213" s="630"/>
      <c r="I213" s="259">
        <v>20000</v>
      </c>
      <c r="J213" s="259"/>
      <c r="K213" s="259">
        <v>1000</v>
      </c>
      <c r="L213" s="1221"/>
      <c r="M213" s="1215">
        <f t="shared" si="21"/>
        <v>0</v>
      </c>
      <c r="N213" s="1216">
        <f t="shared" si="22"/>
        <v>21000</v>
      </c>
      <c r="O213" s="1233" t="s">
        <v>862</v>
      </c>
      <c r="P213" s="1178" t="s">
        <v>666</v>
      </c>
      <c r="Q213" s="813"/>
    </row>
    <row r="214" spans="1:18" x14ac:dyDescent="0.25">
      <c r="A214" s="575" t="s">
        <v>1242</v>
      </c>
      <c r="B214" s="298" t="s">
        <v>720</v>
      </c>
      <c r="C214" s="1218">
        <v>42074</v>
      </c>
      <c r="D214" s="260">
        <v>42380</v>
      </c>
      <c r="E214" s="1219">
        <f>+C214-D214</f>
        <v>-306</v>
      </c>
      <c r="F214" s="1220">
        <f>+E214/30</f>
        <v>-10.199999999999999</v>
      </c>
      <c r="G214" s="262">
        <v>20000</v>
      </c>
      <c r="H214" s="630"/>
      <c r="I214" s="259">
        <v>20000</v>
      </c>
      <c r="J214" s="259">
        <v>1000</v>
      </c>
      <c r="K214" s="259">
        <v>9000</v>
      </c>
      <c r="L214" s="1221"/>
      <c r="M214" s="1215">
        <f t="shared" si="21"/>
        <v>1000</v>
      </c>
      <c r="N214" s="1216">
        <f t="shared" si="22"/>
        <v>29000</v>
      </c>
      <c r="O214" s="1233">
        <v>42159</v>
      </c>
      <c r="P214" s="1178" t="s">
        <v>666</v>
      </c>
      <c r="Q214" s="813"/>
    </row>
    <row r="215" spans="1:18" x14ac:dyDescent="0.25">
      <c r="A215" s="575" t="s">
        <v>1079</v>
      </c>
      <c r="B215" s="298" t="s">
        <v>1027</v>
      </c>
      <c r="C215" s="1218">
        <v>42131</v>
      </c>
      <c r="D215" s="260">
        <v>42335</v>
      </c>
      <c r="E215" s="1219">
        <f>+C215-D215</f>
        <v>-204</v>
      </c>
      <c r="F215" s="1220">
        <f>+E215/30</f>
        <v>-6.8</v>
      </c>
      <c r="G215" s="262">
        <v>10000</v>
      </c>
      <c r="H215" s="630">
        <v>400</v>
      </c>
      <c r="I215" s="259">
        <v>8400</v>
      </c>
      <c r="J215" s="259">
        <v>100</v>
      </c>
      <c r="K215" s="259">
        <v>2440</v>
      </c>
      <c r="L215" s="1221"/>
      <c r="M215" s="1215">
        <f t="shared" si="21"/>
        <v>500</v>
      </c>
      <c r="N215" s="1216">
        <f t="shared" si="22"/>
        <v>10840</v>
      </c>
      <c r="O215" s="1233">
        <v>42236</v>
      </c>
      <c r="P215" s="1178" t="s">
        <v>666</v>
      </c>
      <c r="Q215" s="813"/>
    </row>
    <row r="216" spans="1:18" x14ac:dyDescent="0.25">
      <c r="A216" s="575" t="s">
        <v>1794</v>
      </c>
      <c r="B216" s="298" t="s">
        <v>755</v>
      </c>
      <c r="C216" s="1218">
        <v>42184</v>
      </c>
      <c r="D216" s="260">
        <v>42429</v>
      </c>
      <c r="E216" s="1219"/>
      <c r="F216" s="1220"/>
      <c r="G216" s="262">
        <v>250000</v>
      </c>
      <c r="H216" s="630"/>
      <c r="I216" s="259">
        <v>250000</v>
      </c>
      <c r="J216" s="259"/>
      <c r="K216" s="259">
        <v>62500</v>
      </c>
      <c r="L216" s="1221"/>
      <c r="M216" s="1215">
        <f t="shared" si="21"/>
        <v>0</v>
      </c>
      <c r="N216" s="1216">
        <f t="shared" si="22"/>
        <v>312500</v>
      </c>
      <c r="O216" s="1233" t="s">
        <v>859</v>
      </c>
      <c r="P216" s="1178" t="s">
        <v>666</v>
      </c>
      <c r="Q216" s="813" t="s">
        <v>1618</v>
      </c>
      <c r="R216" s="371" t="s">
        <v>666</v>
      </c>
    </row>
    <row r="217" spans="1:18" x14ac:dyDescent="0.25">
      <c r="A217" s="575" t="s">
        <v>1790</v>
      </c>
      <c r="B217" s="298" t="s">
        <v>18</v>
      </c>
      <c r="C217" s="1218">
        <v>42188</v>
      </c>
      <c r="D217" s="260">
        <v>42493</v>
      </c>
      <c r="E217" s="1219"/>
      <c r="F217" s="1220"/>
      <c r="G217" s="262">
        <v>20000</v>
      </c>
      <c r="H217" s="630">
        <v>2000</v>
      </c>
      <c r="I217" s="259">
        <v>18000</v>
      </c>
      <c r="J217" s="259">
        <v>1000</v>
      </c>
      <c r="K217" s="259">
        <v>9000</v>
      </c>
      <c r="L217" s="1221"/>
      <c r="M217" s="1215">
        <f t="shared" si="21"/>
        <v>3000</v>
      </c>
      <c r="N217" s="1216">
        <f t="shared" si="22"/>
        <v>27000</v>
      </c>
      <c r="O217" s="1233">
        <v>42217</v>
      </c>
      <c r="P217" s="1178" t="s">
        <v>666</v>
      </c>
      <c r="Q217" s="813" t="s">
        <v>1618</v>
      </c>
      <c r="R217" s="371" t="s">
        <v>666</v>
      </c>
    </row>
    <row r="218" spans="1:18" x14ac:dyDescent="0.25">
      <c r="A218" s="575" t="s">
        <v>470</v>
      </c>
      <c r="B218" s="298" t="s">
        <v>471</v>
      </c>
      <c r="C218" s="1218">
        <v>42205</v>
      </c>
      <c r="D218" s="260">
        <v>42328</v>
      </c>
      <c r="E218" s="1219">
        <f>+C218-D218</f>
        <v>-123</v>
      </c>
      <c r="F218" s="1220">
        <f>+E218/30</f>
        <v>-4.0999999999999996</v>
      </c>
      <c r="G218" s="262">
        <v>5500</v>
      </c>
      <c r="H218" s="630">
        <v>1542</v>
      </c>
      <c r="I218" s="259">
        <v>3958</v>
      </c>
      <c r="J218" s="259">
        <v>330</v>
      </c>
      <c r="K218" s="259">
        <v>770</v>
      </c>
      <c r="L218" s="1221"/>
      <c r="M218" s="1215">
        <f t="shared" si="21"/>
        <v>1872</v>
      </c>
      <c r="N218" s="1216">
        <f t="shared" si="22"/>
        <v>4728</v>
      </c>
      <c r="O218" s="1233">
        <v>42240</v>
      </c>
      <c r="P218" s="1178" t="s">
        <v>666</v>
      </c>
      <c r="Q218" s="811"/>
    </row>
    <row r="219" spans="1:18" x14ac:dyDescent="0.25">
      <c r="A219" s="575" t="s">
        <v>1799</v>
      </c>
      <c r="B219" s="298" t="s">
        <v>1800</v>
      </c>
      <c r="C219" s="1218">
        <v>42135</v>
      </c>
      <c r="D219" s="260">
        <v>42440</v>
      </c>
      <c r="E219" s="1219"/>
      <c r="F219" s="1220"/>
      <c r="G219" s="262">
        <v>9000</v>
      </c>
      <c r="H219" s="630">
        <v>1000</v>
      </c>
      <c r="I219" s="259">
        <v>6036</v>
      </c>
      <c r="J219" s="259">
        <v>475</v>
      </c>
      <c r="K219" s="259">
        <v>3125</v>
      </c>
      <c r="L219" s="1221"/>
      <c r="M219" s="1215">
        <f t="shared" si="21"/>
        <v>1475</v>
      </c>
      <c r="N219" s="1216">
        <f t="shared" si="22"/>
        <v>9161</v>
      </c>
      <c r="O219" s="1233">
        <v>42230</v>
      </c>
      <c r="P219" s="1178" t="s">
        <v>666</v>
      </c>
      <c r="Q219" s="813"/>
      <c r="R219" s="371" t="s">
        <v>666</v>
      </c>
    </row>
    <row r="220" spans="1:18" x14ac:dyDescent="0.25">
      <c r="A220" s="575" t="s">
        <v>674</v>
      </c>
      <c r="B220" s="298" t="s">
        <v>675</v>
      </c>
      <c r="C220" s="1218">
        <v>42220</v>
      </c>
      <c r="D220" s="260">
        <v>42525</v>
      </c>
      <c r="E220" s="1219"/>
      <c r="F220" s="1220"/>
      <c r="G220" s="262">
        <v>18000</v>
      </c>
      <c r="H220" s="630">
        <v>1500</v>
      </c>
      <c r="I220" s="259">
        <v>18000</v>
      </c>
      <c r="J220" s="259">
        <v>425</v>
      </c>
      <c r="K220" s="259">
        <v>8575</v>
      </c>
      <c r="L220" s="1221"/>
      <c r="M220" s="1215">
        <f t="shared" si="21"/>
        <v>1925</v>
      </c>
      <c r="N220" s="1216">
        <f t="shared" si="22"/>
        <v>26575</v>
      </c>
      <c r="O220" s="1233">
        <v>42238</v>
      </c>
      <c r="P220" s="1178" t="s">
        <v>666</v>
      </c>
      <c r="Q220" s="813"/>
    </row>
    <row r="221" spans="1:18" x14ac:dyDescent="0.25">
      <c r="A221" s="575" t="s">
        <v>1700</v>
      </c>
      <c r="B221" s="298" t="s">
        <v>1701</v>
      </c>
      <c r="C221" s="1218">
        <v>41991</v>
      </c>
      <c r="D221" s="260">
        <v>42295</v>
      </c>
      <c r="E221" s="1219"/>
      <c r="F221" s="1220"/>
      <c r="G221" s="262">
        <v>12500</v>
      </c>
      <c r="H221" s="630"/>
      <c r="I221" s="259">
        <v>10100</v>
      </c>
      <c r="J221" s="259"/>
      <c r="K221" s="259">
        <v>5650</v>
      </c>
      <c r="L221" s="1221"/>
      <c r="M221" s="1215">
        <f t="shared" si="21"/>
        <v>0</v>
      </c>
      <c r="N221" s="1216">
        <f t="shared" si="22"/>
        <v>15750</v>
      </c>
      <c r="O221" s="1233">
        <v>42029</v>
      </c>
      <c r="P221" s="1178" t="s">
        <v>666</v>
      </c>
      <c r="Q221" s="811" t="s">
        <v>1667</v>
      </c>
      <c r="R221" s="371" t="s">
        <v>666</v>
      </c>
    </row>
    <row r="222" spans="1:18" x14ac:dyDescent="0.25">
      <c r="A222" s="575" t="s">
        <v>1074</v>
      </c>
      <c r="B222" s="298" t="s">
        <v>1075</v>
      </c>
      <c r="C222" s="1218">
        <v>42079</v>
      </c>
      <c r="D222" s="260">
        <v>42385</v>
      </c>
      <c r="E222" s="1219"/>
      <c r="F222" s="1220"/>
      <c r="G222" s="262">
        <v>35000</v>
      </c>
      <c r="H222" s="630">
        <v>1200</v>
      </c>
      <c r="I222" s="259">
        <v>24800</v>
      </c>
      <c r="J222" s="259">
        <v>400</v>
      </c>
      <c r="K222" s="259">
        <v>14100</v>
      </c>
      <c r="L222" s="1221"/>
      <c r="M222" s="1215">
        <f t="shared" si="21"/>
        <v>1600</v>
      </c>
      <c r="N222" s="1216">
        <f t="shared" si="22"/>
        <v>38900</v>
      </c>
      <c r="O222" s="1233">
        <v>42238</v>
      </c>
      <c r="P222" s="1178" t="s">
        <v>666</v>
      </c>
      <c r="Q222" s="813"/>
    </row>
    <row r="223" spans="1:18" x14ac:dyDescent="0.25">
      <c r="A223" s="575" t="s">
        <v>1796</v>
      </c>
      <c r="B223" s="298" t="s">
        <v>1797</v>
      </c>
      <c r="C223" s="1218">
        <v>42228</v>
      </c>
      <c r="D223" s="260">
        <v>42320</v>
      </c>
      <c r="E223" s="1219"/>
      <c r="F223" s="1220"/>
      <c r="G223" s="262">
        <v>7000</v>
      </c>
      <c r="H223" s="630"/>
      <c r="I223" s="259">
        <v>7000</v>
      </c>
      <c r="J223" s="259"/>
      <c r="K223" s="259">
        <v>1050</v>
      </c>
      <c r="L223" s="1221"/>
      <c r="M223" s="1215">
        <f t="shared" si="21"/>
        <v>0</v>
      </c>
      <c r="N223" s="1216">
        <f t="shared" si="22"/>
        <v>8050</v>
      </c>
      <c r="O223" s="1233" t="s">
        <v>1798</v>
      </c>
      <c r="P223" s="1178" t="s">
        <v>666</v>
      </c>
      <c r="Q223" s="813"/>
    </row>
    <row r="224" spans="1:18" x14ac:dyDescent="0.25">
      <c r="A224" s="575" t="s">
        <v>704</v>
      </c>
      <c r="B224" s="298" t="s">
        <v>705</v>
      </c>
      <c r="C224" s="1218">
        <v>42184</v>
      </c>
      <c r="D224" s="260">
        <v>42489</v>
      </c>
      <c r="E224" s="1219"/>
      <c r="F224" s="1220"/>
      <c r="G224" s="262">
        <v>3000</v>
      </c>
      <c r="H224" s="630">
        <v>400</v>
      </c>
      <c r="I224" s="259">
        <v>2600</v>
      </c>
      <c r="J224" s="259">
        <v>50</v>
      </c>
      <c r="K224" s="259">
        <v>1450</v>
      </c>
      <c r="L224" s="1221"/>
      <c r="M224" s="1215">
        <f t="shared" si="21"/>
        <v>450</v>
      </c>
      <c r="N224" s="1216">
        <f t="shared" si="22"/>
        <v>4050</v>
      </c>
      <c r="O224" s="1233">
        <v>42216</v>
      </c>
      <c r="P224" s="1178" t="s">
        <v>666</v>
      </c>
      <c r="Q224" s="813"/>
    </row>
    <row r="225" spans="1:18" x14ac:dyDescent="0.25">
      <c r="A225" s="575" t="s">
        <v>1407</v>
      </c>
      <c r="B225" s="298" t="s">
        <v>1408</v>
      </c>
      <c r="C225" s="1218">
        <v>41995</v>
      </c>
      <c r="D225" s="260">
        <v>42299</v>
      </c>
      <c r="E225" s="1219"/>
      <c r="F225" s="1220"/>
      <c r="G225" s="262">
        <v>10000</v>
      </c>
      <c r="H225" s="630">
        <v>3125</v>
      </c>
      <c r="I225" s="259">
        <v>6875</v>
      </c>
      <c r="J225" s="259">
        <v>1225</v>
      </c>
      <c r="K225" s="259">
        <v>2500</v>
      </c>
      <c r="L225" s="1221">
        <v>150</v>
      </c>
      <c r="M225" s="1215">
        <f t="shared" si="21"/>
        <v>4500</v>
      </c>
      <c r="N225" s="1216">
        <f t="shared" si="22"/>
        <v>9375</v>
      </c>
      <c r="O225" s="1233">
        <v>42154</v>
      </c>
      <c r="P225" s="1178" t="s">
        <v>666</v>
      </c>
      <c r="Q225" s="813" t="s">
        <v>1635</v>
      </c>
      <c r="R225" s="371" t="s">
        <v>666</v>
      </c>
    </row>
    <row r="226" spans="1:18" x14ac:dyDescent="0.25">
      <c r="A226" s="575" t="s">
        <v>1668</v>
      </c>
      <c r="B226" s="298" t="s">
        <v>571</v>
      </c>
      <c r="C226" s="1218">
        <v>42018</v>
      </c>
      <c r="D226" s="260">
        <v>42291</v>
      </c>
      <c r="E226" s="1219"/>
      <c r="F226" s="1220"/>
      <c r="G226" s="262">
        <v>5000</v>
      </c>
      <c r="H226" s="630">
        <v>500</v>
      </c>
      <c r="I226" s="259">
        <v>4300</v>
      </c>
      <c r="J226" s="259">
        <v>150</v>
      </c>
      <c r="K226" s="259">
        <v>2300</v>
      </c>
      <c r="L226" s="1221"/>
      <c r="M226" s="1215">
        <f t="shared" si="21"/>
        <v>650</v>
      </c>
      <c r="N226" s="1216">
        <f t="shared" si="22"/>
        <v>6600</v>
      </c>
      <c r="O226" s="1233">
        <v>42173</v>
      </c>
      <c r="P226" s="1178" t="s">
        <v>666</v>
      </c>
      <c r="Q226" s="811" t="s">
        <v>1618</v>
      </c>
    </row>
    <row r="227" spans="1:18" x14ac:dyDescent="0.25">
      <c r="A227" s="575" t="s">
        <v>467</v>
      </c>
      <c r="B227" s="298" t="s">
        <v>466</v>
      </c>
      <c r="C227" s="1218">
        <v>42187</v>
      </c>
      <c r="D227" s="260">
        <v>42492</v>
      </c>
      <c r="E227" s="1219">
        <f>+C227-D227</f>
        <v>-305</v>
      </c>
      <c r="F227" s="1220"/>
      <c r="G227" s="262">
        <v>28000</v>
      </c>
      <c r="H227" s="630">
        <v>1400</v>
      </c>
      <c r="I227" s="259">
        <v>25200</v>
      </c>
      <c r="J227" s="259">
        <v>280</v>
      </c>
      <c r="K227" s="259">
        <v>5040</v>
      </c>
      <c r="L227" s="1221"/>
      <c r="M227" s="1215">
        <f t="shared" si="21"/>
        <v>1680</v>
      </c>
      <c r="N227" s="1216">
        <f t="shared" si="22"/>
        <v>30240</v>
      </c>
      <c r="O227" s="1233">
        <v>42231</v>
      </c>
      <c r="P227" s="1178" t="s">
        <v>666</v>
      </c>
      <c r="Q227" s="813" t="s">
        <v>1669</v>
      </c>
      <c r="R227" s="371" t="s">
        <v>666</v>
      </c>
    </row>
    <row r="228" spans="1:18" x14ac:dyDescent="0.25">
      <c r="A228" s="575" t="s">
        <v>467</v>
      </c>
      <c r="B228" s="298" t="s">
        <v>466</v>
      </c>
      <c r="C228" s="1218">
        <v>42200</v>
      </c>
      <c r="D228" s="260">
        <v>42231</v>
      </c>
      <c r="E228" s="1219"/>
      <c r="F228" s="1220"/>
      <c r="G228" s="262">
        <v>10000</v>
      </c>
      <c r="H228" s="630"/>
      <c r="I228" s="259">
        <v>10000</v>
      </c>
      <c r="J228" s="259"/>
      <c r="K228" s="259">
        <v>200</v>
      </c>
      <c r="L228" s="1221"/>
      <c r="M228" s="1215">
        <f t="shared" si="21"/>
        <v>0</v>
      </c>
      <c r="N228" s="1216">
        <f t="shared" si="22"/>
        <v>10200</v>
      </c>
      <c r="O228" s="1233" t="s">
        <v>1500</v>
      </c>
      <c r="P228" s="1178" t="s">
        <v>666</v>
      </c>
      <c r="Q228" s="813"/>
    </row>
    <row r="229" spans="1:18" x14ac:dyDescent="0.25">
      <c r="A229" s="575" t="s">
        <v>1671</v>
      </c>
      <c r="B229" s="298" t="s">
        <v>668</v>
      </c>
      <c r="C229" s="1218">
        <v>42129</v>
      </c>
      <c r="D229" s="260">
        <v>42282</v>
      </c>
      <c r="E229" s="1219"/>
      <c r="F229" s="1220"/>
      <c r="G229" s="262">
        <v>30000</v>
      </c>
      <c r="H229" s="630"/>
      <c r="I229" s="259">
        <v>30000</v>
      </c>
      <c r="J229" s="259"/>
      <c r="K229" s="259">
        <v>6000</v>
      </c>
      <c r="L229" s="1221"/>
      <c r="M229" s="1215">
        <f t="shared" si="21"/>
        <v>0</v>
      </c>
      <c r="N229" s="1216">
        <f t="shared" si="22"/>
        <v>36000</v>
      </c>
      <c r="O229" s="1233" t="s">
        <v>1285</v>
      </c>
      <c r="P229" s="1178" t="s">
        <v>666</v>
      </c>
      <c r="Q229" s="811"/>
    </row>
    <row r="230" spans="1:18" x14ac:dyDescent="0.25">
      <c r="A230" s="575" t="s">
        <v>1803</v>
      </c>
      <c r="B230" s="298" t="s">
        <v>1353</v>
      </c>
      <c r="C230" s="1218">
        <v>42061</v>
      </c>
      <c r="D230" s="260">
        <v>42334</v>
      </c>
      <c r="E230" s="1219"/>
      <c r="F230" s="1220"/>
      <c r="G230" s="262">
        <v>15000</v>
      </c>
      <c r="H230" s="630">
        <v>1500</v>
      </c>
      <c r="I230" s="259">
        <v>7500</v>
      </c>
      <c r="J230" s="259">
        <v>750</v>
      </c>
      <c r="K230" s="259">
        <v>3750</v>
      </c>
      <c r="L230" s="1221"/>
      <c r="M230" s="1215">
        <f t="shared" si="21"/>
        <v>2250</v>
      </c>
      <c r="N230" s="1216">
        <f t="shared" si="22"/>
        <v>11250</v>
      </c>
      <c r="O230" s="1233">
        <v>42221</v>
      </c>
      <c r="P230" s="1178" t="s">
        <v>666</v>
      </c>
      <c r="Q230" s="811"/>
    </row>
    <row r="231" spans="1:18" x14ac:dyDescent="0.25">
      <c r="A231" s="575" t="s">
        <v>1291</v>
      </c>
      <c r="B231" s="298" t="s">
        <v>1292</v>
      </c>
      <c r="C231" s="1218">
        <v>41953</v>
      </c>
      <c r="D231" s="260">
        <v>42257</v>
      </c>
      <c r="E231" s="1219"/>
      <c r="F231" s="1220"/>
      <c r="G231" s="262">
        <v>25000</v>
      </c>
      <c r="H231" s="630">
        <v>2500</v>
      </c>
      <c r="I231" s="259">
        <v>5531</v>
      </c>
      <c r="J231" s="259">
        <v>1250</v>
      </c>
      <c r="K231" s="259">
        <v>2500</v>
      </c>
      <c r="L231" s="1221"/>
      <c r="M231" s="1215">
        <f t="shared" si="21"/>
        <v>3750</v>
      </c>
      <c r="N231" s="1216">
        <f t="shared" si="22"/>
        <v>8031</v>
      </c>
      <c r="O231" s="1233">
        <v>42209</v>
      </c>
      <c r="P231" s="1178" t="s">
        <v>666</v>
      </c>
      <c r="Q231" s="811" t="s">
        <v>1618</v>
      </c>
      <c r="R231" s="371" t="s">
        <v>666</v>
      </c>
    </row>
    <row r="232" spans="1:18" x14ac:dyDescent="0.25">
      <c r="A232" s="575" t="s">
        <v>1847</v>
      </c>
      <c r="B232" s="298" t="s">
        <v>865</v>
      </c>
      <c r="C232" s="1218">
        <v>42215</v>
      </c>
      <c r="D232" s="260">
        <v>42368</v>
      </c>
      <c r="E232" s="1219"/>
      <c r="F232" s="1220"/>
      <c r="G232" s="262">
        <v>20000</v>
      </c>
      <c r="H232" s="630"/>
      <c r="I232" s="259">
        <v>20000</v>
      </c>
      <c r="J232" s="259"/>
      <c r="K232" s="259">
        <v>5000</v>
      </c>
      <c r="L232" s="1221"/>
      <c r="M232" s="1215">
        <f t="shared" si="21"/>
        <v>0</v>
      </c>
      <c r="N232" s="1216">
        <f t="shared" si="22"/>
        <v>25000</v>
      </c>
      <c r="O232" s="1233" t="s">
        <v>479</v>
      </c>
      <c r="P232" s="1178" t="s">
        <v>666</v>
      </c>
      <c r="Q232" s="811" t="s">
        <v>1618</v>
      </c>
      <c r="R232" s="371" t="s">
        <v>666</v>
      </c>
    </row>
    <row r="233" spans="1:18" x14ac:dyDescent="0.25">
      <c r="A233" s="575" t="s">
        <v>1007</v>
      </c>
      <c r="B233" s="298" t="s">
        <v>669</v>
      </c>
      <c r="C233" s="1218">
        <v>41957</v>
      </c>
      <c r="D233" s="260">
        <v>42261</v>
      </c>
      <c r="E233" s="1219"/>
      <c r="F233" s="1220"/>
      <c r="G233" s="262">
        <v>10000</v>
      </c>
      <c r="H233" s="630">
        <v>800</v>
      </c>
      <c r="I233" s="259">
        <v>4850</v>
      </c>
      <c r="J233" s="259">
        <v>200</v>
      </c>
      <c r="K233" s="259">
        <v>1800</v>
      </c>
      <c r="L233" s="1221"/>
      <c r="M233" s="1215">
        <f t="shared" si="21"/>
        <v>1000</v>
      </c>
      <c r="N233" s="1216">
        <f t="shared" si="22"/>
        <v>6650</v>
      </c>
      <c r="O233" s="1233">
        <v>42187</v>
      </c>
      <c r="P233" s="1178" t="s">
        <v>666</v>
      </c>
      <c r="Q233" s="811"/>
    </row>
    <row r="234" spans="1:18" x14ac:dyDescent="0.25">
      <c r="A234" s="575" t="s">
        <v>1589</v>
      </c>
      <c r="B234" s="298" t="s">
        <v>937</v>
      </c>
      <c r="C234" s="1218">
        <v>42234</v>
      </c>
      <c r="D234" s="260">
        <v>42356</v>
      </c>
      <c r="E234" s="1219"/>
      <c r="F234" s="1220"/>
      <c r="G234" s="262">
        <v>6000</v>
      </c>
      <c r="H234" s="630"/>
      <c r="I234" s="259">
        <v>6000</v>
      </c>
      <c r="J234" s="259"/>
      <c r="K234" s="259">
        <v>1200</v>
      </c>
      <c r="L234" s="1221"/>
      <c r="M234" s="1215">
        <f t="shared" si="21"/>
        <v>0</v>
      </c>
      <c r="N234" s="1216">
        <f t="shared" si="22"/>
        <v>7200</v>
      </c>
      <c r="O234" s="1233" t="s">
        <v>479</v>
      </c>
      <c r="P234" s="1178" t="s">
        <v>666</v>
      </c>
      <c r="Q234" s="813" t="s">
        <v>1635</v>
      </c>
      <c r="R234" s="371" t="s">
        <v>666</v>
      </c>
    </row>
    <row r="235" spans="1:18" x14ac:dyDescent="0.25">
      <c r="A235" s="575" t="s">
        <v>1193</v>
      </c>
      <c r="B235" s="1235" t="s">
        <v>1194</v>
      </c>
      <c r="C235" s="1218">
        <v>42121</v>
      </c>
      <c r="D235" s="1218">
        <v>42274</v>
      </c>
      <c r="E235" s="1219"/>
      <c r="F235" s="1220"/>
      <c r="G235" s="262">
        <v>4500</v>
      </c>
      <c r="H235" s="630"/>
      <c r="I235" s="259">
        <v>4500</v>
      </c>
      <c r="J235" s="259"/>
      <c r="K235" s="259">
        <v>1125</v>
      </c>
      <c r="L235" s="1221"/>
      <c r="M235" s="1215">
        <f t="shared" si="21"/>
        <v>0</v>
      </c>
      <c r="N235" s="1216">
        <f t="shared" si="22"/>
        <v>5625</v>
      </c>
      <c r="O235" s="1236" t="s">
        <v>551</v>
      </c>
      <c r="P235" s="1178" t="s">
        <v>666</v>
      </c>
      <c r="Q235" s="813" t="s">
        <v>1618</v>
      </c>
      <c r="R235" s="371" t="s">
        <v>666</v>
      </c>
    </row>
    <row r="236" spans="1:18" x14ac:dyDescent="0.25">
      <c r="A236" s="575" t="s">
        <v>1801</v>
      </c>
      <c r="B236" s="1235" t="s">
        <v>1802</v>
      </c>
      <c r="C236" s="1218">
        <v>42213</v>
      </c>
      <c r="D236" s="260">
        <v>42457</v>
      </c>
      <c r="E236" s="1219"/>
      <c r="F236" s="1220"/>
      <c r="G236" s="262">
        <v>6000</v>
      </c>
      <c r="H236" s="630"/>
      <c r="I236" s="259">
        <v>6000</v>
      </c>
      <c r="J236" s="259"/>
      <c r="K236" s="259">
        <v>2400</v>
      </c>
      <c r="L236" s="1221"/>
      <c r="M236" s="1215">
        <f t="shared" si="21"/>
        <v>0</v>
      </c>
      <c r="N236" s="1216">
        <f t="shared" si="22"/>
        <v>8400</v>
      </c>
      <c r="O236" s="1236" t="s">
        <v>479</v>
      </c>
      <c r="P236" s="1178" t="s">
        <v>666</v>
      </c>
      <c r="Q236" s="813" t="s">
        <v>1673</v>
      </c>
      <c r="R236" s="371" t="s">
        <v>666</v>
      </c>
    </row>
    <row r="237" spans="1:18" x14ac:dyDescent="0.25">
      <c r="A237" s="575" t="s">
        <v>1545</v>
      </c>
      <c r="B237" s="1235" t="s">
        <v>882</v>
      </c>
      <c r="C237" s="1218">
        <v>42178</v>
      </c>
      <c r="D237" s="260">
        <v>42483</v>
      </c>
      <c r="E237" s="1219"/>
      <c r="F237" s="1220"/>
      <c r="G237" s="262">
        <v>8000</v>
      </c>
      <c r="H237" s="630"/>
      <c r="I237" s="259">
        <v>8000</v>
      </c>
      <c r="J237" s="259"/>
      <c r="K237" s="259">
        <v>4000</v>
      </c>
      <c r="L237" s="1221"/>
      <c r="M237" s="1215">
        <f t="shared" si="21"/>
        <v>0</v>
      </c>
      <c r="N237" s="1216">
        <f t="shared" si="22"/>
        <v>12000</v>
      </c>
      <c r="O237" s="1236" t="s">
        <v>479</v>
      </c>
      <c r="P237" s="1178" t="s">
        <v>666</v>
      </c>
      <c r="Q237" s="813" t="s">
        <v>1618</v>
      </c>
      <c r="R237" s="371" t="s">
        <v>666</v>
      </c>
    </row>
    <row r="238" spans="1:18" x14ac:dyDescent="0.25">
      <c r="A238" s="575" t="s">
        <v>1672</v>
      </c>
      <c r="B238" s="1235" t="s">
        <v>398</v>
      </c>
      <c r="C238" s="1218">
        <v>41968</v>
      </c>
      <c r="D238" s="260">
        <v>42272</v>
      </c>
      <c r="E238" s="1219"/>
      <c r="F238" s="1220"/>
      <c r="G238" s="262">
        <v>35000</v>
      </c>
      <c r="H238" s="630">
        <v>7263</v>
      </c>
      <c r="I238" s="259">
        <v>10237</v>
      </c>
      <c r="J238" s="259">
        <v>3500</v>
      </c>
      <c r="K238" s="259">
        <v>5250</v>
      </c>
      <c r="L238" s="1221">
        <v>262</v>
      </c>
      <c r="M238" s="1215">
        <f t="shared" si="21"/>
        <v>11025</v>
      </c>
      <c r="N238" s="1216">
        <f t="shared" si="22"/>
        <v>15487</v>
      </c>
      <c r="O238" s="1236">
        <v>42185</v>
      </c>
      <c r="P238" s="1178" t="s">
        <v>666</v>
      </c>
      <c r="Q238" s="813"/>
    </row>
    <row r="239" spans="1:18" x14ac:dyDescent="0.25">
      <c r="A239" s="575" t="s">
        <v>1717</v>
      </c>
      <c r="B239" s="1235" t="s">
        <v>836</v>
      </c>
      <c r="C239" s="1218">
        <v>42042</v>
      </c>
      <c r="D239" s="260">
        <v>42127</v>
      </c>
      <c r="E239" s="1219"/>
      <c r="F239" s="1220"/>
      <c r="G239" s="262">
        <v>8000</v>
      </c>
      <c r="H239" s="630"/>
      <c r="I239" s="259">
        <v>8000</v>
      </c>
      <c r="J239" s="259"/>
      <c r="K239" s="259">
        <v>1200</v>
      </c>
      <c r="L239" s="1221"/>
      <c r="M239" s="1215">
        <f t="shared" si="21"/>
        <v>0</v>
      </c>
      <c r="N239" s="1216">
        <f t="shared" si="22"/>
        <v>9200</v>
      </c>
      <c r="O239" s="1236" t="s">
        <v>479</v>
      </c>
      <c r="P239" s="1178" t="s">
        <v>666</v>
      </c>
      <c r="Q239" s="813" t="s">
        <v>1618</v>
      </c>
      <c r="R239" s="371" t="s">
        <v>666</v>
      </c>
    </row>
    <row r="240" spans="1:18" x14ac:dyDescent="0.25">
      <c r="A240" s="575" t="s">
        <v>1548</v>
      </c>
      <c r="B240" s="298" t="s">
        <v>719</v>
      </c>
      <c r="C240" s="1218">
        <v>42188</v>
      </c>
      <c r="D240" s="260">
        <v>42372</v>
      </c>
      <c r="E240" s="1219"/>
      <c r="F240" s="1220"/>
      <c r="G240" s="262">
        <v>2500</v>
      </c>
      <c r="H240" s="630"/>
      <c r="I240" s="259">
        <v>2500</v>
      </c>
      <c r="J240" s="259"/>
      <c r="K240" s="259">
        <v>750</v>
      </c>
      <c r="L240" s="1221"/>
      <c r="M240" s="1215">
        <f t="shared" si="21"/>
        <v>0</v>
      </c>
      <c r="N240" s="1216">
        <f t="shared" si="22"/>
        <v>3250</v>
      </c>
      <c r="O240" s="1233" t="s">
        <v>479</v>
      </c>
      <c r="P240" s="1178" t="s">
        <v>666</v>
      </c>
      <c r="Q240" s="813"/>
      <c r="R240" s="371" t="s">
        <v>666</v>
      </c>
    </row>
    <row r="241" spans="1:18" x14ac:dyDescent="0.25">
      <c r="A241" s="575" t="s">
        <v>1312</v>
      </c>
      <c r="B241" s="298" t="s">
        <v>1264</v>
      </c>
      <c r="C241" s="1218">
        <v>42199</v>
      </c>
      <c r="D241" s="260">
        <v>42383</v>
      </c>
      <c r="E241" s="1219"/>
      <c r="F241" s="1220"/>
      <c r="G241" s="262">
        <v>50000</v>
      </c>
      <c r="H241" s="630"/>
      <c r="I241" s="259">
        <v>50000</v>
      </c>
      <c r="J241" s="259"/>
      <c r="K241" s="259">
        <v>7500</v>
      </c>
      <c r="L241" s="1221"/>
      <c r="M241" s="1215">
        <f t="shared" ref="M241:M272" si="23">+L241+J241+H241</f>
        <v>0</v>
      </c>
      <c r="N241" s="1216">
        <f t="shared" ref="N241:N272" si="24">+I241+K241</f>
        <v>57500</v>
      </c>
      <c r="O241" s="1233" t="s">
        <v>859</v>
      </c>
      <c r="P241" s="1178" t="s">
        <v>666</v>
      </c>
      <c r="Q241" s="813" t="s">
        <v>1635</v>
      </c>
      <c r="R241" s="371" t="s">
        <v>666</v>
      </c>
    </row>
    <row r="242" spans="1:18" x14ac:dyDescent="0.25">
      <c r="A242" s="575" t="s">
        <v>874</v>
      </c>
      <c r="B242" s="304" t="s">
        <v>669</v>
      </c>
      <c r="C242" s="1218">
        <v>41390</v>
      </c>
      <c r="D242" s="260">
        <v>41696</v>
      </c>
      <c r="E242" s="1219">
        <f>+C242-D242</f>
        <v>-306</v>
      </c>
      <c r="F242" s="1220"/>
      <c r="G242" s="262">
        <v>16000</v>
      </c>
      <c r="H242" s="630"/>
      <c r="I242" s="259">
        <v>6400</v>
      </c>
      <c r="J242" s="259"/>
      <c r="K242" s="259">
        <v>2880</v>
      </c>
      <c r="L242" s="1221"/>
      <c r="M242" s="1215">
        <f t="shared" si="23"/>
        <v>0</v>
      </c>
      <c r="N242" s="1216">
        <f t="shared" si="24"/>
        <v>9280</v>
      </c>
      <c r="O242" s="1233">
        <v>42034</v>
      </c>
      <c r="P242" s="1178" t="s">
        <v>666</v>
      </c>
      <c r="Q242" s="813" t="s">
        <v>1575</v>
      </c>
      <c r="R242" s="371" t="s">
        <v>666</v>
      </c>
    </row>
    <row r="243" spans="1:18" ht="14.25" customHeight="1" x14ac:dyDescent="0.25">
      <c r="A243" s="575" t="s">
        <v>1806</v>
      </c>
      <c r="B243" s="304" t="s">
        <v>1406</v>
      </c>
      <c r="C243" s="1218">
        <v>42206</v>
      </c>
      <c r="D243" s="260">
        <v>42481</v>
      </c>
      <c r="E243" s="1219"/>
      <c r="F243" s="1220"/>
      <c r="G243" s="262">
        <v>7000</v>
      </c>
      <c r="H243" s="630"/>
      <c r="I243" s="259">
        <v>7000</v>
      </c>
      <c r="J243" s="259"/>
      <c r="K243" s="259">
        <v>3150</v>
      </c>
      <c r="L243" s="1221"/>
      <c r="M243" s="1215">
        <f t="shared" si="23"/>
        <v>0</v>
      </c>
      <c r="N243" s="1216">
        <f t="shared" si="24"/>
        <v>10150</v>
      </c>
      <c r="O243" s="1233" t="s">
        <v>479</v>
      </c>
      <c r="P243" s="1178" t="s">
        <v>666</v>
      </c>
      <c r="Q243" s="813"/>
      <c r="R243" s="371" t="s">
        <v>666</v>
      </c>
    </row>
    <row r="244" spans="1:18" ht="14.25" customHeight="1" x14ac:dyDescent="0.25">
      <c r="A244" s="575" t="s">
        <v>1552</v>
      </c>
      <c r="B244" s="304" t="s">
        <v>461</v>
      </c>
      <c r="C244" s="1218">
        <v>42066</v>
      </c>
      <c r="D244" s="260">
        <v>42372</v>
      </c>
      <c r="E244" s="1219"/>
      <c r="F244" s="1220"/>
      <c r="G244" s="262">
        <v>15000</v>
      </c>
      <c r="H244" s="630">
        <v>1500</v>
      </c>
      <c r="I244" s="259">
        <v>11087</v>
      </c>
      <c r="J244" s="259">
        <v>500</v>
      </c>
      <c r="K244" s="259">
        <v>4250</v>
      </c>
      <c r="L244" s="1221"/>
      <c r="M244" s="1215">
        <f t="shared" si="23"/>
        <v>2000</v>
      </c>
      <c r="N244" s="1216">
        <f t="shared" si="24"/>
        <v>15337</v>
      </c>
      <c r="O244" s="1233">
        <v>42230</v>
      </c>
      <c r="P244" s="1178" t="s">
        <v>666</v>
      </c>
      <c r="Q244" s="813"/>
    </row>
    <row r="245" spans="1:18" ht="14.25" customHeight="1" x14ac:dyDescent="0.25">
      <c r="A245" s="575" t="s">
        <v>738</v>
      </c>
      <c r="B245" s="298" t="s">
        <v>489</v>
      </c>
      <c r="C245" s="1218">
        <v>41946</v>
      </c>
      <c r="D245" s="260">
        <v>42250</v>
      </c>
      <c r="E245" s="1219"/>
      <c r="F245" s="1220"/>
      <c r="G245" s="262">
        <v>15000</v>
      </c>
      <c r="H245" s="630"/>
      <c r="I245" s="259">
        <v>15000</v>
      </c>
      <c r="J245" s="259"/>
      <c r="K245" s="259">
        <v>7500</v>
      </c>
      <c r="L245" s="1221"/>
      <c r="M245" s="1215">
        <f t="shared" si="23"/>
        <v>0</v>
      </c>
      <c r="N245" s="1216">
        <f t="shared" si="24"/>
        <v>22500</v>
      </c>
      <c r="O245" s="1233" t="s">
        <v>76</v>
      </c>
      <c r="P245" s="1178" t="s">
        <v>666</v>
      </c>
      <c r="Q245" s="813" t="s">
        <v>1618</v>
      </c>
      <c r="R245" s="371" t="s">
        <v>666</v>
      </c>
    </row>
    <row r="246" spans="1:18" ht="14.25" customHeight="1" x14ac:dyDescent="0.25">
      <c r="A246" s="575" t="s">
        <v>1804</v>
      </c>
      <c r="B246" s="298" t="s">
        <v>1805</v>
      </c>
      <c r="C246" s="1218">
        <v>42236</v>
      </c>
      <c r="D246" s="260">
        <v>42541</v>
      </c>
      <c r="E246" s="1219"/>
      <c r="F246" s="1220"/>
      <c r="G246" s="262">
        <v>20000</v>
      </c>
      <c r="H246" s="630"/>
      <c r="I246" s="259">
        <v>20000</v>
      </c>
      <c r="J246" s="259"/>
      <c r="K246" s="259">
        <v>10000</v>
      </c>
      <c r="L246" s="1221"/>
      <c r="M246" s="1215">
        <f t="shared" si="23"/>
        <v>0</v>
      </c>
      <c r="N246" s="1216">
        <f t="shared" si="24"/>
        <v>30000</v>
      </c>
      <c r="O246" s="1233" t="s">
        <v>77</v>
      </c>
      <c r="P246" s="1178" t="s">
        <v>666</v>
      </c>
      <c r="Q246" s="813" t="s">
        <v>1618</v>
      </c>
      <c r="R246" s="371" t="s">
        <v>666</v>
      </c>
    </row>
    <row r="247" spans="1:18" ht="14.25" customHeight="1" x14ac:dyDescent="0.25">
      <c r="A247" s="575" t="s">
        <v>946</v>
      </c>
      <c r="B247" s="298" t="s">
        <v>796</v>
      </c>
      <c r="C247" s="1218">
        <v>42135</v>
      </c>
      <c r="D247" s="260">
        <v>42440</v>
      </c>
      <c r="E247" s="1219">
        <f t="shared" ref="E247:E257" si="25">+C247-D247</f>
        <v>-305</v>
      </c>
      <c r="F247" s="1220">
        <f>+E247/30</f>
        <v>-10.166666666666666</v>
      </c>
      <c r="G247" s="262">
        <v>10000</v>
      </c>
      <c r="H247" s="630">
        <v>1000</v>
      </c>
      <c r="I247" s="259">
        <v>9000</v>
      </c>
      <c r="J247" s="259">
        <v>500</v>
      </c>
      <c r="K247" s="259">
        <v>4500</v>
      </c>
      <c r="L247" s="1221"/>
      <c r="M247" s="1215">
        <f t="shared" si="23"/>
        <v>1500</v>
      </c>
      <c r="N247" s="1216">
        <f t="shared" si="24"/>
        <v>13500</v>
      </c>
      <c r="O247" s="1233">
        <v>42194</v>
      </c>
      <c r="P247" s="1178" t="s">
        <v>666</v>
      </c>
      <c r="Q247" s="813"/>
    </row>
    <row r="248" spans="1:18" x14ac:dyDescent="0.25">
      <c r="A248" s="575" t="s">
        <v>1265</v>
      </c>
      <c r="B248" s="298" t="s">
        <v>1266</v>
      </c>
      <c r="C248" s="1218">
        <v>42024</v>
      </c>
      <c r="D248" s="260">
        <v>42328</v>
      </c>
      <c r="E248" s="1219">
        <f t="shared" si="25"/>
        <v>-304</v>
      </c>
      <c r="F248" s="1220">
        <f>+E248/30</f>
        <v>-10.133333333333333</v>
      </c>
      <c r="G248" s="262">
        <v>15000</v>
      </c>
      <c r="H248" s="630"/>
      <c r="I248" s="259">
        <v>15000</v>
      </c>
      <c r="J248" s="259"/>
      <c r="K248" s="259">
        <v>5250</v>
      </c>
      <c r="L248" s="1221"/>
      <c r="M248" s="1215">
        <f t="shared" si="23"/>
        <v>0</v>
      </c>
      <c r="N248" s="1216">
        <f t="shared" si="24"/>
        <v>20250</v>
      </c>
      <c r="O248" s="1233" t="s">
        <v>859</v>
      </c>
      <c r="P248" s="1178" t="s">
        <v>666</v>
      </c>
      <c r="Q248" s="813" t="s">
        <v>1618</v>
      </c>
    </row>
    <row r="249" spans="1:18" x14ac:dyDescent="0.25">
      <c r="A249" s="575" t="s">
        <v>1311</v>
      </c>
      <c r="B249" s="298" t="s">
        <v>865</v>
      </c>
      <c r="C249" s="1218">
        <v>42235</v>
      </c>
      <c r="D249" s="260">
        <v>42540</v>
      </c>
      <c r="E249" s="1219">
        <f t="shared" si="25"/>
        <v>-305</v>
      </c>
      <c r="F249" s="1220"/>
      <c r="G249" s="262">
        <v>20000</v>
      </c>
      <c r="H249" s="630"/>
      <c r="I249" s="259">
        <v>20000</v>
      </c>
      <c r="J249" s="259"/>
      <c r="K249" s="259">
        <v>12500</v>
      </c>
      <c r="L249" s="1221"/>
      <c r="M249" s="1215">
        <f t="shared" si="23"/>
        <v>0</v>
      </c>
      <c r="N249" s="1216">
        <f t="shared" si="24"/>
        <v>32500</v>
      </c>
      <c r="O249" s="1233" t="s">
        <v>479</v>
      </c>
      <c r="P249" s="1178" t="s">
        <v>666</v>
      </c>
      <c r="Q249" s="813" t="s">
        <v>1618</v>
      </c>
      <c r="R249" s="371" t="s">
        <v>666</v>
      </c>
    </row>
    <row r="250" spans="1:18" x14ac:dyDescent="0.25">
      <c r="A250" s="575" t="s">
        <v>1547</v>
      </c>
      <c r="B250" s="298" t="s">
        <v>945</v>
      </c>
      <c r="C250" s="1218">
        <v>42069</v>
      </c>
      <c r="D250" s="260">
        <v>42375</v>
      </c>
      <c r="E250" s="1219">
        <f t="shared" si="25"/>
        <v>-306</v>
      </c>
      <c r="F250" s="1220"/>
      <c r="G250" s="262">
        <v>8000</v>
      </c>
      <c r="H250" s="630">
        <v>800</v>
      </c>
      <c r="I250" s="259">
        <v>4000</v>
      </c>
      <c r="J250" s="259">
        <v>400</v>
      </c>
      <c r="K250" s="259">
        <v>2000</v>
      </c>
      <c r="L250" s="1221"/>
      <c r="M250" s="1215">
        <f t="shared" si="23"/>
        <v>1200</v>
      </c>
      <c r="N250" s="1216">
        <f t="shared" si="24"/>
        <v>6000</v>
      </c>
      <c r="O250" s="1233">
        <v>42226</v>
      </c>
      <c r="P250" s="1178" t="s">
        <v>666</v>
      </c>
      <c r="Q250" s="813" t="s">
        <v>1618</v>
      </c>
      <c r="R250" s="371" t="s">
        <v>666</v>
      </c>
    </row>
    <row r="251" spans="1:18" x14ac:dyDescent="0.25">
      <c r="A251" s="575" t="s">
        <v>1550</v>
      </c>
      <c r="B251" s="298" t="s">
        <v>1551</v>
      </c>
      <c r="C251" s="1218">
        <v>42205</v>
      </c>
      <c r="D251" s="260">
        <v>42328</v>
      </c>
      <c r="E251" s="1219">
        <f t="shared" si="25"/>
        <v>-123</v>
      </c>
      <c r="F251" s="1220"/>
      <c r="G251" s="262">
        <v>5000</v>
      </c>
      <c r="H251" s="630"/>
      <c r="I251" s="259">
        <v>5000</v>
      </c>
      <c r="J251" s="259"/>
      <c r="K251" s="259">
        <v>500</v>
      </c>
      <c r="L251" s="1221"/>
      <c r="M251" s="1215">
        <f t="shared" si="23"/>
        <v>0</v>
      </c>
      <c r="N251" s="1216">
        <f t="shared" si="24"/>
        <v>5500</v>
      </c>
      <c r="O251" s="1233" t="s">
        <v>854</v>
      </c>
      <c r="P251" s="1178" t="s">
        <v>666</v>
      </c>
      <c r="Q251" s="813" t="s">
        <v>1678</v>
      </c>
      <c r="R251" s="371" t="s">
        <v>666</v>
      </c>
    </row>
    <row r="252" spans="1:18" x14ac:dyDescent="0.25">
      <c r="A252" s="575" t="s">
        <v>1308</v>
      </c>
      <c r="B252" s="298" t="s">
        <v>755</v>
      </c>
      <c r="C252" s="1218">
        <v>42153</v>
      </c>
      <c r="D252" s="260">
        <v>42306</v>
      </c>
      <c r="E252" s="1219">
        <f t="shared" si="25"/>
        <v>-153</v>
      </c>
      <c r="F252" s="1220"/>
      <c r="G252" s="262">
        <v>20000</v>
      </c>
      <c r="H252" s="630"/>
      <c r="I252" s="259">
        <v>20000</v>
      </c>
      <c r="J252" s="259"/>
      <c r="K252" s="259">
        <v>2000</v>
      </c>
      <c r="L252" s="1221"/>
      <c r="M252" s="1215">
        <f t="shared" si="23"/>
        <v>0</v>
      </c>
      <c r="N252" s="1216">
        <f t="shared" si="24"/>
        <v>22000</v>
      </c>
      <c r="O252" s="1233" t="s">
        <v>479</v>
      </c>
      <c r="P252" s="1178" t="s">
        <v>666</v>
      </c>
      <c r="Q252" s="813" t="s">
        <v>1619</v>
      </c>
      <c r="R252" s="371" t="s">
        <v>666</v>
      </c>
    </row>
    <row r="253" spans="1:18" x14ac:dyDescent="0.25">
      <c r="A253" s="575" t="s">
        <v>1675</v>
      </c>
      <c r="B253" s="298" t="s">
        <v>1676</v>
      </c>
      <c r="C253" s="1218">
        <v>42108</v>
      </c>
      <c r="D253" s="260">
        <v>42291</v>
      </c>
      <c r="E253" s="1219">
        <f t="shared" si="25"/>
        <v>-183</v>
      </c>
      <c r="F253" s="1220">
        <f>+E253/30</f>
        <v>-6.1</v>
      </c>
      <c r="G253" s="262">
        <v>15000</v>
      </c>
      <c r="H253" s="630"/>
      <c r="I253" s="259">
        <v>15000</v>
      </c>
      <c r="J253" s="259"/>
      <c r="K253" s="259">
        <v>4500</v>
      </c>
      <c r="L253" s="1221"/>
      <c r="M253" s="1215">
        <f t="shared" si="23"/>
        <v>0</v>
      </c>
      <c r="N253" s="1216">
        <f t="shared" si="24"/>
        <v>19500</v>
      </c>
      <c r="O253" s="1233" t="s">
        <v>479</v>
      </c>
      <c r="P253" s="1178" t="s">
        <v>666</v>
      </c>
      <c r="Q253" s="813" t="s">
        <v>1618</v>
      </c>
      <c r="R253" s="371" t="s">
        <v>666</v>
      </c>
    </row>
    <row r="254" spans="1:18" x14ac:dyDescent="0.25">
      <c r="A254" s="575" t="s">
        <v>1681</v>
      </c>
      <c r="B254" s="298" t="s">
        <v>1012</v>
      </c>
      <c r="C254" s="1218">
        <v>42129</v>
      </c>
      <c r="D254" s="260">
        <v>42405</v>
      </c>
      <c r="E254" s="1219">
        <f t="shared" si="25"/>
        <v>-276</v>
      </c>
      <c r="F254" s="1220">
        <f>+E254/30</f>
        <v>-9.1999999999999993</v>
      </c>
      <c r="G254" s="262">
        <v>18000</v>
      </c>
      <c r="H254" s="630"/>
      <c r="I254" s="259">
        <v>18000</v>
      </c>
      <c r="J254" s="259"/>
      <c r="K254" s="259">
        <v>6300</v>
      </c>
      <c r="L254" s="1221"/>
      <c r="M254" s="1215">
        <f t="shared" si="23"/>
        <v>0</v>
      </c>
      <c r="N254" s="1216">
        <f t="shared" si="24"/>
        <v>24300</v>
      </c>
      <c r="O254" s="1233" t="s">
        <v>859</v>
      </c>
      <c r="P254" s="1178" t="s">
        <v>666</v>
      </c>
      <c r="Q254" s="813" t="s">
        <v>1575</v>
      </c>
      <c r="R254" s="371" t="s">
        <v>666</v>
      </c>
    </row>
    <row r="255" spans="1:18" x14ac:dyDescent="0.25">
      <c r="A255" s="575" t="s">
        <v>1807</v>
      </c>
      <c r="B255" s="298" t="s">
        <v>855</v>
      </c>
      <c r="C255" s="1218">
        <v>42156</v>
      </c>
      <c r="D255" s="260">
        <v>42309</v>
      </c>
      <c r="E255" s="1219">
        <f t="shared" si="25"/>
        <v>-153</v>
      </c>
      <c r="F255" s="1220">
        <f>+E255/30</f>
        <v>-5.0999999999999996</v>
      </c>
      <c r="G255" s="262">
        <v>15000</v>
      </c>
      <c r="H255" s="630"/>
      <c r="I255" s="259">
        <v>15000</v>
      </c>
      <c r="J255" s="259"/>
      <c r="K255" s="259">
        <v>4500</v>
      </c>
      <c r="L255" s="1221"/>
      <c r="M255" s="1215">
        <f t="shared" si="23"/>
        <v>0</v>
      </c>
      <c r="N255" s="1216">
        <f t="shared" si="24"/>
        <v>19500</v>
      </c>
      <c r="O255" s="1233" t="s">
        <v>77</v>
      </c>
      <c r="P255" s="1178" t="s">
        <v>666</v>
      </c>
      <c r="Q255" s="813" t="s">
        <v>1618</v>
      </c>
      <c r="R255" s="371" t="s">
        <v>666</v>
      </c>
    </row>
    <row r="256" spans="1:18" x14ac:dyDescent="0.25">
      <c r="A256" s="575" t="s">
        <v>1808</v>
      </c>
      <c r="B256" s="298" t="s">
        <v>1473</v>
      </c>
      <c r="C256" s="1218">
        <v>42207</v>
      </c>
      <c r="D256" s="260">
        <v>42512</v>
      </c>
      <c r="E256" s="1219">
        <f t="shared" si="25"/>
        <v>-305</v>
      </c>
      <c r="F256" s="1220">
        <f>+E256/30</f>
        <v>-10.166666666666666</v>
      </c>
      <c r="G256" s="262">
        <v>13000</v>
      </c>
      <c r="H256" s="630">
        <v>1300</v>
      </c>
      <c r="I256" s="259">
        <v>11700</v>
      </c>
      <c r="J256" s="259">
        <v>650</v>
      </c>
      <c r="K256" s="259">
        <v>5850</v>
      </c>
      <c r="L256" s="1221"/>
      <c r="M256" s="1215">
        <f t="shared" si="23"/>
        <v>1950</v>
      </c>
      <c r="N256" s="1216">
        <f t="shared" si="24"/>
        <v>17550</v>
      </c>
      <c r="O256" s="1233">
        <v>42236</v>
      </c>
      <c r="P256" s="1178" t="s">
        <v>666</v>
      </c>
      <c r="Q256" s="813"/>
    </row>
    <row r="257" spans="1:18" x14ac:dyDescent="0.25">
      <c r="A257" s="575" t="s">
        <v>1809</v>
      </c>
      <c r="B257" s="298" t="s">
        <v>1810</v>
      </c>
      <c r="C257" s="1218">
        <v>42062</v>
      </c>
      <c r="D257" s="260">
        <v>42274</v>
      </c>
      <c r="E257" s="1219">
        <f t="shared" si="25"/>
        <v>-212</v>
      </c>
      <c r="F257" s="1220">
        <f>+E257/30</f>
        <v>-7.0666666666666664</v>
      </c>
      <c r="G257" s="262">
        <v>30000</v>
      </c>
      <c r="H257" s="630"/>
      <c r="I257" s="259">
        <v>30000</v>
      </c>
      <c r="J257" s="259"/>
      <c r="K257" s="259">
        <v>4500</v>
      </c>
      <c r="L257" s="1221"/>
      <c r="M257" s="1215">
        <f t="shared" si="23"/>
        <v>0</v>
      </c>
      <c r="N257" s="1216">
        <f t="shared" si="24"/>
        <v>34500</v>
      </c>
      <c r="O257" s="1233" t="s">
        <v>862</v>
      </c>
      <c r="P257" s="1178" t="s">
        <v>666</v>
      </c>
      <c r="Q257" s="813" t="s">
        <v>1679</v>
      </c>
      <c r="R257" s="371" t="s">
        <v>666</v>
      </c>
    </row>
    <row r="258" spans="1:18" x14ac:dyDescent="0.25">
      <c r="A258" s="575" t="s">
        <v>1812</v>
      </c>
      <c r="B258" s="298" t="s">
        <v>461</v>
      </c>
      <c r="C258" s="1218">
        <v>42235</v>
      </c>
      <c r="D258" s="260">
        <v>42327</v>
      </c>
      <c r="E258" s="1219"/>
      <c r="F258" s="1220"/>
      <c r="G258" s="262">
        <v>8000</v>
      </c>
      <c r="H258" s="630"/>
      <c r="I258" s="259">
        <v>8000</v>
      </c>
      <c r="J258" s="259"/>
      <c r="K258" s="259">
        <v>1200</v>
      </c>
      <c r="L258" s="1221"/>
      <c r="M258" s="1215">
        <f t="shared" si="23"/>
        <v>0</v>
      </c>
      <c r="N258" s="1216">
        <f t="shared" si="24"/>
        <v>9200</v>
      </c>
      <c r="O258" s="1233" t="s">
        <v>479</v>
      </c>
      <c r="P258" s="1178" t="s">
        <v>666</v>
      </c>
      <c r="Q258" s="813" t="s">
        <v>1618</v>
      </c>
      <c r="R258" s="371" t="s">
        <v>666</v>
      </c>
    </row>
    <row r="259" spans="1:18" x14ac:dyDescent="0.25">
      <c r="A259" s="575" t="s">
        <v>1813</v>
      </c>
      <c r="B259" s="298" t="s">
        <v>1814</v>
      </c>
      <c r="C259" s="1218">
        <v>42087</v>
      </c>
      <c r="D259" s="260">
        <v>42393</v>
      </c>
      <c r="E259" s="1219"/>
      <c r="F259" s="1220"/>
      <c r="G259" s="262">
        <v>30000</v>
      </c>
      <c r="H259" s="630">
        <v>3500</v>
      </c>
      <c r="I259" s="259">
        <v>22000</v>
      </c>
      <c r="J259" s="259">
        <v>1500</v>
      </c>
      <c r="K259" s="259">
        <v>7500</v>
      </c>
      <c r="L259" s="1221"/>
      <c r="M259" s="1215">
        <f t="shared" si="23"/>
        <v>5000</v>
      </c>
      <c r="N259" s="1216">
        <f t="shared" si="24"/>
        <v>29500</v>
      </c>
      <c r="O259" s="1233">
        <v>42234</v>
      </c>
      <c r="P259" s="1178" t="s">
        <v>666</v>
      </c>
      <c r="Q259" s="811" t="s">
        <v>1575</v>
      </c>
      <c r="R259" s="371" t="s">
        <v>666</v>
      </c>
    </row>
    <row r="260" spans="1:18" x14ac:dyDescent="0.25">
      <c r="A260" s="575" t="s">
        <v>1555</v>
      </c>
      <c r="B260" s="298" t="s">
        <v>1556</v>
      </c>
      <c r="C260" s="1218">
        <v>42146</v>
      </c>
      <c r="D260" s="260">
        <v>42543</v>
      </c>
      <c r="E260" s="1219"/>
      <c r="F260" s="1220"/>
      <c r="G260" s="262">
        <v>15000</v>
      </c>
      <c r="H260" s="630">
        <v>1500</v>
      </c>
      <c r="I260" s="259">
        <v>13500</v>
      </c>
      <c r="J260" s="259">
        <v>750</v>
      </c>
      <c r="K260" s="259">
        <v>6750</v>
      </c>
      <c r="L260" s="1221"/>
      <c r="M260" s="1215">
        <f t="shared" si="23"/>
        <v>2250</v>
      </c>
      <c r="N260" s="1216">
        <f t="shared" si="24"/>
        <v>20250</v>
      </c>
      <c r="O260" s="1233">
        <v>42186</v>
      </c>
      <c r="P260" s="1178" t="s">
        <v>666</v>
      </c>
      <c r="Q260" s="813" t="s">
        <v>1575</v>
      </c>
      <c r="R260" s="371" t="s">
        <v>666</v>
      </c>
    </row>
    <row r="261" spans="1:18" x14ac:dyDescent="0.25">
      <c r="A261" s="575" t="s">
        <v>1710</v>
      </c>
      <c r="B261" s="298" t="s">
        <v>14</v>
      </c>
      <c r="C261" s="1218">
        <v>42062</v>
      </c>
      <c r="D261" s="260">
        <v>42365</v>
      </c>
      <c r="E261" s="1219"/>
      <c r="F261" s="1220"/>
      <c r="G261" s="262">
        <v>12000</v>
      </c>
      <c r="H261" s="630">
        <v>1200</v>
      </c>
      <c r="I261" s="259">
        <v>8400</v>
      </c>
      <c r="J261" s="259">
        <v>600</v>
      </c>
      <c r="K261" s="259">
        <v>4200</v>
      </c>
      <c r="L261" s="1221"/>
      <c r="M261" s="1215">
        <f t="shared" si="23"/>
        <v>1800</v>
      </c>
      <c r="N261" s="1216">
        <f t="shared" si="24"/>
        <v>12600</v>
      </c>
      <c r="O261" s="1233">
        <v>42216</v>
      </c>
      <c r="P261" s="1178" t="s">
        <v>666</v>
      </c>
      <c r="Q261" s="813" t="s">
        <v>1618</v>
      </c>
      <c r="R261" s="371" t="s">
        <v>666</v>
      </c>
    </row>
    <row r="262" spans="1:18" x14ac:dyDescent="0.25">
      <c r="A262" s="575" t="s">
        <v>1411</v>
      </c>
      <c r="B262" s="298" t="s">
        <v>1412</v>
      </c>
      <c r="C262" s="1218">
        <v>42189</v>
      </c>
      <c r="D262" s="260">
        <v>42494</v>
      </c>
      <c r="E262" s="1219"/>
      <c r="F262" s="1220"/>
      <c r="G262" s="262">
        <v>35000</v>
      </c>
      <c r="H262" s="630"/>
      <c r="I262" s="259">
        <v>35000</v>
      </c>
      <c r="J262" s="259"/>
      <c r="K262" s="259">
        <v>17500</v>
      </c>
      <c r="L262" s="1221"/>
      <c r="M262" s="1215">
        <f t="shared" si="23"/>
        <v>0</v>
      </c>
      <c r="N262" s="1216">
        <f t="shared" si="24"/>
        <v>52500</v>
      </c>
      <c r="O262" s="1233" t="s">
        <v>551</v>
      </c>
      <c r="P262" s="1178" t="s">
        <v>666</v>
      </c>
      <c r="Q262" s="811"/>
      <c r="R262" s="371" t="s">
        <v>666</v>
      </c>
    </row>
    <row r="263" spans="1:18" x14ac:dyDescent="0.25">
      <c r="A263" s="575" t="s">
        <v>1703</v>
      </c>
      <c r="B263" s="298" t="s">
        <v>1454</v>
      </c>
      <c r="C263" s="1218">
        <v>42174</v>
      </c>
      <c r="D263" s="260">
        <v>42296</v>
      </c>
      <c r="E263" s="1219"/>
      <c r="F263" s="1220"/>
      <c r="G263" s="262">
        <v>4000</v>
      </c>
      <c r="H263" s="630">
        <v>750</v>
      </c>
      <c r="I263" s="259">
        <v>2500</v>
      </c>
      <c r="J263" s="259">
        <v>150</v>
      </c>
      <c r="K263" s="259">
        <v>500</v>
      </c>
      <c r="L263" s="1221"/>
      <c r="M263" s="1215">
        <f t="shared" si="23"/>
        <v>900</v>
      </c>
      <c r="N263" s="1216">
        <f t="shared" si="24"/>
        <v>3000</v>
      </c>
      <c r="O263" s="1233">
        <v>42234</v>
      </c>
      <c r="P263" s="1178" t="s">
        <v>666</v>
      </c>
      <c r="Q263" s="811"/>
    </row>
    <row r="264" spans="1:18" x14ac:dyDescent="0.25">
      <c r="A264" s="575" t="s">
        <v>1702</v>
      </c>
      <c r="B264" s="298" t="s">
        <v>1454</v>
      </c>
      <c r="C264" s="1218">
        <v>42205</v>
      </c>
      <c r="D264" s="260">
        <v>42328</v>
      </c>
      <c r="E264" s="1219"/>
      <c r="F264" s="1220"/>
      <c r="G264" s="262">
        <v>3000</v>
      </c>
      <c r="H264" s="630">
        <v>600</v>
      </c>
      <c r="I264" s="259">
        <v>2200</v>
      </c>
      <c r="J264" s="259">
        <v>150</v>
      </c>
      <c r="K264" s="259">
        <v>400</v>
      </c>
      <c r="L264" s="1221"/>
      <c r="M264" s="1215">
        <f t="shared" si="23"/>
        <v>750</v>
      </c>
      <c r="N264" s="1216">
        <f t="shared" si="24"/>
        <v>2600</v>
      </c>
      <c r="O264" s="1233">
        <v>42234</v>
      </c>
      <c r="P264" s="1178" t="s">
        <v>666</v>
      </c>
      <c r="Q264" s="811" t="s">
        <v>1650</v>
      </c>
    </row>
    <row r="265" spans="1:18" x14ac:dyDescent="0.25">
      <c r="A265" s="575" t="s">
        <v>488</v>
      </c>
      <c r="B265" s="298" t="s">
        <v>107</v>
      </c>
      <c r="C265" s="1218">
        <v>42191</v>
      </c>
      <c r="D265" s="260">
        <v>42496</v>
      </c>
      <c r="E265" s="1219">
        <f>+C265-D265</f>
        <v>-305</v>
      </c>
      <c r="F265" s="1220">
        <f>+E265/30</f>
        <v>-10.166666666666666</v>
      </c>
      <c r="G265" s="262">
        <v>8000</v>
      </c>
      <c r="H265" s="630"/>
      <c r="I265" s="259">
        <v>8000</v>
      </c>
      <c r="J265" s="259"/>
      <c r="K265" s="259">
        <v>4000</v>
      </c>
      <c r="L265" s="1221"/>
      <c r="M265" s="1215">
        <f t="shared" si="23"/>
        <v>0</v>
      </c>
      <c r="N265" s="1216">
        <f t="shared" si="24"/>
        <v>12000</v>
      </c>
      <c r="O265" s="1233" t="s">
        <v>479</v>
      </c>
      <c r="P265" s="1178" t="s">
        <v>666</v>
      </c>
      <c r="Q265" s="811" t="s">
        <v>1618</v>
      </c>
      <c r="R265" s="371" t="s">
        <v>666</v>
      </c>
    </row>
    <row r="266" spans="1:18" x14ac:dyDescent="0.25">
      <c r="A266" s="575" t="s">
        <v>1267</v>
      </c>
      <c r="B266" s="298" t="s">
        <v>668</v>
      </c>
      <c r="C266" s="1218">
        <v>42079</v>
      </c>
      <c r="D266" s="260">
        <v>42263</v>
      </c>
      <c r="E266" s="1219"/>
      <c r="F266" s="1220"/>
      <c r="G266" s="262">
        <v>15000</v>
      </c>
      <c r="H266" s="630"/>
      <c r="I266" s="259">
        <v>15000</v>
      </c>
      <c r="J266" s="259"/>
      <c r="K266" s="259">
        <v>4500</v>
      </c>
      <c r="L266" s="1221"/>
      <c r="M266" s="1215">
        <f t="shared" si="23"/>
        <v>0</v>
      </c>
      <c r="N266" s="1216">
        <f t="shared" si="24"/>
        <v>19500</v>
      </c>
      <c r="O266" s="1233" t="s">
        <v>76</v>
      </c>
      <c r="P266" s="1178" t="s">
        <v>666</v>
      </c>
      <c r="Q266" s="811" t="s">
        <v>1618</v>
      </c>
    </row>
    <row r="267" spans="1:18" x14ac:dyDescent="0.25">
      <c r="A267" s="575" t="s">
        <v>1332</v>
      </c>
      <c r="B267" s="298" t="s">
        <v>719</v>
      </c>
      <c r="C267" s="1218">
        <v>42191</v>
      </c>
      <c r="D267" s="260">
        <v>42314</v>
      </c>
      <c r="E267" s="1219"/>
      <c r="F267" s="1220"/>
      <c r="G267" s="262">
        <v>10000</v>
      </c>
      <c r="H267" s="630">
        <v>1600</v>
      </c>
      <c r="I267" s="259">
        <v>6700</v>
      </c>
      <c r="J267" s="259">
        <v>320</v>
      </c>
      <c r="K267" s="259">
        <v>1340</v>
      </c>
      <c r="L267" s="1221"/>
      <c r="M267" s="1215">
        <f t="shared" si="23"/>
        <v>1920</v>
      </c>
      <c r="N267" s="1216">
        <f t="shared" si="24"/>
        <v>8040</v>
      </c>
      <c r="O267" s="1233">
        <v>42240</v>
      </c>
      <c r="P267" s="1178" t="s">
        <v>666</v>
      </c>
      <c r="Q267" s="813"/>
      <c r="R267" s="371" t="s">
        <v>666</v>
      </c>
    </row>
    <row r="268" spans="1:18" x14ac:dyDescent="0.25">
      <c r="A268" s="575" t="s">
        <v>1428</v>
      </c>
      <c r="B268" s="298" t="s">
        <v>719</v>
      </c>
      <c r="C268" s="1218">
        <v>42129</v>
      </c>
      <c r="D268" s="260">
        <v>42618</v>
      </c>
      <c r="E268" s="1219"/>
      <c r="F268" s="1220"/>
      <c r="G268" s="262">
        <v>30000</v>
      </c>
      <c r="H268" s="630">
        <v>4800</v>
      </c>
      <c r="I268" s="259">
        <v>8800</v>
      </c>
      <c r="J268" s="259">
        <v>800</v>
      </c>
      <c r="K268" s="259">
        <v>2300</v>
      </c>
      <c r="L268" s="1221"/>
      <c r="M268" s="1215">
        <f t="shared" si="23"/>
        <v>5600</v>
      </c>
      <c r="N268" s="1216">
        <f t="shared" si="24"/>
        <v>11100</v>
      </c>
      <c r="O268" s="1233">
        <v>42240</v>
      </c>
      <c r="P268" s="1178" t="s">
        <v>666</v>
      </c>
      <c r="Q268" s="813"/>
      <c r="R268" s="371" t="s">
        <v>666</v>
      </c>
    </row>
    <row r="269" spans="1:18" x14ac:dyDescent="0.25">
      <c r="A269" s="575" t="s">
        <v>1471</v>
      </c>
      <c r="B269" s="298" t="s">
        <v>1468</v>
      </c>
      <c r="C269" s="1218">
        <v>42107</v>
      </c>
      <c r="D269" s="260">
        <v>42413</v>
      </c>
      <c r="E269" s="1219"/>
      <c r="F269" s="1220"/>
      <c r="G269" s="262">
        <v>30000</v>
      </c>
      <c r="H269" s="630">
        <v>4000</v>
      </c>
      <c r="I269" s="259">
        <v>25175</v>
      </c>
      <c r="J269" s="259">
        <v>1000</v>
      </c>
      <c r="K269" s="259">
        <v>9500</v>
      </c>
      <c r="L269" s="1221"/>
      <c r="M269" s="1215">
        <f t="shared" si="23"/>
        <v>5000</v>
      </c>
      <c r="N269" s="1216">
        <f t="shared" si="24"/>
        <v>34675</v>
      </c>
      <c r="O269" s="1233">
        <v>42228</v>
      </c>
      <c r="P269" s="1178" t="s">
        <v>666</v>
      </c>
      <c r="Q269" s="813" t="s">
        <v>1618</v>
      </c>
      <c r="R269" s="371" t="s">
        <v>666</v>
      </c>
    </row>
    <row r="270" spans="1:18" x14ac:dyDescent="0.25">
      <c r="A270" s="575" t="s">
        <v>1314</v>
      </c>
      <c r="B270" s="298" t="s">
        <v>398</v>
      </c>
      <c r="C270" s="1218">
        <v>42201</v>
      </c>
      <c r="D270" s="260">
        <v>42354</v>
      </c>
      <c r="E270" s="1219">
        <f>+C270-D270</f>
        <v>-153</v>
      </c>
      <c r="F270" s="1220">
        <f>+E270/30</f>
        <v>-5.0999999999999996</v>
      </c>
      <c r="G270" s="262">
        <v>15000</v>
      </c>
      <c r="H270" s="630"/>
      <c r="I270" s="259">
        <v>15000</v>
      </c>
      <c r="J270" s="259"/>
      <c r="K270" s="259">
        <v>1500</v>
      </c>
      <c r="L270" s="1221"/>
      <c r="M270" s="1215">
        <f t="shared" si="23"/>
        <v>0</v>
      </c>
      <c r="N270" s="1216">
        <f t="shared" si="24"/>
        <v>16500</v>
      </c>
      <c r="O270" s="1233" t="s">
        <v>859</v>
      </c>
      <c r="P270" s="1178" t="s">
        <v>666</v>
      </c>
      <c r="Q270" s="813" t="s">
        <v>1611</v>
      </c>
    </row>
    <row r="271" spans="1:18" x14ac:dyDescent="0.25">
      <c r="A271" s="575" t="s">
        <v>1816</v>
      </c>
      <c r="B271" s="298" t="s">
        <v>677</v>
      </c>
      <c r="C271" s="1218">
        <v>42066</v>
      </c>
      <c r="D271" s="260">
        <v>42372</v>
      </c>
      <c r="E271" s="1219"/>
      <c r="F271" s="1220"/>
      <c r="G271" s="262">
        <v>75000</v>
      </c>
      <c r="H271" s="630"/>
      <c r="I271" s="259">
        <v>75000</v>
      </c>
      <c r="J271" s="259">
        <v>10313</v>
      </c>
      <c r="K271" s="259">
        <v>27187</v>
      </c>
      <c r="L271" s="1221">
        <v>1687</v>
      </c>
      <c r="M271" s="1215">
        <f t="shared" si="23"/>
        <v>12000</v>
      </c>
      <c r="N271" s="1216">
        <f t="shared" si="24"/>
        <v>102187</v>
      </c>
      <c r="O271" s="1233">
        <v>42174</v>
      </c>
      <c r="P271" s="1178" t="s">
        <v>666</v>
      </c>
      <c r="Q271" s="813" t="s">
        <v>1682</v>
      </c>
      <c r="R271" s="371" t="s">
        <v>666</v>
      </c>
    </row>
    <row r="272" spans="1:18" x14ac:dyDescent="0.25">
      <c r="A272" s="575" t="s">
        <v>1409</v>
      </c>
      <c r="B272" s="298" t="s">
        <v>1410</v>
      </c>
      <c r="C272" s="1218">
        <v>42149</v>
      </c>
      <c r="D272" s="260">
        <v>42391</v>
      </c>
      <c r="E272" s="1219"/>
      <c r="F272" s="1220"/>
      <c r="G272" s="262">
        <v>8000</v>
      </c>
      <c r="H272" s="630"/>
      <c r="I272" s="259">
        <v>8000</v>
      </c>
      <c r="J272" s="259"/>
      <c r="K272" s="259">
        <v>2400</v>
      </c>
      <c r="L272" s="1221"/>
      <c r="M272" s="1215">
        <f t="shared" si="23"/>
        <v>0</v>
      </c>
      <c r="N272" s="1216">
        <f t="shared" si="24"/>
        <v>10400</v>
      </c>
      <c r="O272" s="1233" t="s">
        <v>76</v>
      </c>
      <c r="P272" s="1178" t="s">
        <v>666</v>
      </c>
      <c r="Q272" s="813"/>
    </row>
    <row r="273" spans="1:18" x14ac:dyDescent="0.25">
      <c r="A273" s="575" t="s">
        <v>1557</v>
      </c>
      <c r="B273" s="298" t="s">
        <v>1454</v>
      </c>
      <c r="C273" s="1218">
        <v>42227</v>
      </c>
      <c r="D273" s="260">
        <v>42411</v>
      </c>
      <c r="E273" s="1219"/>
      <c r="F273" s="1220"/>
      <c r="G273" s="262">
        <v>25000</v>
      </c>
      <c r="H273" s="630"/>
      <c r="I273" s="259">
        <v>25000</v>
      </c>
      <c r="J273" s="259"/>
      <c r="K273" s="259">
        <v>7500</v>
      </c>
      <c r="L273" s="1221"/>
      <c r="M273" s="1215">
        <f t="shared" ref="M273:M302" si="26">+L273+J273+H273</f>
        <v>0</v>
      </c>
      <c r="N273" s="1216">
        <f t="shared" ref="N273:N299" si="27">+I273+K273</f>
        <v>32500</v>
      </c>
      <c r="O273" s="1233" t="s">
        <v>479</v>
      </c>
      <c r="P273" s="1178" t="s">
        <v>666</v>
      </c>
      <c r="Q273" s="813" t="s">
        <v>1611</v>
      </c>
      <c r="R273" s="371" t="s">
        <v>666</v>
      </c>
    </row>
    <row r="274" spans="1:18" x14ac:dyDescent="0.25">
      <c r="A274" s="575" t="s">
        <v>1053</v>
      </c>
      <c r="B274" s="298" t="s">
        <v>1054</v>
      </c>
      <c r="C274" s="1218">
        <v>42137</v>
      </c>
      <c r="D274" s="260">
        <v>42442</v>
      </c>
      <c r="E274" s="1219"/>
      <c r="F274" s="1220"/>
      <c r="G274" s="262">
        <v>14000</v>
      </c>
      <c r="H274" s="630">
        <v>1350</v>
      </c>
      <c r="I274" s="259">
        <v>8410</v>
      </c>
      <c r="J274" s="259">
        <v>344</v>
      </c>
      <c r="K274" s="259">
        <v>5596</v>
      </c>
      <c r="L274" s="1221"/>
      <c r="M274" s="1215">
        <f t="shared" si="26"/>
        <v>1694</v>
      </c>
      <c r="N274" s="1216">
        <f t="shared" si="27"/>
        <v>14006</v>
      </c>
      <c r="O274" s="1233">
        <v>42240</v>
      </c>
      <c r="P274" s="1178" t="s">
        <v>666</v>
      </c>
      <c r="Q274" s="813" t="s">
        <v>1684</v>
      </c>
      <c r="R274" s="371" t="s">
        <v>666</v>
      </c>
    </row>
    <row r="275" spans="1:18" x14ac:dyDescent="0.25">
      <c r="A275" s="575" t="s">
        <v>1197</v>
      </c>
      <c r="B275" s="298" t="s">
        <v>1198</v>
      </c>
      <c r="C275" s="1218">
        <v>42187</v>
      </c>
      <c r="D275" s="260">
        <v>42340</v>
      </c>
      <c r="E275" s="1219"/>
      <c r="F275" s="1220"/>
      <c r="G275" s="262">
        <v>10000</v>
      </c>
      <c r="H275" s="630"/>
      <c r="I275" s="259">
        <v>10000</v>
      </c>
      <c r="J275" s="259">
        <v>1500</v>
      </c>
      <c r="K275" s="259">
        <v>1000</v>
      </c>
      <c r="L275" s="1221"/>
      <c r="M275" s="1215">
        <f t="shared" si="26"/>
        <v>1500</v>
      </c>
      <c r="N275" s="1216">
        <f t="shared" si="27"/>
        <v>11000</v>
      </c>
      <c r="O275" s="1233">
        <v>42188</v>
      </c>
      <c r="P275" s="1178" t="s">
        <v>666</v>
      </c>
      <c r="Q275" s="813"/>
      <c r="R275" s="371" t="s">
        <v>666</v>
      </c>
    </row>
    <row r="276" spans="1:18" x14ac:dyDescent="0.25">
      <c r="A276" s="575" t="s">
        <v>1815</v>
      </c>
      <c r="B276" s="298" t="s">
        <v>1121</v>
      </c>
      <c r="C276" s="1218">
        <v>42138</v>
      </c>
      <c r="D276" s="260">
        <v>42443</v>
      </c>
      <c r="E276" s="1219"/>
      <c r="F276" s="1220"/>
      <c r="G276" s="262">
        <v>7000</v>
      </c>
      <c r="H276" s="630">
        <v>1000</v>
      </c>
      <c r="I276" s="259">
        <v>5000</v>
      </c>
      <c r="J276" s="259">
        <v>400</v>
      </c>
      <c r="K276" s="259">
        <v>1750</v>
      </c>
      <c r="L276" s="1221"/>
      <c r="M276" s="1215">
        <f t="shared" si="26"/>
        <v>1400</v>
      </c>
      <c r="N276" s="1216">
        <f t="shared" si="27"/>
        <v>6750</v>
      </c>
      <c r="O276" s="1233">
        <v>42217</v>
      </c>
      <c r="P276" s="1178" t="s">
        <v>666</v>
      </c>
      <c r="Q276" s="813"/>
    </row>
    <row r="277" spans="1:18" x14ac:dyDescent="0.25">
      <c r="A277" s="575" t="s">
        <v>1839</v>
      </c>
      <c r="B277" s="298" t="s">
        <v>397</v>
      </c>
      <c r="C277" s="1218">
        <v>42221</v>
      </c>
      <c r="D277" s="260">
        <v>42343</v>
      </c>
      <c r="E277" s="1219"/>
      <c r="F277" s="1220">
        <v>2</v>
      </c>
      <c r="G277" s="262">
        <v>20000</v>
      </c>
      <c r="H277" s="630">
        <v>2250</v>
      </c>
      <c r="I277" s="259">
        <v>17750</v>
      </c>
      <c r="J277" s="259">
        <v>750</v>
      </c>
      <c r="K277" s="259">
        <v>3250</v>
      </c>
      <c r="L277" s="1221"/>
      <c r="M277" s="1215">
        <f t="shared" si="26"/>
        <v>3000</v>
      </c>
      <c r="N277" s="1216">
        <f t="shared" si="27"/>
        <v>21000</v>
      </c>
      <c r="O277" s="1233">
        <v>42238</v>
      </c>
      <c r="P277" s="1178" t="s">
        <v>666</v>
      </c>
      <c r="Q277" s="813"/>
    </row>
    <row r="278" spans="1:18" x14ac:dyDescent="0.25">
      <c r="A278" s="575" t="s">
        <v>1603</v>
      </c>
      <c r="B278" s="298" t="s">
        <v>668</v>
      </c>
      <c r="C278" s="1218">
        <v>42191</v>
      </c>
      <c r="D278" s="260">
        <v>42496</v>
      </c>
      <c r="E278" s="1219"/>
      <c r="F278" s="1220"/>
      <c r="G278" s="262">
        <v>8000</v>
      </c>
      <c r="H278" s="630"/>
      <c r="I278" s="259">
        <v>8000</v>
      </c>
      <c r="J278" s="259"/>
      <c r="K278" s="259">
        <v>1600</v>
      </c>
      <c r="L278" s="1221"/>
      <c r="M278" s="1215">
        <f t="shared" si="26"/>
        <v>0</v>
      </c>
      <c r="N278" s="1216">
        <f t="shared" si="27"/>
        <v>9600</v>
      </c>
      <c r="O278" s="1233" t="s">
        <v>551</v>
      </c>
      <c r="P278" s="1178" t="s">
        <v>666</v>
      </c>
      <c r="Q278" s="813"/>
    </row>
    <row r="279" spans="1:18" x14ac:dyDescent="0.25">
      <c r="A279" s="575" t="s">
        <v>653</v>
      </c>
      <c r="B279" s="298" t="s">
        <v>18</v>
      </c>
      <c r="C279" s="1218">
        <v>41435</v>
      </c>
      <c r="D279" s="260">
        <v>42410</v>
      </c>
      <c r="E279" s="1219">
        <f>+C279-D279</f>
        <v>-975</v>
      </c>
      <c r="F279" s="1220">
        <f>+E279/30</f>
        <v>-32.5</v>
      </c>
      <c r="G279" s="262">
        <v>18000</v>
      </c>
      <c r="H279" s="630">
        <v>120</v>
      </c>
      <c r="I279" s="259">
        <v>14530</v>
      </c>
      <c r="J279" s="259">
        <v>30</v>
      </c>
      <c r="K279" s="259">
        <v>6320</v>
      </c>
      <c r="L279" s="1221"/>
      <c r="M279" s="1215">
        <f t="shared" si="26"/>
        <v>150</v>
      </c>
      <c r="N279" s="1216">
        <f t="shared" si="27"/>
        <v>20850</v>
      </c>
      <c r="O279" s="1233">
        <v>42219</v>
      </c>
      <c r="P279" s="1178" t="s">
        <v>666</v>
      </c>
      <c r="Q279" s="813"/>
      <c r="R279" s="371" t="s">
        <v>666</v>
      </c>
    </row>
    <row r="280" spans="1:18" x14ac:dyDescent="0.25">
      <c r="A280" s="575" t="s">
        <v>1565</v>
      </c>
      <c r="B280" s="298" t="s">
        <v>1454</v>
      </c>
      <c r="C280" s="1218">
        <v>42095</v>
      </c>
      <c r="D280" s="260">
        <v>42278</v>
      </c>
      <c r="E280" s="1219"/>
      <c r="F280" s="1220"/>
      <c r="G280" s="262">
        <v>50000</v>
      </c>
      <c r="H280" s="630"/>
      <c r="I280" s="259">
        <v>50000</v>
      </c>
      <c r="J280" s="259"/>
      <c r="K280" s="259">
        <v>15000</v>
      </c>
      <c r="L280" s="1221"/>
      <c r="M280" s="1215">
        <f t="shared" si="26"/>
        <v>0</v>
      </c>
      <c r="N280" s="1216">
        <f t="shared" si="27"/>
        <v>65000</v>
      </c>
      <c r="O280" s="1233" t="s">
        <v>76</v>
      </c>
      <c r="P280" s="1178" t="s">
        <v>666</v>
      </c>
      <c r="Q280" s="813"/>
    </row>
    <row r="281" spans="1:18" x14ac:dyDescent="0.25">
      <c r="A281" s="575" t="s">
        <v>1386</v>
      </c>
      <c r="B281" s="298" t="s">
        <v>702</v>
      </c>
      <c r="C281" s="1218">
        <v>42188</v>
      </c>
      <c r="D281" s="260">
        <v>42372</v>
      </c>
      <c r="E281" s="1219">
        <f t="shared" ref="E281:E289" si="28">+C281-D281</f>
        <v>-184</v>
      </c>
      <c r="F281" s="1220">
        <f t="shared" ref="F281:F289" si="29">+E281/30</f>
        <v>-6.1333333333333337</v>
      </c>
      <c r="G281" s="262">
        <v>7000</v>
      </c>
      <c r="H281" s="630">
        <v>900</v>
      </c>
      <c r="I281" s="259">
        <v>5600</v>
      </c>
      <c r="J281" s="259">
        <v>300</v>
      </c>
      <c r="K281" s="259">
        <v>1700</v>
      </c>
      <c r="L281" s="1221"/>
      <c r="M281" s="1215">
        <f t="shared" si="26"/>
        <v>1200</v>
      </c>
      <c r="N281" s="1216">
        <f t="shared" si="27"/>
        <v>7300</v>
      </c>
      <c r="O281" s="1233">
        <v>42231</v>
      </c>
      <c r="P281" s="1178" t="s">
        <v>666</v>
      </c>
      <c r="Q281" s="813"/>
    </row>
    <row r="282" spans="1:18" x14ac:dyDescent="0.25">
      <c r="A282" s="575" t="s">
        <v>1558</v>
      </c>
      <c r="B282" s="298" t="s">
        <v>1396</v>
      </c>
      <c r="C282" s="1218">
        <v>42132</v>
      </c>
      <c r="D282" s="260">
        <v>42437</v>
      </c>
      <c r="E282" s="1219">
        <f t="shared" si="28"/>
        <v>-305</v>
      </c>
      <c r="F282" s="1220">
        <f t="shared" si="29"/>
        <v>-10.166666666666666</v>
      </c>
      <c r="G282" s="262">
        <v>10000</v>
      </c>
      <c r="H282" s="630"/>
      <c r="I282" s="259">
        <v>10000</v>
      </c>
      <c r="J282" s="259"/>
      <c r="K282" s="259">
        <v>5000</v>
      </c>
      <c r="L282" s="1221"/>
      <c r="M282" s="1215">
        <f t="shared" si="26"/>
        <v>0</v>
      </c>
      <c r="N282" s="1216">
        <f t="shared" si="27"/>
        <v>15000</v>
      </c>
      <c r="O282" s="1233" t="s">
        <v>76</v>
      </c>
      <c r="P282" s="1178" t="s">
        <v>666</v>
      </c>
      <c r="Q282" s="813" t="s">
        <v>1618</v>
      </c>
      <c r="R282" s="371" t="s">
        <v>666</v>
      </c>
    </row>
    <row r="283" spans="1:18" x14ac:dyDescent="0.25">
      <c r="A283" s="575" t="s">
        <v>1590</v>
      </c>
      <c r="B283" s="298" t="s">
        <v>865</v>
      </c>
      <c r="C283" s="1218">
        <v>42170</v>
      </c>
      <c r="D283" s="260">
        <v>42475</v>
      </c>
      <c r="E283" s="1219">
        <f t="shared" si="28"/>
        <v>-305</v>
      </c>
      <c r="F283" s="1220">
        <f t="shared" si="29"/>
        <v>-10.166666666666666</v>
      </c>
      <c r="G283" s="262">
        <v>5000</v>
      </c>
      <c r="H283" s="630"/>
      <c r="I283" s="259">
        <v>5000</v>
      </c>
      <c r="J283" s="259"/>
      <c r="K283" s="259">
        <v>2500</v>
      </c>
      <c r="L283" s="1221"/>
      <c r="M283" s="1215">
        <f t="shared" si="26"/>
        <v>0</v>
      </c>
      <c r="N283" s="1216">
        <f t="shared" si="27"/>
        <v>7500</v>
      </c>
      <c r="O283" s="1233" t="s">
        <v>479</v>
      </c>
      <c r="P283" s="1178" t="s">
        <v>666</v>
      </c>
      <c r="Q283" s="813"/>
    </row>
    <row r="284" spans="1:18" x14ac:dyDescent="0.25">
      <c r="A284" s="575" t="s">
        <v>1687</v>
      </c>
      <c r="B284" s="298" t="s">
        <v>721</v>
      </c>
      <c r="C284" s="1218">
        <v>42132</v>
      </c>
      <c r="D284" s="260">
        <v>42285</v>
      </c>
      <c r="E284" s="1219">
        <f t="shared" si="28"/>
        <v>-153</v>
      </c>
      <c r="F284" s="1220">
        <f t="shared" si="29"/>
        <v>-5.0999999999999996</v>
      </c>
      <c r="G284" s="262">
        <v>8000</v>
      </c>
      <c r="H284" s="630"/>
      <c r="I284" s="259">
        <v>8000</v>
      </c>
      <c r="J284" s="259"/>
      <c r="K284" s="259">
        <v>2000</v>
      </c>
      <c r="L284" s="1221"/>
      <c r="M284" s="1215">
        <f t="shared" si="26"/>
        <v>0</v>
      </c>
      <c r="N284" s="1216">
        <f t="shared" si="27"/>
        <v>10000</v>
      </c>
      <c r="O284" s="1233" t="s">
        <v>551</v>
      </c>
      <c r="P284" s="1178" t="s">
        <v>666</v>
      </c>
      <c r="Q284" s="813"/>
    </row>
    <row r="285" spans="1:18" x14ac:dyDescent="0.25">
      <c r="A285" s="575" t="s">
        <v>1391</v>
      </c>
      <c r="B285" s="298" t="s">
        <v>545</v>
      </c>
      <c r="C285" s="1218">
        <v>42132</v>
      </c>
      <c r="D285" s="260">
        <v>42437</v>
      </c>
      <c r="E285" s="1219">
        <f t="shared" si="28"/>
        <v>-305</v>
      </c>
      <c r="F285" s="1220">
        <f t="shared" si="29"/>
        <v>-10.166666666666666</v>
      </c>
      <c r="G285" s="262">
        <v>33000</v>
      </c>
      <c r="H285" s="630"/>
      <c r="I285" s="259">
        <v>33000</v>
      </c>
      <c r="J285" s="259"/>
      <c r="K285" s="259">
        <v>16500</v>
      </c>
      <c r="L285" s="1221"/>
      <c r="M285" s="1215">
        <f t="shared" si="26"/>
        <v>0</v>
      </c>
      <c r="N285" s="1216">
        <f t="shared" si="27"/>
        <v>49500</v>
      </c>
      <c r="O285" s="1233" t="s">
        <v>551</v>
      </c>
      <c r="P285" s="1178" t="s">
        <v>666</v>
      </c>
      <c r="Q285" s="813" t="s">
        <v>1616</v>
      </c>
      <c r="R285" s="371" t="s">
        <v>666</v>
      </c>
    </row>
    <row r="286" spans="1:18" x14ac:dyDescent="0.25">
      <c r="A286" s="575" t="s">
        <v>1820</v>
      </c>
      <c r="B286" s="298" t="s">
        <v>398</v>
      </c>
      <c r="C286" s="1218">
        <v>42178</v>
      </c>
      <c r="D286" s="260">
        <v>42483</v>
      </c>
      <c r="E286" s="1219">
        <f t="shared" si="28"/>
        <v>-305</v>
      </c>
      <c r="F286" s="1220">
        <f t="shared" si="29"/>
        <v>-10.166666666666666</v>
      </c>
      <c r="G286" s="262">
        <v>25000</v>
      </c>
      <c r="H286" s="630"/>
      <c r="I286" s="259">
        <v>25000</v>
      </c>
      <c r="J286" s="259"/>
      <c r="K286" s="259">
        <v>12500</v>
      </c>
      <c r="L286" s="1221"/>
      <c r="M286" s="1215">
        <f t="shared" si="26"/>
        <v>0</v>
      </c>
      <c r="N286" s="1216">
        <f t="shared" si="27"/>
        <v>37500</v>
      </c>
      <c r="O286" s="1233" t="s">
        <v>1819</v>
      </c>
      <c r="P286" s="1178" t="s">
        <v>666</v>
      </c>
      <c r="Q286" s="811"/>
      <c r="R286" s="371" t="s">
        <v>666</v>
      </c>
    </row>
    <row r="287" spans="1:18" x14ac:dyDescent="0.25">
      <c r="A287" s="575" t="s">
        <v>1369</v>
      </c>
      <c r="B287" s="298" t="s">
        <v>691</v>
      </c>
      <c r="C287" s="1218">
        <v>41961</v>
      </c>
      <c r="D287" s="260">
        <v>42265</v>
      </c>
      <c r="E287" s="1219">
        <f t="shared" si="28"/>
        <v>-304</v>
      </c>
      <c r="F287" s="1220">
        <f t="shared" si="29"/>
        <v>-10.133333333333333</v>
      </c>
      <c r="G287" s="262">
        <v>10000</v>
      </c>
      <c r="H287" s="630">
        <v>3500</v>
      </c>
      <c r="I287" s="259">
        <v>4150</v>
      </c>
      <c r="J287" s="259">
        <v>2500</v>
      </c>
      <c r="K287" s="259">
        <v>500</v>
      </c>
      <c r="L287" s="1221"/>
      <c r="M287" s="1215">
        <f t="shared" si="26"/>
        <v>6000</v>
      </c>
      <c r="N287" s="1216">
        <f t="shared" si="27"/>
        <v>4650</v>
      </c>
      <c r="O287" s="1233">
        <v>42240</v>
      </c>
      <c r="P287" s="1178" t="s">
        <v>666</v>
      </c>
      <c r="Q287" s="811"/>
    </row>
    <row r="288" spans="1:18" x14ac:dyDescent="0.25">
      <c r="A288" s="575" t="s">
        <v>1039</v>
      </c>
      <c r="B288" s="298" t="s">
        <v>18</v>
      </c>
      <c r="C288" s="1218">
        <v>42193</v>
      </c>
      <c r="D288" s="260">
        <v>42315</v>
      </c>
      <c r="E288" s="1219">
        <f t="shared" si="28"/>
        <v>-122</v>
      </c>
      <c r="F288" s="1220">
        <f t="shared" si="29"/>
        <v>-4.0666666666666664</v>
      </c>
      <c r="G288" s="262">
        <v>3000</v>
      </c>
      <c r="H288" s="630"/>
      <c r="I288" s="259">
        <v>3000</v>
      </c>
      <c r="J288" s="259"/>
      <c r="K288" s="259">
        <v>600</v>
      </c>
      <c r="L288" s="1221"/>
      <c r="M288" s="1215">
        <f t="shared" si="26"/>
        <v>0</v>
      </c>
      <c r="N288" s="1216">
        <f t="shared" si="27"/>
        <v>3600</v>
      </c>
      <c r="O288" s="1233" t="s">
        <v>479</v>
      </c>
      <c r="P288" s="1178" t="s">
        <v>666</v>
      </c>
      <c r="Q288" s="811"/>
    </row>
    <row r="289" spans="1:18" x14ac:dyDescent="0.25">
      <c r="A289" s="575" t="s">
        <v>1559</v>
      </c>
      <c r="B289" s="298" t="s">
        <v>669</v>
      </c>
      <c r="C289" s="1218">
        <v>42166</v>
      </c>
      <c r="D289" s="260">
        <v>42593</v>
      </c>
      <c r="E289" s="1219">
        <f t="shared" si="28"/>
        <v>-427</v>
      </c>
      <c r="F289" s="1220">
        <f t="shared" si="29"/>
        <v>-14.233333333333333</v>
      </c>
      <c r="G289" s="262">
        <v>25000</v>
      </c>
      <c r="H289" s="630"/>
      <c r="I289" s="259">
        <v>25000</v>
      </c>
      <c r="J289" s="259"/>
      <c r="K289" s="259">
        <v>10000</v>
      </c>
      <c r="L289" s="1221"/>
      <c r="M289" s="1215">
        <f t="shared" si="26"/>
        <v>0</v>
      </c>
      <c r="N289" s="1216">
        <f t="shared" si="27"/>
        <v>35000</v>
      </c>
      <c r="O289" s="1233" t="s">
        <v>854</v>
      </c>
      <c r="P289" s="1178" t="s">
        <v>666</v>
      </c>
      <c r="Q289" s="811"/>
      <c r="R289" s="371" t="s">
        <v>666</v>
      </c>
    </row>
    <row r="290" spans="1:18" x14ac:dyDescent="0.25">
      <c r="A290" s="575" t="s">
        <v>832</v>
      </c>
      <c r="B290" s="298" t="s">
        <v>669</v>
      </c>
      <c r="C290" s="1218">
        <v>41222</v>
      </c>
      <c r="D290" s="260"/>
      <c r="E290" s="1219"/>
      <c r="F290" s="1220"/>
      <c r="G290" s="262">
        <v>500000</v>
      </c>
      <c r="H290" s="630"/>
      <c r="I290" s="259">
        <v>420000</v>
      </c>
      <c r="J290" s="259"/>
      <c r="K290" s="259"/>
      <c r="L290" s="1221"/>
      <c r="M290" s="1215">
        <f t="shared" si="26"/>
        <v>0</v>
      </c>
      <c r="N290" s="1216">
        <f t="shared" si="27"/>
        <v>420000</v>
      </c>
      <c r="O290" s="1233">
        <v>41705</v>
      </c>
      <c r="P290" s="1178" t="s">
        <v>666</v>
      </c>
      <c r="Q290" s="811" t="s">
        <v>1618</v>
      </c>
      <c r="R290" s="371" t="s">
        <v>666</v>
      </c>
    </row>
    <row r="291" spans="1:18" x14ac:dyDescent="0.25">
      <c r="A291" s="575" t="s">
        <v>832</v>
      </c>
      <c r="B291" s="298" t="s">
        <v>669</v>
      </c>
      <c r="C291" s="1218">
        <v>41348</v>
      </c>
      <c r="D291" s="260"/>
      <c r="E291" s="1219"/>
      <c r="F291" s="1220"/>
      <c r="G291" s="262">
        <v>20000</v>
      </c>
      <c r="H291" s="630"/>
      <c r="I291" s="259">
        <v>20000</v>
      </c>
      <c r="J291" s="259"/>
      <c r="K291" s="259"/>
      <c r="L291" s="1221"/>
      <c r="M291" s="1215">
        <f t="shared" si="26"/>
        <v>0</v>
      </c>
      <c r="N291" s="1216">
        <f t="shared" si="27"/>
        <v>20000</v>
      </c>
      <c r="O291" s="1233" t="s">
        <v>1500</v>
      </c>
      <c r="P291" s="1178" t="s">
        <v>666</v>
      </c>
      <c r="Q291" s="811"/>
    </row>
    <row r="292" spans="1:18" x14ac:dyDescent="0.25">
      <c r="A292" s="575" t="s">
        <v>832</v>
      </c>
      <c r="B292" s="298" t="s">
        <v>669</v>
      </c>
      <c r="C292" s="1218">
        <v>41887</v>
      </c>
      <c r="D292" s="260">
        <v>41948</v>
      </c>
      <c r="E292" s="1219"/>
      <c r="F292" s="1220"/>
      <c r="G292" s="262">
        <v>350000</v>
      </c>
      <c r="H292" s="630"/>
      <c r="I292" s="259">
        <v>350000</v>
      </c>
      <c r="J292" s="259"/>
      <c r="K292" s="259"/>
      <c r="L292" s="1221"/>
      <c r="M292" s="1215">
        <f t="shared" si="26"/>
        <v>0</v>
      </c>
      <c r="N292" s="1216">
        <f t="shared" si="27"/>
        <v>350000</v>
      </c>
      <c r="O292" s="1233" t="s">
        <v>1500</v>
      </c>
      <c r="P292" s="1178" t="s">
        <v>666</v>
      </c>
      <c r="Q292" s="811"/>
    </row>
    <row r="293" spans="1:18" x14ac:dyDescent="0.25">
      <c r="A293" s="575" t="s">
        <v>832</v>
      </c>
      <c r="B293" s="298" t="s">
        <v>669</v>
      </c>
      <c r="C293" s="1218">
        <v>41914</v>
      </c>
      <c r="D293" s="260"/>
      <c r="E293" s="1219"/>
      <c r="F293" s="1220"/>
      <c r="G293" s="262">
        <v>500000</v>
      </c>
      <c r="H293" s="630"/>
      <c r="I293" s="259">
        <v>500000</v>
      </c>
      <c r="J293" s="259"/>
      <c r="K293" s="259"/>
      <c r="L293" s="1221"/>
      <c r="M293" s="1215">
        <f t="shared" si="26"/>
        <v>0</v>
      </c>
      <c r="N293" s="1216">
        <f t="shared" si="27"/>
        <v>500000</v>
      </c>
      <c r="O293" s="1233" t="s">
        <v>1500</v>
      </c>
      <c r="P293" s="1178" t="s">
        <v>666</v>
      </c>
      <c r="Q293" s="811"/>
      <c r="R293" s="371" t="s">
        <v>666</v>
      </c>
    </row>
    <row r="294" spans="1:18" x14ac:dyDescent="0.25">
      <c r="A294" s="575" t="s">
        <v>832</v>
      </c>
      <c r="B294" s="298" t="s">
        <v>669</v>
      </c>
      <c r="C294" s="1218">
        <v>41904</v>
      </c>
      <c r="D294" s="260"/>
      <c r="E294" s="1219"/>
      <c r="F294" s="1220"/>
      <c r="G294" s="262">
        <v>500000</v>
      </c>
      <c r="H294" s="630"/>
      <c r="I294" s="259">
        <v>500000</v>
      </c>
      <c r="J294" s="259"/>
      <c r="K294" s="259"/>
      <c r="L294" s="1221"/>
      <c r="M294" s="1215">
        <f t="shared" si="26"/>
        <v>0</v>
      </c>
      <c r="N294" s="1216">
        <f t="shared" si="27"/>
        <v>500000</v>
      </c>
      <c r="O294" s="1233" t="s">
        <v>1500</v>
      </c>
      <c r="P294" s="1178" t="s">
        <v>666</v>
      </c>
      <c r="Q294" s="811"/>
    </row>
    <row r="295" spans="1:18" x14ac:dyDescent="0.25">
      <c r="A295" s="575" t="s">
        <v>832</v>
      </c>
      <c r="B295" s="298" t="s">
        <v>669</v>
      </c>
      <c r="C295" s="1218">
        <v>41508</v>
      </c>
      <c r="D295" s="260"/>
      <c r="E295" s="1219"/>
      <c r="F295" s="1220"/>
      <c r="G295" s="262">
        <v>20000</v>
      </c>
      <c r="H295" s="630"/>
      <c r="I295" s="259">
        <v>10000</v>
      </c>
      <c r="J295" s="259"/>
      <c r="K295" s="259"/>
      <c r="L295" s="1221"/>
      <c r="M295" s="1215">
        <f t="shared" si="26"/>
        <v>0</v>
      </c>
      <c r="N295" s="1216">
        <f t="shared" si="27"/>
        <v>10000</v>
      </c>
      <c r="O295" s="1233">
        <v>41914</v>
      </c>
      <c r="P295" s="1178" t="s">
        <v>666</v>
      </c>
      <c r="Q295" s="811"/>
    </row>
    <row r="296" spans="1:18" x14ac:dyDescent="0.25">
      <c r="A296" s="575" t="s">
        <v>1315</v>
      </c>
      <c r="B296" s="298" t="s">
        <v>669</v>
      </c>
      <c r="C296" s="1218">
        <v>42193</v>
      </c>
      <c r="D296" s="260">
        <v>42498</v>
      </c>
      <c r="E296" s="1219"/>
      <c r="F296" s="1220"/>
      <c r="G296" s="262">
        <v>14000</v>
      </c>
      <c r="H296" s="630"/>
      <c r="I296" s="259">
        <v>14000</v>
      </c>
      <c r="J296" s="259"/>
      <c r="K296" s="259">
        <v>7000</v>
      </c>
      <c r="L296" s="1221"/>
      <c r="M296" s="1215">
        <f t="shared" si="26"/>
        <v>0</v>
      </c>
      <c r="N296" s="1216">
        <f t="shared" si="27"/>
        <v>21000</v>
      </c>
      <c r="O296" s="1233" t="s">
        <v>551</v>
      </c>
      <c r="P296" s="1178" t="s">
        <v>666</v>
      </c>
      <c r="Q296" s="811"/>
    </row>
    <row r="297" spans="1:18" x14ac:dyDescent="0.25">
      <c r="A297" s="575" t="s">
        <v>1562</v>
      </c>
      <c r="B297" s="298" t="s">
        <v>721</v>
      </c>
      <c r="C297" s="1218">
        <v>42207</v>
      </c>
      <c r="D297" s="260">
        <v>42146</v>
      </c>
      <c r="E297" s="1219"/>
      <c r="F297" s="1220"/>
      <c r="G297" s="262">
        <v>15000</v>
      </c>
      <c r="H297" s="630"/>
      <c r="I297" s="259">
        <v>15000</v>
      </c>
      <c r="J297" s="259"/>
      <c r="K297" s="259">
        <v>7500</v>
      </c>
      <c r="L297" s="1221"/>
      <c r="M297" s="1215">
        <f t="shared" si="26"/>
        <v>0</v>
      </c>
      <c r="N297" s="1216">
        <f t="shared" si="27"/>
        <v>22500</v>
      </c>
      <c r="O297" s="1237" t="s">
        <v>479</v>
      </c>
      <c r="P297" s="1178" t="s">
        <v>666</v>
      </c>
      <c r="Q297" s="1164" t="s">
        <v>1631</v>
      </c>
    </row>
    <row r="298" spans="1:18" x14ac:dyDescent="0.25">
      <c r="A298" s="575" t="s">
        <v>1168</v>
      </c>
      <c r="B298" s="298" t="s">
        <v>461</v>
      </c>
      <c r="C298" s="1218">
        <v>41753</v>
      </c>
      <c r="D298" s="260">
        <v>42059</v>
      </c>
      <c r="E298" s="1219"/>
      <c r="F298" s="1220"/>
      <c r="G298" s="262">
        <v>20000</v>
      </c>
      <c r="H298" s="630"/>
      <c r="I298" s="259">
        <v>20000</v>
      </c>
      <c r="J298" s="259"/>
      <c r="K298" s="259">
        <v>10000</v>
      </c>
      <c r="L298" s="1221"/>
      <c r="M298" s="1215">
        <f t="shared" si="26"/>
        <v>0</v>
      </c>
      <c r="N298" s="1216">
        <f t="shared" si="27"/>
        <v>30000</v>
      </c>
      <c r="O298" s="1237" t="s">
        <v>479</v>
      </c>
      <c r="P298" s="1178" t="s">
        <v>666</v>
      </c>
      <c r="Q298" s="1164" t="s">
        <v>1618</v>
      </c>
    </row>
    <row r="299" spans="1:18" x14ac:dyDescent="0.25">
      <c r="A299" s="575" t="s">
        <v>837</v>
      </c>
      <c r="B299" s="298" t="s">
        <v>573</v>
      </c>
      <c r="C299" s="1218">
        <v>42219</v>
      </c>
      <c r="D299" s="260">
        <v>42341</v>
      </c>
      <c r="E299" s="1219"/>
      <c r="F299" s="1220"/>
      <c r="G299" s="262">
        <v>17000</v>
      </c>
      <c r="H299" s="795">
        <v>1950</v>
      </c>
      <c r="I299" s="368">
        <v>15050</v>
      </c>
      <c r="J299" s="263">
        <v>370</v>
      </c>
      <c r="K299" s="263">
        <v>3030</v>
      </c>
      <c r="L299" s="1221"/>
      <c r="M299" s="1215">
        <f t="shared" si="26"/>
        <v>2320</v>
      </c>
      <c r="N299" s="1216">
        <f t="shared" si="27"/>
        <v>18080</v>
      </c>
      <c r="O299" s="1233">
        <v>42238</v>
      </c>
      <c r="P299" s="1178" t="s">
        <v>666</v>
      </c>
      <c r="Q299" s="1164" t="s">
        <v>1624</v>
      </c>
    </row>
    <row r="300" spans="1:18" x14ac:dyDescent="0.25">
      <c r="A300" s="575" t="s">
        <v>1821</v>
      </c>
      <c r="B300" s="298" t="s">
        <v>398</v>
      </c>
      <c r="C300" s="1218">
        <v>42159</v>
      </c>
      <c r="D300" s="260">
        <v>42251</v>
      </c>
      <c r="E300" s="1219"/>
      <c r="F300" s="1220"/>
      <c r="G300" s="262">
        <v>8000</v>
      </c>
      <c r="H300" s="795"/>
      <c r="I300" s="368">
        <v>8000</v>
      </c>
      <c r="J300" s="263"/>
      <c r="K300" s="263"/>
      <c r="L300" s="1221"/>
      <c r="M300" s="1215">
        <f t="shared" si="26"/>
        <v>0</v>
      </c>
      <c r="N300" s="1216">
        <f>+I300+K300</f>
        <v>8000</v>
      </c>
      <c r="O300" s="1233" t="s">
        <v>859</v>
      </c>
      <c r="P300" s="1178" t="s">
        <v>666</v>
      </c>
      <c r="Q300" s="1165"/>
      <c r="R300" s="371" t="s">
        <v>666</v>
      </c>
    </row>
    <row r="301" spans="1:18" x14ac:dyDescent="0.25">
      <c r="A301" s="575" t="s">
        <v>1243</v>
      </c>
      <c r="B301" s="298" t="s">
        <v>750</v>
      </c>
      <c r="C301" s="1218">
        <v>41832</v>
      </c>
      <c r="D301" s="260">
        <v>42136</v>
      </c>
      <c r="E301" s="1219"/>
      <c r="F301" s="1220"/>
      <c r="G301" s="262">
        <v>14500</v>
      </c>
      <c r="H301" s="795"/>
      <c r="I301" s="368">
        <v>14500</v>
      </c>
      <c r="J301" s="263"/>
      <c r="K301" s="263">
        <v>3902</v>
      </c>
      <c r="L301" s="1221"/>
      <c r="M301" s="1215">
        <f t="shared" si="26"/>
        <v>0</v>
      </c>
      <c r="N301" s="1216">
        <f t="shared" ref="N301:N344" si="30">+I301+K301</f>
        <v>18402</v>
      </c>
      <c r="O301" s="1233">
        <v>42027</v>
      </c>
      <c r="P301" s="1178" t="s">
        <v>666</v>
      </c>
      <c r="Q301" s="1165"/>
    </row>
    <row r="302" spans="1:18" ht="15.75" thickBot="1" x14ac:dyDescent="0.3">
      <c r="A302" s="575" t="s">
        <v>1414</v>
      </c>
      <c r="B302" s="298" t="s">
        <v>1027</v>
      </c>
      <c r="C302" s="1218">
        <v>42039</v>
      </c>
      <c r="D302" s="260">
        <v>42342</v>
      </c>
      <c r="E302" s="1219"/>
      <c r="F302" s="1220"/>
      <c r="G302" s="262">
        <v>15000</v>
      </c>
      <c r="H302" s="630">
        <v>3000</v>
      </c>
      <c r="I302" s="259">
        <v>12000</v>
      </c>
      <c r="J302" s="259">
        <v>1000</v>
      </c>
      <c r="K302" s="259">
        <v>4450</v>
      </c>
      <c r="L302" s="1221"/>
      <c r="M302" s="1215">
        <f t="shared" si="26"/>
        <v>4000</v>
      </c>
      <c r="N302" s="1216">
        <f t="shared" si="30"/>
        <v>16450</v>
      </c>
      <c r="O302" s="987">
        <v>42199</v>
      </c>
      <c r="P302" s="1178" t="s">
        <v>666</v>
      </c>
      <c r="Q302" s="1202" t="s">
        <v>1618</v>
      </c>
      <c r="R302" s="371" t="s">
        <v>666</v>
      </c>
    </row>
    <row r="303" spans="1:18" x14ac:dyDescent="0.25">
      <c r="A303" s="575" t="s">
        <v>1415</v>
      </c>
      <c r="B303" s="298" t="s">
        <v>1416</v>
      </c>
      <c r="C303" s="1218">
        <v>41948</v>
      </c>
      <c r="D303" s="260">
        <v>42252</v>
      </c>
      <c r="E303" s="1219"/>
      <c r="F303" s="1220"/>
      <c r="G303" s="262">
        <v>10000</v>
      </c>
      <c r="H303" s="1238"/>
      <c r="I303" s="830">
        <v>10000</v>
      </c>
      <c r="J303" s="830"/>
      <c r="K303" s="830">
        <v>5000</v>
      </c>
      <c r="L303" s="1221"/>
      <c r="M303" s="1215">
        <f t="shared" ref="M303:M327" si="31">+L303+J303+H303</f>
        <v>0</v>
      </c>
      <c r="N303" s="1216">
        <f t="shared" si="30"/>
        <v>15000</v>
      </c>
      <c r="O303" s="1233" t="s">
        <v>76</v>
      </c>
      <c r="P303" s="1178" t="s">
        <v>666</v>
      </c>
      <c r="Q303" s="1165"/>
    </row>
    <row r="304" spans="1:18" x14ac:dyDescent="0.25">
      <c r="A304" s="575" t="s">
        <v>1015</v>
      </c>
      <c r="B304" s="298" t="s">
        <v>865</v>
      </c>
      <c r="C304" s="1218">
        <v>42213</v>
      </c>
      <c r="D304" s="260">
        <v>42518</v>
      </c>
      <c r="E304" s="1219">
        <f>+C304-D304</f>
        <v>-305</v>
      </c>
      <c r="F304" s="1220">
        <f>+E304/30</f>
        <v>-10.166666666666666</v>
      </c>
      <c r="G304" s="262">
        <v>30000</v>
      </c>
      <c r="H304" s="1238"/>
      <c r="I304" s="830">
        <v>30000</v>
      </c>
      <c r="J304" s="830"/>
      <c r="K304" s="830">
        <v>10500</v>
      </c>
      <c r="L304" s="1221"/>
      <c r="M304" s="1215">
        <f t="shared" si="31"/>
        <v>0</v>
      </c>
      <c r="N304" s="1216">
        <f t="shared" si="30"/>
        <v>40500</v>
      </c>
      <c r="O304" s="1233" t="s">
        <v>859</v>
      </c>
      <c r="P304" s="1178" t="s">
        <v>666</v>
      </c>
      <c r="Q304" s="813" t="s">
        <v>1618</v>
      </c>
    </row>
    <row r="305" spans="1:18" x14ac:dyDescent="0.25">
      <c r="A305" s="575" t="s">
        <v>435</v>
      </c>
      <c r="B305" s="298" t="s">
        <v>27</v>
      </c>
      <c r="C305" s="1218">
        <v>42212</v>
      </c>
      <c r="D305" s="260">
        <v>42315</v>
      </c>
      <c r="E305" s="1219">
        <f>+C305-D305</f>
        <v>-103</v>
      </c>
      <c r="F305" s="1220">
        <f>+E305/30</f>
        <v>-3.4333333333333331</v>
      </c>
      <c r="G305" s="262">
        <v>5000</v>
      </c>
      <c r="H305" s="1238">
        <v>660</v>
      </c>
      <c r="I305" s="830">
        <v>4440</v>
      </c>
      <c r="J305" s="830">
        <v>140</v>
      </c>
      <c r="K305" s="830">
        <v>860</v>
      </c>
      <c r="L305" s="1221"/>
      <c r="M305" s="1215">
        <f t="shared" si="31"/>
        <v>800</v>
      </c>
      <c r="N305" s="1216">
        <f t="shared" si="30"/>
        <v>5300</v>
      </c>
      <c r="O305" s="1233">
        <v>42236</v>
      </c>
      <c r="P305" s="1178" t="s">
        <v>666</v>
      </c>
      <c r="Q305" s="813" t="s">
        <v>1611</v>
      </c>
      <c r="R305" s="371" t="s">
        <v>666</v>
      </c>
    </row>
    <row r="306" spans="1:18" x14ac:dyDescent="0.25">
      <c r="A306" s="575" t="s">
        <v>1818</v>
      </c>
      <c r="B306" s="298" t="s">
        <v>1478</v>
      </c>
      <c r="C306" s="1218">
        <v>42222</v>
      </c>
      <c r="D306" s="260">
        <v>42314</v>
      </c>
      <c r="E306" s="1219"/>
      <c r="F306" s="1220"/>
      <c r="G306" s="262">
        <v>20000</v>
      </c>
      <c r="H306" s="630"/>
      <c r="I306" s="259">
        <v>20000</v>
      </c>
      <c r="J306" s="259"/>
      <c r="K306" s="259">
        <v>3000</v>
      </c>
      <c r="L306" s="1221"/>
      <c r="M306" s="1215">
        <f t="shared" si="31"/>
        <v>0</v>
      </c>
      <c r="N306" s="1216">
        <f t="shared" si="30"/>
        <v>23000</v>
      </c>
      <c r="O306" s="1233" t="s">
        <v>1819</v>
      </c>
      <c r="P306" s="1178" t="s">
        <v>666</v>
      </c>
      <c r="Q306" s="813"/>
    </row>
    <row r="307" spans="1:18" x14ac:dyDescent="0.25">
      <c r="A307" s="575" t="s">
        <v>1203</v>
      </c>
      <c r="B307" s="298" t="s">
        <v>511</v>
      </c>
      <c r="C307" s="1218">
        <v>42131</v>
      </c>
      <c r="D307" s="260">
        <v>42436</v>
      </c>
      <c r="E307" s="1219">
        <f>+C307-D307</f>
        <v>-305</v>
      </c>
      <c r="F307" s="1220">
        <f>+E307/30</f>
        <v>-10.166666666666666</v>
      </c>
      <c r="G307" s="262">
        <v>22000</v>
      </c>
      <c r="H307" s="630">
        <v>500</v>
      </c>
      <c r="I307" s="259">
        <v>21500</v>
      </c>
      <c r="J307" s="259">
        <v>100</v>
      </c>
      <c r="K307" s="259">
        <v>10900</v>
      </c>
      <c r="L307" s="1221"/>
      <c r="M307" s="1215">
        <f t="shared" si="31"/>
        <v>600</v>
      </c>
      <c r="N307" s="1216">
        <f t="shared" si="30"/>
        <v>32400</v>
      </c>
      <c r="O307" s="1233">
        <v>42136</v>
      </c>
      <c r="P307" s="1178" t="s">
        <v>666</v>
      </c>
      <c r="Q307" s="813"/>
    </row>
    <row r="308" spans="1:18" x14ac:dyDescent="0.25">
      <c r="A308" s="575" t="s">
        <v>1563</v>
      </c>
      <c r="B308" s="298" t="s">
        <v>1564</v>
      </c>
      <c r="C308" s="1218">
        <v>42123</v>
      </c>
      <c r="D308" s="260">
        <v>42429</v>
      </c>
      <c r="E308" s="1219"/>
      <c r="F308" s="1220"/>
      <c r="G308" s="262">
        <v>34000</v>
      </c>
      <c r="H308" s="630">
        <v>4459</v>
      </c>
      <c r="I308" s="259">
        <v>29541</v>
      </c>
      <c r="J308" s="259">
        <v>5100</v>
      </c>
      <c r="K308" s="259">
        <v>11900</v>
      </c>
      <c r="L308" s="1221">
        <v>441</v>
      </c>
      <c r="M308" s="1215">
        <f t="shared" si="31"/>
        <v>10000</v>
      </c>
      <c r="N308" s="1216">
        <f t="shared" si="30"/>
        <v>41441</v>
      </c>
      <c r="O308" s="1233">
        <v>42202</v>
      </c>
      <c r="P308" s="1178" t="s">
        <v>666</v>
      </c>
      <c r="Q308" s="813"/>
      <c r="R308" s="371" t="s">
        <v>666</v>
      </c>
    </row>
    <row r="309" spans="1:18" x14ac:dyDescent="0.25">
      <c r="A309" s="575" t="s">
        <v>1817</v>
      </c>
      <c r="B309" s="298" t="s">
        <v>865</v>
      </c>
      <c r="C309" s="1218">
        <v>41739</v>
      </c>
      <c r="D309" s="260">
        <v>42410</v>
      </c>
      <c r="E309" s="1219"/>
      <c r="F309" s="1220"/>
      <c r="G309" s="262">
        <v>8000</v>
      </c>
      <c r="H309" s="630">
        <v>800</v>
      </c>
      <c r="I309" s="259">
        <v>5600</v>
      </c>
      <c r="J309" s="259">
        <v>400</v>
      </c>
      <c r="K309" s="259">
        <v>2800</v>
      </c>
      <c r="L309" s="1221"/>
      <c r="M309" s="1215">
        <f t="shared" si="31"/>
        <v>1200</v>
      </c>
      <c r="N309" s="1216">
        <f t="shared" si="30"/>
        <v>8400</v>
      </c>
      <c r="O309" s="1233">
        <v>42222</v>
      </c>
      <c r="P309" s="1178" t="s">
        <v>666</v>
      </c>
      <c r="Q309" s="813"/>
      <c r="R309" s="371" t="s">
        <v>666</v>
      </c>
    </row>
    <row r="310" spans="1:18" x14ac:dyDescent="0.25">
      <c r="A310" s="575" t="s">
        <v>1561</v>
      </c>
      <c r="B310" s="1235" t="s">
        <v>1194</v>
      </c>
      <c r="C310" s="1218">
        <v>42080</v>
      </c>
      <c r="D310" s="260">
        <v>42264</v>
      </c>
      <c r="E310" s="1219">
        <f t="shared" ref="E310:E337" si="32">+C310-D310</f>
        <v>-184</v>
      </c>
      <c r="F310" s="1220">
        <f t="shared" ref="F310:F336" si="33">+E310/30</f>
        <v>-6.1333333333333337</v>
      </c>
      <c r="G310" s="262">
        <v>7000</v>
      </c>
      <c r="H310" s="630">
        <v>750</v>
      </c>
      <c r="I310" s="259">
        <v>3350</v>
      </c>
      <c r="J310" s="259">
        <v>350</v>
      </c>
      <c r="K310" s="259">
        <v>1750</v>
      </c>
      <c r="L310" s="1221"/>
      <c r="M310" s="1215">
        <f t="shared" si="31"/>
        <v>1100</v>
      </c>
      <c r="N310" s="1216">
        <f t="shared" si="30"/>
        <v>5100</v>
      </c>
      <c r="O310" s="1233">
        <v>42236</v>
      </c>
      <c r="P310" s="1178" t="s">
        <v>666</v>
      </c>
      <c r="Q310" s="813"/>
    </row>
    <row r="311" spans="1:18" x14ac:dyDescent="0.25">
      <c r="A311" s="575" t="s">
        <v>1368</v>
      </c>
      <c r="B311" s="298" t="s">
        <v>1201</v>
      </c>
      <c r="C311" s="1218">
        <v>42102</v>
      </c>
      <c r="D311" s="1229">
        <v>42408</v>
      </c>
      <c r="E311" s="1219">
        <f t="shared" si="32"/>
        <v>-306</v>
      </c>
      <c r="F311" s="1220">
        <f t="shared" si="33"/>
        <v>-10.199999999999999</v>
      </c>
      <c r="G311" s="262">
        <v>50000</v>
      </c>
      <c r="H311" s="630">
        <v>4250</v>
      </c>
      <c r="I311" s="259">
        <v>40750</v>
      </c>
      <c r="J311" s="259">
        <v>5000</v>
      </c>
      <c r="K311" s="259">
        <v>17500</v>
      </c>
      <c r="L311" s="1221">
        <v>750</v>
      </c>
      <c r="M311" s="1215">
        <f t="shared" si="31"/>
        <v>10000</v>
      </c>
      <c r="N311" s="1216">
        <f t="shared" si="30"/>
        <v>58250</v>
      </c>
      <c r="O311" s="1233">
        <v>42191</v>
      </c>
      <c r="P311" s="1178" t="s">
        <v>666</v>
      </c>
      <c r="Q311" s="811" t="s">
        <v>1635</v>
      </c>
    </row>
    <row r="312" spans="1:18" x14ac:dyDescent="0.25">
      <c r="A312" s="575" t="s">
        <v>804</v>
      </c>
      <c r="B312" s="298" t="s">
        <v>421</v>
      </c>
      <c r="C312" s="1218">
        <v>42094</v>
      </c>
      <c r="D312" s="260">
        <v>42399</v>
      </c>
      <c r="E312" s="1219">
        <f t="shared" si="32"/>
        <v>-305</v>
      </c>
      <c r="F312" s="1220">
        <f t="shared" si="33"/>
        <v>-10.166666666666666</v>
      </c>
      <c r="G312" s="262">
        <v>20000</v>
      </c>
      <c r="H312" s="630">
        <v>3333</v>
      </c>
      <c r="I312" s="259">
        <v>7884</v>
      </c>
      <c r="J312" s="259">
        <v>1000</v>
      </c>
      <c r="K312" s="259">
        <v>1000</v>
      </c>
      <c r="L312" s="1221"/>
      <c r="M312" s="1215">
        <f t="shared" si="31"/>
        <v>4333</v>
      </c>
      <c r="N312" s="1216">
        <f t="shared" si="30"/>
        <v>8884</v>
      </c>
      <c r="O312" s="1233">
        <v>42230</v>
      </c>
      <c r="P312" s="1178" t="s">
        <v>666</v>
      </c>
      <c r="Q312" s="811"/>
    </row>
    <row r="313" spans="1:18" x14ac:dyDescent="0.25">
      <c r="A313" s="575" t="s">
        <v>1316</v>
      </c>
      <c r="B313" s="298" t="s">
        <v>1317</v>
      </c>
      <c r="C313" s="1218">
        <v>42235</v>
      </c>
      <c r="D313" s="260">
        <v>42327</v>
      </c>
      <c r="E313" s="1219">
        <f t="shared" si="32"/>
        <v>-92</v>
      </c>
      <c r="F313" s="1220">
        <f t="shared" si="33"/>
        <v>-3.0666666666666669</v>
      </c>
      <c r="G313" s="262">
        <v>10000</v>
      </c>
      <c r="H313" s="630"/>
      <c r="I313" s="259">
        <v>10000</v>
      </c>
      <c r="J313" s="259"/>
      <c r="K313" s="259">
        <v>3000</v>
      </c>
      <c r="L313" s="1221"/>
      <c r="M313" s="1215">
        <f t="shared" si="31"/>
        <v>0</v>
      </c>
      <c r="N313" s="1216">
        <f t="shared" si="30"/>
        <v>13000</v>
      </c>
      <c r="O313" s="1233" t="s">
        <v>479</v>
      </c>
      <c r="P313" s="1178" t="s">
        <v>666</v>
      </c>
      <c r="Q313" s="811" t="s">
        <v>1635</v>
      </c>
    </row>
    <row r="314" spans="1:18" x14ac:dyDescent="0.25">
      <c r="A314" s="575" t="s">
        <v>706</v>
      </c>
      <c r="B314" s="1235" t="s">
        <v>425</v>
      </c>
      <c r="C314" s="1218">
        <v>42166</v>
      </c>
      <c r="D314" s="260">
        <v>42471</v>
      </c>
      <c r="E314" s="1219">
        <f t="shared" si="32"/>
        <v>-305</v>
      </c>
      <c r="F314" s="1220">
        <f t="shared" si="33"/>
        <v>-10.166666666666666</v>
      </c>
      <c r="G314" s="262">
        <v>50000</v>
      </c>
      <c r="H314" s="630"/>
      <c r="I314" s="259">
        <v>50000</v>
      </c>
      <c r="J314" s="259"/>
      <c r="K314" s="259">
        <v>25000</v>
      </c>
      <c r="L314" s="1221"/>
      <c r="M314" s="1215">
        <f t="shared" si="31"/>
        <v>0</v>
      </c>
      <c r="N314" s="1216">
        <f t="shared" si="30"/>
        <v>75000</v>
      </c>
      <c r="O314" s="1233" t="s">
        <v>76</v>
      </c>
      <c r="P314" s="1178" t="s">
        <v>666</v>
      </c>
      <c r="Q314" s="811" t="s">
        <v>1618</v>
      </c>
      <c r="R314" s="371" t="s">
        <v>666</v>
      </c>
    </row>
    <row r="315" spans="1:18" x14ac:dyDescent="0.25">
      <c r="A315" s="575" t="s">
        <v>869</v>
      </c>
      <c r="B315" s="1235" t="s">
        <v>870</v>
      </c>
      <c r="C315" s="1218">
        <v>42149</v>
      </c>
      <c r="D315" s="260">
        <v>42272</v>
      </c>
      <c r="E315" s="1219">
        <f t="shared" si="32"/>
        <v>-123</v>
      </c>
      <c r="F315" s="1220">
        <f t="shared" si="33"/>
        <v>-4.0999999999999996</v>
      </c>
      <c r="G315" s="262">
        <v>80000</v>
      </c>
      <c r="H315" s="630">
        <v>4800</v>
      </c>
      <c r="I315" s="259">
        <v>54800</v>
      </c>
      <c r="J315" s="259">
        <v>1200</v>
      </c>
      <c r="K315" s="259">
        <v>9700</v>
      </c>
      <c r="L315" s="1221"/>
      <c r="M315" s="1215">
        <f t="shared" si="31"/>
        <v>6000</v>
      </c>
      <c r="N315" s="1216">
        <f t="shared" si="30"/>
        <v>64500</v>
      </c>
      <c r="O315" s="1233">
        <v>42236</v>
      </c>
      <c r="P315" s="1178" t="s">
        <v>666</v>
      </c>
      <c r="Q315" s="811" t="s">
        <v>1618</v>
      </c>
      <c r="R315" s="371" t="s">
        <v>666</v>
      </c>
    </row>
    <row r="316" spans="1:18" x14ac:dyDescent="0.25">
      <c r="A316" s="575" t="s">
        <v>1714</v>
      </c>
      <c r="B316" s="1235" t="s">
        <v>942</v>
      </c>
      <c r="C316" s="1218">
        <v>42107</v>
      </c>
      <c r="D316" s="260">
        <v>42413</v>
      </c>
      <c r="E316" s="1219">
        <f t="shared" si="32"/>
        <v>-306</v>
      </c>
      <c r="F316" s="1220">
        <f t="shared" si="33"/>
        <v>-10.199999999999999</v>
      </c>
      <c r="G316" s="262">
        <v>11000</v>
      </c>
      <c r="H316" s="630"/>
      <c r="I316" s="259">
        <v>11000</v>
      </c>
      <c r="J316" s="259"/>
      <c r="K316" s="259">
        <v>5500</v>
      </c>
      <c r="L316" s="1221"/>
      <c r="M316" s="1215">
        <f t="shared" si="31"/>
        <v>0</v>
      </c>
      <c r="N316" s="1216">
        <f t="shared" si="30"/>
        <v>16500</v>
      </c>
      <c r="O316" s="1233" t="s">
        <v>76</v>
      </c>
      <c r="P316" s="1178" t="s">
        <v>666</v>
      </c>
      <c r="Q316" s="811" t="s">
        <v>1686</v>
      </c>
      <c r="R316" s="371" t="s">
        <v>666</v>
      </c>
    </row>
    <row r="317" spans="1:18" x14ac:dyDescent="0.25">
      <c r="A317" s="575" t="s">
        <v>1572</v>
      </c>
      <c r="B317" s="1235" t="s">
        <v>1573</v>
      </c>
      <c r="C317" s="1218">
        <v>42163</v>
      </c>
      <c r="D317" s="260">
        <v>42397</v>
      </c>
      <c r="E317" s="1219">
        <f t="shared" si="32"/>
        <v>-234</v>
      </c>
      <c r="F317" s="1220">
        <f t="shared" si="33"/>
        <v>-7.8</v>
      </c>
      <c r="G317" s="262">
        <v>50000</v>
      </c>
      <c r="H317" s="630"/>
      <c r="I317" s="259">
        <v>50000</v>
      </c>
      <c r="J317" s="259"/>
      <c r="K317" s="259">
        <v>20000</v>
      </c>
      <c r="L317" s="1221"/>
      <c r="M317" s="1215">
        <f t="shared" si="31"/>
        <v>0</v>
      </c>
      <c r="N317" s="1216">
        <f t="shared" si="30"/>
        <v>70000</v>
      </c>
      <c r="O317" s="1233" t="s">
        <v>479</v>
      </c>
      <c r="P317" s="1178" t="s">
        <v>666</v>
      </c>
      <c r="Q317" s="811"/>
    </row>
    <row r="318" spans="1:18" x14ac:dyDescent="0.25">
      <c r="A318" s="575" t="s">
        <v>1572</v>
      </c>
      <c r="B318" s="1235" t="s">
        <v>1573</v>
      </c>
      <c r="C318" s="1218">
        <v>42172</v>
      </c>
      <c r="D318" s="260">
        <v>42386</v>
      </c>
      <c r="E318" s="1219">
        <f t="shared" si="32"/>
        <v>-214</v>
      </c>
      <c r="F318" s="1220">
        <f t="shared" si="33"/>
        <v>-7.1333333333333337</v>
      </c>
      <c r="G318" s="262">
        <v>35000</v>
      </c>
      <c r="H318" s="630"/>
      <c r="I318" s="259">
        <v>35000</v>
      </c>
      <c r="J318" s="259"/>
      <c r="K318" s="259">
        <v>8750</v>
      </c>
      <c r="L318" s="1221"/>
      <c r="M318" s="1215">
        <f t="shared" si="31"/>
        <v>0</v>
      </c>
      <c r="N318" s="1216">
        <f t="shared" si="30"/>
        <v>43750</v>
      </c>
      <c r="O318" s="1233" t="s">
        <v>1500</v>
      </c>
      <c r="P318" s="1178" t="s">
        <v>666</v>
      </c>
      <c r="Q318" s="811"/>
      <c r="R318" s="371" t="s">
        <v>666</v>
      </c>
    </row>
    <row r="319" spans="1:18" x14ac:dyDescent="0.25">
      <c r="A319" s="575" t="s">
        <v>1268</v>
      </c>
      <c r="B319" s="1235" t="s">
        <v>1269</v>
      </c>
      <c r="C319" s="1218">
        <v>42146</v>
      </c>
      <c r="D319" s="260">
        <v>42391</v>
      </c>
      <c r="E319" s="1219">
        <f t="shared" si="32"/>
        <v>-245</v>
      </c>
      <c r="F319" s="1220">
        <f t="shared" si="33"/>
        <v>-8.1666666666666661</v>
      </c>
      <c r="G319" s="262">
        <v>75000</v>
      </c>
      <c r="H319" s="630"/>
      <c r="I319" s="259">
        <v>75000</v>
      </c>
      <c r="J319" s="259"/>
      <c r="K319" s="259">
        <v>22500</v>
      </c>
      <c r="L319" s="1221"/>
      <c r="M319" s="1215">
        <f t="shared" si="31"/>
        <v>0</v>
      </c>
      <c r="N319" s="1216">
        <f t="shared" si="30"/>
        <v>97500</v>
      </c>
      <c r="O319" s="1233" t="s">
        <v>854</v>
      </c>
      <c r="P319" s="1178" t="s">
        <v>666</v>
      </c>
      <c r="Q319" s="811"/>
    </row>
    <row r="320" spans="1:18" x14ac:dyDescent="0.25">
      <c r="A320" s="575" t="s">
        <v>1268</v>
      </c>
      <c r="B320" s="1235" t="s">
        <v>1269</v>
      </c>
      <c r="C320" s="1218">
        <v>42209</v>
      </c>
      <c r="D320" s="260">
        <v>42362</v>
      </c>
      <c r="E320" s="1219">
        <f t="shared" si="32"/>
        <v>-153</v>
      </c>
      <c r="F320" s="1220">
        <f t="shared" si="33"/>
        <v>-5.0999999999999996</v>
      </c>
      <c r="G320" s="262">
        <v>30000</v>
      </c>
      <c r="H320" s="630"/>
      <c r="I320" s="259">
        <v>30000</v>
      </c>
      <c r="J320" s="259"/>
      <c r="K320" s="259">
        <v>7500</v>
      </c>
      <c r="L320" s="1221"/>
      <c r="M320" s="1215">
        <f t="shared" si="31"/>
        <v>0</v>
      </c>
      <c r="N320" s="1216">
        <f t="shared" si="30"/>
        <v>37500</v>
      </c>
      <c r="O320" s="1233" t="s">
        <v>1500</v>
      </c>
      <c r="P320" s="1178" t="s">
        <v>666</v>
      </c>
      <c r="Q320" s="811"/>
    </row>
    <row r="321" spans="1:18" x14ac:dyDescent="0.25">
      <c r="A321" s="575" t="s">
        <v>423</v>
      </c>
      <c r="B321" s="298" t="s">
        <v>38</v>
      </c>
      <c r="C321" s="1218">
        <v>42088</v>
      </c>
      <c r="D321" s="260">
        <v>42272</v>
      </c>
      <c r="E321" s="1219">
        <f t="shared" si="32"/>
        <v>-184</v>
      </c>
      <c r="F321" s="1220">
        <f t="shared" si="33"/>
        <v>-6.1333333333333337</v>
      </c>
      <c r="G321" s="262">
        <v>14000</v>
      </c>
      <c r="H321" s="630"/>
      <c r="I321" s="259">
        <v>14000</v>
      </c>
      <c r="J321" s="259"/>
      <c r="K321" s="259">
        <v>2800</v>
      </c>
      <c r="L321" s="1221"/>
      <c r="M321" s="1215">
        <f t="shared" si="31"/>
        <v>0</v>
      </c>
      <c r="N321" s="1216">
        <f t="shared" si="30"/>
        <v>16800</v>
      </c>
      <c r="O321" s="1233" t="s">
        <v>854</v>
      </c>
      <c r="P321" s="1178" t="s">
        <v>666</v>
      </c>
      <c r="Q321" s="811"/>
      <c r="R321" s="371" t="s">
        <v>666</v>
      </c>
    </row>
    <row r="322" spans="1:18" x14ac:dyDescent="0.25">
      <c r="A322" s="575" t="s">
        <v>1604</v>
      </c>
      <c r="B322" s="298" t="s">
        <v>771</v>
      </c>
      <c r="C322" s="1218">
        <v>42172</v>
      </c>
      <c r="D322" s="260">
        <v>42477</v>
      </c>
      <c r="E322" s="1219">
        <f t="shared" si="32"/>
        <v>-305</v>
      </c>
      <c r="F322" s="1220">
        <f t="shared" si="33"/>
        <v>-10.166666666666666</v>
      </c>
      <c r="G322" s="262">
        <v>25000</v>
      </c>
      <c r="H322" s="630">
        <v>2290</v>
      </c>
      <c r="I322" s="259">
        <v>18760</v>
      </c>
      <c r="J322" s="259">
        <v>610</v>
      </c>
      <c r="K322" s="259">
        <v>3390</v>
      </c>
      <c r="L322" s="1221"/>
      <c r="M322" s="1215">
        <f t="shared" si="31"/>
        <v>2900</v>
      </c>
      <c r="N322" s="1216">
        <f t="shared" si="30"/>
        <v>22150</v>
      </c>
      <c r="O322" s="1233">
        <v>42238</v>
      </c>
      <c r="P322" s="1178" t="s">
        <v>666</v>
      </c>
      <c r="Q322" s="813"/>
    </row>
    <row r="323" spans="1:18" x14ac:dyDescent="0.25">
      <c r="A323" s="575" t="s">
        <v>1248</v>
      </c>
      <c r="B323" s="298" t="s">
        <v>1478</v>
      </c>
      <c r="C323" s="1218">
        <v>41821</v>
      </c>
      <c r="D323" s="260">
        <v>42125</v>
      </c>
      <c r="E323" s="1219">
        <f t="shared" si="32"/>
        <v>-304</v>
      </c>
      <c r="F323" s="1220">
        <f t="shared" si="33"/>
        <v>-10.133333333333333</v>
      </c>
      <c r="G323" s="262">
        <v>8500</v>
      </c>
      <c r="H323" s="630"/>
      <c r="I323" s="259">
        <v>5900</v>
      </c>
      <c r="J323" s="259"/>
      <c r="K323" s="259">
        <v>3380</v>
      </c>
      <c r="L323" s="1221"/>
      <c r="M323" s="1215">
        <f t="shared" si="31"/>
        <v>0</v>
      </c>
      <c r="N323" s="1216">
        <f t="shared" si="30"/>
        <v>9280</v>
      </c>
      <c r="O323" s="1233">
        <v>42017</v>
      </c>
      <c r="P323" s="1178" t="s">
        <v>666</v>
      </c>
      <c r="Q323" s="813"/>
    </row>
    <row r="324" spans="1:18" x14ac:dyDescent="0.25">
      <c r="A324" s="575" t="s">
        <v>1020</v>
      </c>
      <c r="B324" s="298" t="s">
        <v>882</v>
      </c>
      <c r="C324" s="1218">
        <v>42189</v>
      </c>
      <c r="D324" s="260">
        <v>42373</v>
      </c>
      <c r="E324" s="1219">
        <f t="shared" si="32"/>
        <v>-184</v>
      </c>
      <c r="F324" s="1220">
        <f t="shared" si="33"/>
        <v>-6.1333333333333337</v>
      </c>
      <c r="G324" s="262">
        <v>13000</v>
      </c>
      <c r="H324" s="630"/>
      <c r="I324" s="259">
        <v>13000</v>
      </c>
      <c r="J324" s="259"/>
      <c r="K324" s="259">
        <v>1950</v>
      </c>
      <c r="L324" s="1221"/>
      <c r="M324" s="1215">
        <f t="shared" si="31"/>
        <v>0</v>
      </c>
      <c r="N324" s="1216">
        <f t="shared" si="30"/>
        <v>14950</v>
      </c>
      <c r="O324" s="1233" t="s">
        <v>859</v>
      </c>
      <c r="P324" s="1178" t="s">
        <v>666</v>
      </c>
      <c r="Q324" s="813"/>
    </row>
    <row r="325" spans="1:18" x14ac:dyDescent="0.25">
      <c r="A325" s="575" t="s">
        <v>1822</v>
      </c>
      <c r="B325" s="298" t="s">
        <v>770</v>
      </c>
      <c r="C325" s="1218">
        <v>42234</v>
      </c>
      <c r="D325" s="260">
        <v>42600</v>
      </c>
      <c r="E325" s="1219">
        <f t="shared" si="32"/>
        <v>-366</v>
      </c>
      <c r="F325" s="1220">
        <f t="shared" si="33"/>
        <v>-12.2</v>
      </c>
      <c r="G325" s="262">
        <v>20000</v>
      </c>
      <c r="H325" s="630"/>
      <c r="I325" s="259">
        <v>20000</v>
      </c>
      <c r="J325" s="259"/>
      <c r="K325" s="259">
        <v>6000</v>
      </c>
      <c r="L325" s="1221"/>
      <c r="M325" s="1215">
        <f t="shared" si="31"/>
        <v>0</v>
      </c>
      <c r="N325" s="1216">
        <f t="shared" si="30"/>
        <v>26000</v>
      </c>
      <c r="O325" s="1233" t="s">
        <v>479</v>
      </c>
      <c r="P325" s="1178" t="s">
        <v>666</v>
      </c>
      <c r="Q325" s="813"/>
    </row>
    <row r="326" spans="1:18" x14ac:dyDescent="0.25">
      <c r="A326" s="575" t="s">
        <v>1591</v>
      </c>
      <c r="B326" s="298" t="s">
        <v>669</v>
      </c>
      <c r="C326" s="1218">
        <v>42129</v>
      </c>
      <c r="D326" s="260">
        <v>42313</v>
      </c>
      <c r="E326" s="1219">
        <f t="shared" si="32"/>
        <v>-184</v>
      </c>
      <c r="F326" s="1220">
        <f t="shared" si="33"/>
        <v>-6.1333333333333337</v>
      </c>
      <c r="G326" s="262">
        <v>10000</v>
      </c>
      <c r="H326" s="630">
        <v>1200</v>
      </c>
      <c r="I326" s="259">
        <v>4900</v>
      </c>
      <c r="J326" s="259">
        <v>350</v>
      </c>
      <c r="K326" s="259">
        <v>1900</v>
      </c>
      <c r="L326" s="1221"/>
      <c r="M326" s="1215">
        <f t="shared" si="31"/>
        <v>1550</v>
      </c>
      <c r="N326" s="1216">
        <f t="shared" si="30"/>
        <v>6800</v>
      </c>
      <c r="O326" s="1233">
        <v>42231</v>
      </c>
      <c r="P326" s="1178" t="s">
        <v>666</v>
      </c>
      <c r="Q326" s="813"/>
    </row>
    <row r="327" spans="1:18" x14ac:dyDescent="0.25">
      <c r="A327" s="575" t="s">
        <v>1568</v>
      </c>
      <c r="B327" s="298" t="s">
        <v>1569</v>
      </c>
      <c r="C327" s="1218">
        <v>42162</v>
      </c>
      <c r="D327" s="260">
        <v>42497</v>
      </c>
      <c r="E327" s="1219">
        <f t="shared" si="32"/>
        <v>-335</v>
      </c>
      <c r="F327" s="1220">
        <f t="shared" si="33"/>
        <v>-11.166666666666666</v>
      </c>
      <c r="G327" s="262">
        <v>200000</v>
      </c>
      <c r="H327" s="630">
        <v>25000</v>
      </c>
      <c r="I327" s="259">
        <v>175000</v>
      </c>
      <c r="J327" s="259">
        <v>5000</v>
      </c>
      <c r="K327" s="259">
        <v>95000</v>
      </c>
      <c r="L327" s="1221"/>
      <c r="M327" s="1215">
        <f t="shared" si="31"/>
        <v>30000</v>
      </c>
      <c r="N327" s="1216">
        <f t="shared" si="30"/>
        <v>270000</v>
      </c>
      <c r="O327" s="1233">
        <v>42223</v>
      </c>
      <c r="P327" s="1178" t="s">
        <v>666</v>
      </c>
      <c r="Q327" s="813"/>
    </row>
    <row r="328" spans="1:18" x14ac:dyDescent="0.25">
      <c r="A328" s="575" t="s">
        <v>1844</v>
      </c>
      <c r="B328" s="298" t="s">
        <v>803</v>
      </c>
      <c r="C328" s="1218">
        <v>42068</v>
      </c>
      <c r="D328" s="260">
        <v>42374</v>
      </c>
      <c r="E328" s="1219">
        <f t="shared" si="32"/>
        <v>-306</v>
      </c>
      <c r="F328" s="1220">
        <f t="shared" si="33"/>
        <v>-10.199999999999999</v>
      </c>
      <c r="G328" s="262">
        <v>15000</v>
      </c>
      <c r="H328" s="630">
        <v>500</v>
      </c>
      <c r="I328" s="259">
        <v>11300</v>
      </c>
      <c r="J328" s="259">
        <v>100</v>
      </c>
      <c r="K328" s="259">
        <v>6080</v>
      </c>
      <c r="L328" s="1221"/>
      <c r="M328" s="1215"/>
      <c r="N328" s="1216">
        <f t="shared" si="30"/>
        <v>17380</v>
      </c>
      <c r="O328" s="1233">
        <v>42199</v>
      </c>
      <c r="P328" s="1178" t="s">
        <v>666</v>
      </c>
      <c r="Q328" s="813"/>
    </row>
    <row r="329" spans="1:18" x14ac:dyDescent="0.25">
      <c r="A329" s="575" t="s">
        <v>1691</v>
      </c>
      <c r="B329" s="298" t="s">
        <v>796</v>
      </c>
      <c r="C329" s="1218">
        <v>41955</v>
      </c>
      <c r="D329" s="260">
        <v>42259</v>
      </c>
      <c r="E329" s="1219">
        <f t="shared" si="32"/>
        <v>-304</v>
      </c>
      <c r="F329" s="1220">
        <f t="shared" si="33"/>
        <v>-10.133333333333333</v>
      </c>
      <c r="G329" s="262">
        <v>6000</v>
      </c>
      <c r="H329" s="630"/>
      <c r="I329" s="259">
        <v>6000</v>
      </c>
      <c r="J329" s="259"/>
      <c r="K329" s="259">
        <v>3000</v>
      </c>
      <c r="L329" s="1221"/>
      <c r="M329" s="1215">
        <f>+L329+J329+H329</f>
        <v>0</v>
      </c>
      <c r="N329" s="1216">
        <f t="shared" si="30"/>
        <v>9000</v>
      </c>
      <c r="O329" s="1233" t="s">
        <v>76</v>
      </c>
      <c r="P329" s="1178" t="s">
        <v>666</v>
      </c>
      <c r="Q329" s="813"/>
    </row>
    <row r="330" spans="1:18" ht="15" customHeight="1" x14ac:dyDescent="0.25">
      <c r="A330" s="575" t="s">
        <v>70</v>
      </c>
      <c r="B330" s="298" t="s">
        <v>110</v>
      </c>
      <c r="C330" s="1218">
        <v>42158</v>
      </c>
      <c r="D330" s="260">
        <v>42280</v>
      </c>
      <c r="E330" s="1219">
        <f t="shared" si="32"/>
        <v>-122</v>
      </c>
      <c r="F330" s="1220">
        <f t="shared" si="33"/>
        <v>-4.0666666666666664</v>
      </c>
      <c r="G330" s="262">
        <v>40000</v>
      </c>
      <c r="H330" s="630">
        <v>9200</v>
      </c>
      <c r="I330" s="259">
        <v>11200</v>
      </c>
      <c r="J330" s="259">
        <v>1400</v>
      </c>
      <c r="K330" s="259">
        <v>3400</v>
      </c>
      <c r="L330" s="1221"/>
      <c r="M330" s="1215">
        <f>+L330+J330+H330</f>
        <v>10600</v>
      </c>
      <c r="N330" s="1216">
        <f t="shared" si="30"/>
        <v>14600</v>
      </c>
      <c r="O330" s="1233">
        <v>42238</v>
      </c>
      <c r="P330" s="1178" t="s">
        <v>666</v>
      </c>
      <c r="Q330" s="813"/>
    </row>
    <row r="331" spans="1:18" ht="15" customHeight="1" x14ac:dyDescent="0.25">
      <c r="A331" s="575" t="s">
        <v>1199</v>
      </c>
      <c r="B331" s="298" t="s">
        <v>489</v>
      </c>
      <c r="C331" s="1218">
        <v>42240</v>
      </c>
      <c r="D331" s="260">
        <v>42424</v>
      </c>
      <c r="E331" s="1219">
        <f t="shared" si="32"/>
        <v>-184</v>
      </c>
      <c r="F331" s="1220">
        <f t="shared" si="33"/>
        <v>-6.1333333333333337</v>
      </c>
      <c r="G331" s="262">
        <v>8000</v>
      </c>
      <c r="H331" s="630"/>
      <c r="I331" s="259">
        <v>8000</v>
      </c>
      <c r="J331" s="259"/>
      <c r="K331" s="259">
        <v>2400</v>
      </c>
      <c r="L331" s="1221"/>
      <c r="M331" s="1215">
        <f>+L331+J331+H331</f>
        <v>0</v>
      </c>
      <c r="N331" s="1216">
        <f t="shared" si="30"/>
        <v>10400</v>
      </c>
      <c r="O331" s="1233" t="s">
        <v>479</v>
      </c>
      <c r="P331" s="1178" t="s">
        <v>666</v>
      </c>
      <c r="Q331" s="813"/>
    </row>
    <row r="332" spans="1:18" ht="15" customHeight="1" x14ac:dyDescent="0.25">
      <c r="A332" s="575" t="s">
        <v>1845</v>
      </c>
      <c r="B332" s="298" t="s">
        <v>626</v>
      </c>
      <c r="C332" s="1218">
        <v>42193</v>
      </c>
      <c r="D332" s="260">
        <v>42315</v>
      </c>
      <c r="E332" s="1219">
        <f t="shared" si="32"/>
        <v>-122</v>
      </c>
      <c r="F332" s="1220">
        <f t="shared" si="33"/>
        <v>-4.0666666666666664</v>
      </c>
      <c r="G332" s="262">
        <v>10000</v>
      </c>
      <c r="H332" s="630"/>
      <c r="I332" s="259">
        <v>10000</v>
      </c>
      <c r="J332" s="259"/>
      <c r="K332" s="259">
        <v>2000</v>
      </c>
      <c r="L332" s="1221"/>
      <c r="M332" s="1215">
        <f t="shared" ref="M332" si="34">+L332+J332+H332</f>
        <v>0</v>
      </c>
      <c r="N332" s="1216">
        <f t="shared" si="30"/>
        <v>12000</v>
      </c>
      <c r="O332" s="1233" t="s">
        <v>479</v>
      </c>
      <c r="P332" s="1178" t="s">
        <v>666</v>
      </c>
      <c r="Q332" s="813"/>
    </row>
    <row r="333" spans="1:18" ht="15" customHeight="1" x14ac:dyDescent="0.25">
      <c r="A333" s="575" t="s">
        <v>1019</v>
      </c>
      <c r="B333" s="298" t="s">
        <v>397</v>
      </c>
      <c r="C333" s="1218">
        <v>42180</v>
      </c>
      <c r="D333" s="260">
        <v>42394</v>
      </c>
      <c r="E333" s="1219">
        <f t="shared" si="32"/>
        <v>-214</v>
      </c>
      <c r="F333" s="1220">
        <f t="shared" si="33"/>
        <v>-7.1333333333333337</v>
      </c>
      <c r="G333" s="262">
        <v>6000</v>
      </c>
      <c r="H333" s="630">
        <v>600</v>
      </c>
      <c r="I333" s="259">
        <v>5400</v>
      </c>
      <c r="J333" s="259">
        <v>300</v>
      </c>
      <c r="K333" s="259">
        <v>2700</v>
      </c>
      <c r="L333" s="1221"/>
      <c r="M333" s="1215">
        <f t="shared" ref="M333:M356" si="35">+L333+J333+H333</f>
        <v>900</v>
      </c>
      <c r="N333" s="1216">
        <f t="shared" si="30"/>
        <v>8100</v>
      </c>
      <c r="O333" s="1233">
        <v>42210</v>
      </c>
      <c r="P333" s="1178" t="s">
        <v>666</v>
      </c>
      <c r="Q333" s="811"/>
    </row>
    <row r="334" spans="1:18" x14ac:dyDescent="0.25">
      <c r="A334" s="575" t="s">
        <v>1824</v>
      </c>
      <c r="B334" s="298" t="s">
        <v>1588</v>
      </c>
      <c r="C334" s="1218">
        <v>42063</v>
      </c>
      <c r="D334" s="260">
        <v>42366</v>
      </c>
      <c r="E334" s="1219">
        <f t="shared" si="32"/>
        <v>-303</v>
      </c>
      <c r="F334" s="1220">
        <f t="shared" si="33"/>
        <v>-10.1</v>
      </c>
      <c r="G334" s="262">
        <v>10000</v>
      </c>
      <c r="H334" s="630">
        <v>1925</v>
      </c>
      <c r="I334" s="259">
        <v>5450</v>
      </c>
      <c r="J334" s="259">
        <v>1000</v>
      </c>
      <c r="K334" s="259">
        <v>2500</v>
      </c>
      <c r="L334" s="1221">
        <v>75</v>
      </c>
      <c r="M334" s="1215">
        <f t="shared" si="35"/>
        <v>3000</v>
      </c>
      <c r="N334" s="1216">
        <f t="shared" si="30"/>
        <v>7950</v>
      </c>
      <c r="O334" s="1233">
        <v>42207</v>
      </c>
      <c r="P334" s="1178" t="s">
        <v>666</v>
      </c>
      <c r="Q334" s="811"/>
    </row>
    <row r="335" spans="1:18" x14ac:dyDescent="0.25">
      <c r="A335" s="575" t="s">
        <v>1022</v>
      </c>
      <c r="B335" s="298" t="s">
        <v>810</v>
      </c>
      <c r="C335" s="1218">
        <v>42205</v>
      </c>
      <c r="D335" s="260">
        <v>42510</v>
      </c>
      <c r="E335" s="1219">
        <f t="shared" si="32"/>
        <v>-305</v>
      </c>
      <c r="F335" s="1220">
        <f t="shared" si="33"/>
        <v>-10.166666666666666</v>
      </c>
      <c r="G335" s="262">
        <v>6000</v>
      </c>
      <c r="H335" s="630">
        <v>600</v>
      </c>
      <c r="I335" s="259">
        <v>5400</v>
      </c>
      <c r="J335" s="259">
        <v>250</v>
      </c>
      <c r="K335" s="259">
        <v>2750</v>
      </c>
      <c r="L335" s="1221"/>
      <c r="M335" s="1215">
        <f t="shared" si="35"/>
        <v>850</v>
      </c>
      <c r="N335" s="1216">
        <f t="shared" si="30"/>
        <v>8150</v>
      </c>
      <c r="O335" s="1233">
        <v>42227</v>
      </c>
      <c r="P335" s="1178" t="s">
        <v>666</v>
      </c>
      <c r="Q335" s="813"/>
    </row>
    <row r="336" spans="1:18" x14ac:dyDescent="0.25">
      <c r="A336" s="575" t="s">
        <v>1319</v>
      </c>
      <c r="B336" s="298" t="s">
        <v>861</v>
      </c>
      <c r="C336" s="1218">
        <v>42143</v>
      </c>
      <c r="D336" s="260">
        <v>42448</v>
      </c>
      <c r="E336" s="1219">
        <f t="shared" si="32"/>
        <v>-305</v>
      </c>
      <c r="F336" s="1220">
        <f t="shared" si="33"/>
        <v>-10.166666666666666</v>
      </c>
      <c r="G336" s="262">
        <v>8000</v>
      </c>
      <c r="H336" s="630">
        <v>778</v>
      </c>
      <c r="I336" s="259">
        <v>6122</v>
      </c>
      <c r="J336" s="259">
        <v>400</v>
      </c>
      <c r="K336" s="259">
        <v>3200</v>
      </c>
      <c r="L336" s="1221">
        <v>22</v>
      </c>
      <c r="M336" s="1215">
        <f t="shared" si="35"/>
        <v>1200</v>
      </c>
      <c r="N336" s="1216">
        <f t="shared" si="30"/>
        <v>9322</v>
      </c>
      <c r="O336" s="1233">
        <v>42215</v>
      </c>
      <c r="P336" s="1178" t="s">
        <v>666</v>
      </c>
      <c r="Q336" s="811"/>
    </row>
    <row r="337" spans="1:17" x14ac:dyDescent="0.25">
      <c r="A337" s="575" t="s">
        <v>1429</v>
      </c>
      <c r="B337" s="298" t="s">
        <v>1430</v>
      </c>
      <c r="C337" s="1218">
        <v>42205</v>
      </c>
      <c r="D337" s="260">
        <v>42510</v>
      </c>
      <c r="E337" s="1219">
        <f t="shared" si="32"/>
        <v>-305</v>
      </c>
      <c r="F337" s="1220">
        <v>1700</v>
      </c>
      <c r="G337" s="262">
        <v>20000</v>
      </c>
      <c r="H337" s="630"/>
      <c r="I337" s="259">
        <v>20000</v>
      </c>
      <c r="J337" s="259"/>
      <c r="K337" s="259">
        <v>10000</v>
      </c>
      <c r="L337" s="1221"/>
      <c r="M337" s="1215">
        <f t="shared" si="35"/>
        <v>0</v>
      </c>
      <c r="N337" s="1216">
        <f t="shared" si="30"/>
        <v>30000</v>
      </c>
      <c r="O337" s="1233" t="s">
        <v>551</v>
      </c>
      <c r="P337" s="1178" t="s">
        <v>666</v>
      </c>
      <c r="Q337" s="811"/>
    </row>
    <row r="338" spans="1:17" x14ac:dyDescent="0.25">
      <c r="A338" s="575" t="s">
        <v>1023</v>
      </c>
      <c r="B338" s="298" t="s">
        <v>1766</v>
      </c>
      <c r="C338" s="1218">
        <v>42138</v>
      </c>
      <c r="D338" s="260">
        <v>42261</v>
      </c>
      <c r="E338" s="1219"/>
      <c r="F338" s="1220"/>
      <c r="G338" s="262">
        <v>70000</v>
      </c>
      <c r="H338" s="630"/>
      <c r="I338" s="259">
        <v>70000</v>
      </c>
      <c r="J338" s="259"/>
      <c r="K338" s="259">
        <v>4200</v>
      </c>
      <c r="L338" s="1221"/>
      <c r="M338" s="1215">
        <f t="shared" si="35"/>
        <v>0</v>
      </c>
      <c r="N338" s="1216">
        <f t="shared" si="30"/>
        <v>74200</v>
      </c>
      <c r="O338" s="1233" t="s">
        <v>479</v>
      </c>
      <c r="P338" s="1178" t="s">
        <v>666</v>
      </c>
      <c r="Q338" s="813"/>
    </row>
    <row r="339" spans="1:17" x14ac:dyDescent="0.25">
      <c r="A339" s="575" t="s">
        <v>1023</v>
      </c>
      <c r="B339" s="298" t="s">
        <v>1766</v>
      </c>
      <c r="C339" s="1218">
        <v>42198</v>
      </c>
      <c r="D339" s="260">
        <v>42137</v>
      </c>
      <c r="E339" s="1219"/>
      <c r="F339" s="1220">
        <v>1</v>
      </c>
      <c r="G339" s="262">
        <v>150000</v>
      </c>
      <c r="H339" s="630"/>
      <c r="I339" s="259">
        <v>150000</v>
      </c>
      <c r="J339" s="259"/>
      <c r="K339" s="259">
        <v>30000</v>
      </c>
      <c r="L339" s="1221"/>
      <c r="M339" s="1215">
        <f t="shared" si="35"/>
        <v>0</v>
      </c>
      <c r="N339" s="1216">
        <f t="shared" si="30"/>
        <v>180000</v>
      </c>
      <c r="O339" s="1233" t="s">
        <v>479</v>
      </c>
      <c r="P339" s="1178" t="s">
        <v>666</v>
      </c>
      <c r="Q339" s="813"/>
    </row>
    <row r="340" spans="1:17" x14ac:dyDescent="0.25">
      <c r="A340" s="575" t="s">
        <v>1023</v>
      </c>
      <c r="B340" s="298" t="s">
        <v>1766</v>
      </c>
      <c r="C340" s="1218">
        <v>42213</v>
      </c>
      <c r="D340" s="260">
        <v>42244</v>
      </c>
      <c r="E340" s="1219"/>
      <c r="F340" s="1220"/>
      <c r="G340" s="262">
        <v>50000</v>
      </c>
      <c r="H340" s="630"/>
      <c r="I340" s="259">
        <v>50000</v>
      </c>
      <c r="J340" s="259"/>
      <c r="K340" s="259">
        <v>1000</v>
      </c>
      <c r="L340" s="1221"/>
      <c r="M340" s="1215">
        <f t="shared" si="35"/>
        <v>0</v>
      </c>
      <c r="N340" s="1216">
        <f t="shared" si="30"/>
        <v>51000</v>
      </c>
      <c r="O340" s="1233" t="s">
        <v>479</v>
      </c>
      <c r="P340" s="1178" t="s">
        <v>666</v>
      </c>
      <c r="Q340" s="813"/>
    </row>
    <row r="341" spans="1:17" x14ac:dyDescent="0.25">
      <c r="A341" s="575" t="s">
        <v>1023</v>
      </c>
      <c r="B341" s="298" t="s">
        <v>1766</v>
      </c>
      <c r="C341" s="1218">
        <v>42216</v>
      </c>
      <c r="D341" s="260">
        <v>42247</v>
      </c>
      <c r="E341" s="1219"/>
      <c r="F341" s="1220"/>
      <c r="G341" s="262">
        <v>45000</v>
      </c>
      <c r="H341" s="630"/>
      <c r="I341" s="259">
        <v>40000</v>
      </c>
      <c r="J341" s="259"/>
      <c r="K341" s="259">
        <v>1000</v>
      </c>
      <c r="L341" s="1221"/>
      <c r="M341" s="1215">
        <f t="shared" si="35"/>
        <v>0</v>
      </c>
      <c r="N341" s="1216">
        <f t="shared" si="30"/>
        <v>41000</v>
      </c>
      <c r="O341" s="1233" t="s">
        <v>479</v>
      </c>
      <c r="P341" s="1178" t="s">
        <v>666</v>
      </c>
      <c r="Q341" s="813"/>
    </row>
    <row r="342" spans="1:17" x14ac:dyDescent="0.25">
      <c r="A342" s="575" t="s">
        <v>1023</v>
      </c>
      <c r="B342" s="298" t="s">
        <v>1766</v>
      </c>
      <c r="C342" s="1218">
        <v>42223</v>
      </c>
      <c r="D342" s="260"/>
      <c r="E342" s="1219"/>
      <c r="F342" s="1220"/>
      <c r="G342" s="262">
        <v>50000</v>
      </c>
      <c r="H342" s="630"/>
      <c r="I342" s="259">
        <v>50000</v>
      </c>
      <c r="J342" s="259"/>
      <c r="K342" s="259"/>
      <c r="L342" s="1221"/>
      <c r="M342" s="1215">
        <f t="shared" si="35"/>
        <v>0</v>
      </c>
      <c r="N342" s="1216">
        <f t="shared" si="30"/>
        <v>50000</v>
      </c>
      <c r="O342" s="1233" t="s">
        <v>479</v>
      </c>
      <c r="P342" s="1178" t="s">
        <v>666</v>
      </c>
      <c r="Q342" s="813"/>
    </row>
    <row r="343" spans="1:17" x14ac:dyDescent="0.25">
      <c r="A343" s="575" t="s">
        <v>1023</v>
      </c>
      <c r="B343" s="298" t="s">
        <v>1766</v>
      </c>
      <c r="C343" s="1218">
        <v>42233</v>
      </c>
      <c r="D343" s="260"/>
      <c r="E343" s="1219"/>
      <c r="F343" s="1220"/>
      <c r="G343" s="262">
        <v>50000</v>
      </c>
      <c r="H343" s="630"/>
      <c r="I343" s="259">
        <v>50000</v>
      </c>
      <c r="J343" s="259"/>
      <c r="K343" s="259"/>
      <c r="L343" s="1221"/>
      <c r="M343" s="1215">
        <f t="shared" si="35"/>
        <v>0</v>
      </c>
      <c r="N343" s="1216">
        <f t="shared" si="30"/>
        <v>50000</v>
      </c>
      <c r="O343" s="1233" t="s">
        <v>479</v>
      </c>
      <c r="P343" s="1178" t="s">
        <v>666</v>
      </c>
      <c r="Q343" s="813"/>
    </row>
    <row r="344" spans="1:17" x14ac:dyDescent="0.25">
      <c r="A344" s="575" t="s">
        <v>1023</v>
      </c>
      <c r="B344" s="298" t="s">
        <v>1766</v>
      </c>
      <c r="C344" s="1218">
        <v>42240</v>
      </c>
      <c r="D344" s="260"/>
      <c r="E344" s="1219"/>
      <c r="F344" s="1220"/>
      <c r="G344" s="262">
        <v>50000</v>
      </c>
      <c r="H344" s="630"/>
      <c r="I344" s="259">
        <v>50000</v>
      </c>
      <c r="J344" s="259"/>
      <c r="K344" s="259"/>
      <c r="L344" s="1221"/>
      <c r="M344" s="1215"/>
      <c r="N344" s="1216">
        <f t="shared" si="30"/>
        <v>50000</v>
      </c>
      <c r="O344" s="1233" t="s">
        <v>479</v>
      </c>
      <c r="P344" s="1178" t="s">
        <v>666</v>
      </c>
      <c r="Q344" s="813"/>
    </row>
    <row r="345" spans="1:17" x14ac:dyDescent="0.25">
      <c r="A345" s="575" t="s">
        <v>1421</v>
      </c>
      <c r="B345" s="298" t="s">
        <v>719</v>
      </c>
      <c r="C345" s="1218">
        <v>42159</v>
      </c>
      <c r="D345" s="260">
        <v>42261</v>
      </c>
      <c r="E345" s="1219">
        <f>+C345-D345</f>
        <v>-102</v>
      </c>
      <c r="F345" s="1220">
        <f>+E345/30</f>
        <v>-3.4</v>
      </c>
      <c r="G345" s="262">
        <v>8000</v>
      </c>
      <c r="H345" s="630"/>
      <c r="I345" s="259">
        <v>8000</v>
      </c>
      <c r="J345" s="259"/>
      <c r="K345" s="259"/>
      <c r="L345" s="1221"/>
      <c r="M345" s="1215">
        <f t="shared" si="35"/>
        <v>0</v>
      </c>
      <c r="N345" s="1216">
        <f t="shared" ref="N345:N373" si="36">+I345+K345</f>
        <v>8000</v>
      </c>
      <c r="O345" s="1233" t="s">
        <v>859</v>
      </c>
      <c r="P345" s="1178" t="s">
        <v>666</v>
      </c>
      <c r="Q345" s="813"/>
    </row>
    <row r="346" spans="1:17" x14ac:dyDescent="0.25">
      <c r="A346" s="575" t="s">
        <v>1419</v>
      </c>
      <c r="B346" s="298" t="s">
        <v>1420</v>
      </c>
      <c r="C346" s="1218">
        <v>42130</v>
      </c>
      <c r="D346" s="260">
        <v>42435</v>
      </c>
      <c r="E346" s="1219"/>
      <c r="F346" s="1220"/>
      <c r="G346" s="262">
        <v>11000</v>
      </c>
      <c r="H346" s="630">
        <v>2400</v>
      </c>
      <c r="I346" s="259">
        <v>8150</v>
      </c>
      <c r="J346" s="259">
        <v>600</v>
      </c>
      <c r="K346" s="259">
        <v>4350</v>
      </c>
      <c r="L346" s="1221"/>
      <c r="M346" s="1215">
        <f t="shared" si="35"/>
        <v>3000</v>
      </c>
      <c r="N346" s="1216">
        <f t="shared" si="36"/>
        <v>12500</v>
      </c>
      <c r="O346" s="1233">
        <v>42199</v>
      </c>
      <c r="P346" s="1178" t="s">
        <v>666</v>
      </c>
      <c r="Q346" s="813"/>
    </row>
    <row r="347" spans="1:17" x14ac:dyDescent="0.25">
      <c r="A347" s="575" t="s">
        <v>1417</v>
      </c>
      <c r="B347" s="298" t="s">
        <v>1418</v>
      </c>
      <c r="C347" s="1218">
        <v>42040</v>
      </c>
      <c r="D347" s="260">
        <v>42343</v>
      </c>
      <c r="E347" s="1219"/>
      <c r="F347" s="1220"/>
      <c r="G347" s="262">
        <v>100000</v>
      </c>
      <c r="H347" s="630"/>
      <c r="I347" s="259">
        <v>100000</v>
      </c>
      <c r="J347" s="259"/>
      <c r="K347" s="259">
        <v>50000</v>
      </c>
      <c r="L347" s="1221"/>
      <c r="M347" s="1215">
        <f t="shared" si="35"/>
        <v>0</v>
      </c>
      <c r="N347" s="1216">
        <f t="shared" si="36"/>
        <v>150000</v>
      </c>
      <c r="O347" s="1233" t="s">
        <v>76</v>
      </c>
      <c r="P347" s="1178"/>
      <c r="Q347" s="811"/>
    </row>
    <row r="348" spans="1:17" ht="15.75" customHeight="1" x14ac:dyDescent="0.25">
      <c r="A348" s="575" t="s">
        <v>1570</v>
      </c>
      <c r="B348" s="298" t="s">
        <v>1571</v>
      </c>
      <c r="C348" s="1218">
        <v>42194</v>
      </c>
      <c r="D348" s="260">
        <v>42499</v>
      </c>
      <c r="E348" s="1219"/>
      <c r="F348" s="1220"/>
      <c r="G348" s="262">
        <v>20000</v>
      </c>
      <c r="H348" s="630">
        <v>2000</v>
      </c>
      <c r="I348" s="259">
        <v>18000</v>
      </c>
      <c r="J348" s="259">
        <v>1000</v>
      </c>
      <c r="K348" s="259">
        <v>9000</v>
      </c>
      <c r="L348" s="1221"/>
      <c r="M348" s="1215">
        <f t="shared" si="35"/>
        <v>3000</v>
      </c>
      <c r="N348" s="1216">
        <f t="shared" si="36"/>
        <v>27000</v>
      </c>
      <c r="O348" s="1233">
        <v>42224</v>
      </c>
      <c r="P348" s="1178"/>
      <c r="Q348" s="811"/>
    </row>
    <row r="349" spans="1:17" x14ac:dyDescent="0.25">
      <c r="A349" s="575" t="s">
        <v>760</v>
      </c>
      <c r="B349" s="298" t="s">
        <v>104</v>
      </c>
      <c r="C349" s="1218">
        <v>42221</v>
      </c>
      <c r="D349" s="260">
        <v>42526</v>
      </c>
      <c r="E349" s="1219"/>
      <c r="F349" s="1220"/>
      <c r="G349" s="262">
        <v>25000</v>
      </c>
      <c r="H349" s="630"/>
      <c r="I349" s="259">
        <v>25000</v>
      </c>
      <c r="J349" s="259"/>
      <c r="K349" s="259">
        <v>5000</v>
      </c>
      <c r="L349" s="1221"/>
      <c r="M349" s="1215">
        <f t="shared" si="35"/>
        <v>0</v>
      </c>
      <c r="N349" s="1216">
        <f t="shared" si="36"/>
        <v>30000</v>
      </c>
      <c r="O349" s="1233" t="s">
        <v>479</v>
      </c>
      <c r="P349" s="1178" t="s">
        <v>666</v>
      </c>
      <c r="Q349" s="811"/>
    </row>
    <row r="350" spans="1:17" x14ac:dyDescent="0.25">
      <c r="A350" s="575" t="s">
        <v>1688</v>
      </c>
      <c r="B350" s="298" t="s">
        <v>1689</v>
      </c>
      <c r="C350" s="1218">
        <v>41949</v>
      </c>
      <c r="D350" s="260">
        <v>42253</v>
      </c>
      <c r="E350" s="1219"/>
      <c r="F350" s="1220"/>
      <c r="G350" s="262">
        <v>60000</v>
      </c>
      <c r="H350" s="630">
        <v>5000</v>
      </c>
      <c r="I350" s="259">
        <v>27000</v>
      </c>
      <c r="J350" s="259">
        <v>1000</v>
      </c>
      <c r="K350" s="259">
        <v>5000</v>
      </c>
      <c r="L350" s="1221"/>
      <c r="M350" s="1215">
        <f t="shared" si="35"/>
        <v>6000</v>
      </c>
      <c r="N350" s="1216">
        <f t="shared" si="36"/>
        <v>32000</v>
      </c>
      <c r="O350" s="1233">
        <v>42228</v>
      </c>
      <c r="P350" s="1178"/>
      <c r="Q350" s="813"/>
    </row>
    <row r="351" spans="1:17" x14ac:dyDescent="0.25">
      <c r="A351" s="575" t="s">
        <v>1323</v>
      </c>
      <c r="B351" s="298" t="s">
        <v>855</v>
      </c>
      <c r="C351" s="1218">
        <v>42152</v>
      </c>
      <c r="D351" s="260">
        <v>42305</v>
      </c>
      <c r="E351" s="1219">
        <f>+C351-D351</f>
        <v>-153</v>
      </c>
      <c r="F351" s="1220">
        <f>+E351/30</f>
        <v>-5.0999999999999996</v>
      </c>
      <c r="G351" s="262">
        <v>15000</v>
      </c>
      <c r="H351" s="630"/>
      <c r="I351" s="259">
        <v>15000</v>
      </c>
      <c r="J351" s="259"/>
      <c r="K351" s="259">
        <v>3750</v>
      </c>
      <c r="L351" s="1221"/>
      <c r="M351" s="1215">
        <f t="shared" si="35"/>
        <v>0</v>
      </c>
      <c r="N351" s="1216">
        <f t="shared" si="36"/>
        <v>18750</v>
      </c>
      <c r="O351" s="1233" t="s">
        <v>76</v>
      </c>
      <c r="P351" s="1178" t="s">
        <v>666</v>
      </c>
      <c r="Q351" s="813"/>
    </row>
    <row r="352" spans="1:17" x14ac:dyDescent="0.25">
      <c r="A352" s="575" t="s">
        <v>1321</v>
      </c>
      <c r="B352" s="298" t="s">
        <v>398</v>
      </c>
      <c r="C352" s="1218">
        <v>42124</v>
      </c>
      <c r="D352" s="1218" t="s">
        <v>1823</v>
      </c>
      <c r="E352" s="1219"/>
      <c r="F352" s="1220"/>
      <c r="G352" s="262">
        <v>7000</v>
      </c>
      <c r="H352" s="630">
        <v>800</v>
      </c>
      <c r="I352" s="259">
        <v>4700</v>
      </c>
      <c r="J352" s="259">
        <v>250</v>
      </c>
      <c r="K352" s="259">
        <v>2650</v>
      </c>
      <c r="L352" s="1221"/>
      <c r="M352" s="1215">
        <f t="shared" si="35"/>
        <v>1050</v>
      </c>
      <c r="N352" s="1216">
        <f t="shared" si="36"/>
        <v>7350</v>
      </c>
      <c r="O352" s="1233">
        <v>42210</v>
      </c>
      <c r="P352" s="1178" t="s">
        <v>666</v>
      </c>
      <c r="Q352" s="811"/>
    </row>
    <row r="353" spans="1:17" x14ac:dyDescent="0.25">
      <c r="A353" s="575" t="s">
        <v>1592</v>
      </c>
      <c r="B353" s="298" t="s">
        <v>1593</v>
      </c>
      <c r="C353" s="1218">
        <v>42101</v>
      </c>
      <c r="D353" s="260">
        <v>42284</v>
      </c>
      <c r="E353" s="1219"/>
      <c r="F353" s="1220"/>
      <c r="G353" s="262">
        <v>12000</v>
      </c>
      <c r="H353" s="630">
        <v>1500</v>
      </c>
      <c r="I353" s="259">
        <v>5750</v>
      </c>
      <c r="J353" s="259">
        <v>300</v>
      </c>
      <c r="K353" s="259">
        <v>1850</v>
      </c>
      <c r="L353" s="1221"/>
      <c r="M353" s="1215">
        <f t="shared" si="35"/>
        <v>1800</v>
      </c>
      <c r="N353" s="1216">
        <f t="shared" si="36"/>
        <v>7600</v>
      </c>
      <c r="O353" s="1233">
        <v>42227</v>
      </c>
      <c r="P353" s="1178" t="s">
        <v>666</v>
      </c>
      <c r="Q353" s="813"/>
    </row>
    <row r="354" spans="1:17" x14ac:dyDescent="0.25">
      <c r="A354" s="575" t="s">
        <v>446</v>
      </c>
      <c r="B354" s="298" t="s">
        <v>47</v>
      </c>
      <c r="C354" s="1218">
        <v>42174</v>
      </c>
      <c r="D354" s="260">
        <v>42327</v>
      </c>
      <c r="E354" s="1219">
        <f>+C354-D354</f>
        <v>-153</v>
      </c>
      <c r="F354" s="1220">
        <f>+E354/30</f>
        <v>-5.0999999999999996</v>
      </c>
      <c r="G354" s="262">
        <v>15000</v>
      </c>
      <c r="H354" s="630"/>
      <c r="I354" s="259">
        <v>15000</v>
      </c>
      <c r="J354" s="259"/>
      <c r="K354" s="259">
        <v>3750</v>
      </c>
      <c r="L354" s="1221"/>
      <c r="M354" s="1215">
        <f t="shared" si="35"/>
        <v>0</v>
      </c>
      <c r="N354" s="1216">
        <f t="shared" si="36"/>
        <v>18750</v>
      </c>
      <c r="O354" s="1233" t="s">
        <v>479</v>
      </c>
      <c r="P354" s="1178" t="s">
        <v>666</v>
      </c>
      <c r="Q354" s="813"/>
    </row>
    <row r="355" spans="1:17" x14ac:dyDescent="0.25">
      <c r="A355" s="575" t="s">
        <v>1475</v>
      </c>
      <c r="B355" s="298" t="s">
        <v>796</v>
      </c>
      <c r="C355" s="1218">
        <v>42066</v>
      </c>
      <c r="D355" s="260">
        <v>42250</v>
      </c>
      <c r="E355" s="1219">
        <f>+C355-D355</f>
        <v>-184</v>
      </c>
      <c r="F355" s="1220">
        <f>+E355/30</f>
        <v>-6.1333333333333337</v>
      </c>
      <c r="G355" s="262">
        <v>8000</v>
      </c>
      <c r="H355" s="630">
        <v>1233</v>
      </c>
      <c r="I355" s="259">
        <v>3453</v>
      </c>
      <c r="J355" s="259">
        <v>500</v>
      </c>
      <c r="K355" s="259">
        <v>400</v>
      </c>
      <c r="L355" s="1221"/>
      <c r="M355" s="1215">
        <f t="shared" si="35"/>
        <v>1733</v>
      </c>
      <c r="N355" s="1216">
        <f t="shared" si="36"/>
        <v>3853</v>
      </c>
      <c r="O355" s="1233">
        <v>42222</v>
      </c>
      <c r="P355" s="1178" t="s">
        <v>666</v>
      </c>
      <c r="Q355" s="813"/>
    </row>
    <row r="356" spans="1:17" x14ac:dyDescent="0.25">
      <c r="A356" s="575" t="s">
        <v>1328</v>
      </c>
      <c r="B356" s="298" t="s">
        <v>925</v>
      </c>
      <c r="C356" s="1218">
        <v>42164</v>
      </c>
      <c r="D356" s="260">
        <v>42469</v>
      </c>
      <c r="E356" s="1219">
        <f>+C356-D356</f>
        <v>-305</v>
      </c>
      <c r="F356" s="1220">
        <f>+E356/30</f>
        <v>-10.166666666666666</v>
      </c>
      <c r="G356" s="262">
        <v>6500</v>
      </c>
      <c r="H356" s="630">
        <v>200</v>
      </c>
      <c r="I356" s="259">
        <v>6100</v>
      </c>
      <c r="J356" s="259">
        <v>50</v>
      </c>
      <c r="K356" s="259">
        <v>3150</v>
      </c>
      <c r="L356" s="1221"/>
      <c r="M356" s="1215">
        <f t="shared" si="35"/>
        <v>250</v>
      </c>
      <c r="N356" s="1216">
        <f t="shared" si="36"/>
        <v>9250</v>
      </c>
      <c r="O356" s="1233">
        <v>42233</v>
      </c>
      <c r="P356" s="1178" t="s">
        <v>666</v>
      </c>
      <c r="Q356" s="813"/>
    </row>
    <row r="357" spans="1:17" x14ac:dyDescent="0.25">
      <c r="A357" s="575" t="s">
        <v>1827</v>
      </c>
      <c r="B357" s="298" t="s">
        <v>803</v>
      </c>
      <c r="C357" s="1218">
        <v>42206</v>
      </c>
      <c r="D357" s="260">
        <v>42511</v>
      </c>
      <c r="E357" s="1219"/>
      <c r="F357" s="1220"/>
      <c r="G357" s="262">
        <v>10000</v>
      </c>
      <c r="H357" s="630">
        <v>1000</v>
      </c>
      <c r="I357" s="259">
        <v>9000</v>
      </c>
      <c r="J357" s="259">
        <v>500</v>
      </c>
      <c r="K357" s="259">
        <v>4500</v>
      </c>
      <c r="L357" s="1221"/>
      <c r="M357" s="1215"/>
      <c r="N357" s="1216">
        <f t="shared" si="36"/>
        <v>13500</v>
      </c>
      <c r="O357" s="1233">
        <v>42236</v>
      </c>
      <c r="P357" s="1178" t="s">
        <v>666</v>
      </c>
      <c r="Q357" s="813"/>
    </row>
    <row r="358" spans="1:17" x14ac:dyDescent="0.25">
      <c r="A358" s="575" t="s">
        <v>1825</v>
      </c>
      <c r="B358" s="298" t="s">
        <v>1826</v>
      </c>
      <c r="C358" s="1218">
        <v>42163</v>
      </c>
      <c r="D358" s="260">
        <v>42316</v>
      </c>
      <c r="E358" s="1219"/>
      <c r="F358" s="1220"/>
      <c r="G358" s="262">
        <v>10000</v>
      </c>
      <c r="H358" s="630">
        <v>3750</v>
      </c>
      <c r="I358" s="259">
        <v>6250</v>
      </c>
      <c r="J358" s="259">
        <v>1000</v>
      </c>
      <c r="K358" s="259">
        <v>1500</v>
      </c>
      <c r="L358" s="1221">
        <v>250</v>
      </c>
      <c r="M358" s="1215">
        <f t="shared" ref="M358:M373" si="37">+L358+J358+H358</f>
        <v>5000</v>
      </c>
      <c r="N358" s="1216">
        <f t="shared" si="36"/>
        <v>7750</v>
      </c>
      <c r="O358" s="1233">
        <v>42240</v>
      </c>
      <c r="P358" s="1178" t="s">
        <v>666</v>
      </c>
      <c r="Q358" s="813"/>
    </row>
    <row r="359" spans="1:17" x14ac:dyDescent="0.25">
      <c r="A359" s="575" t="s">
        <v>1169</v>
      </c>
      <c r="B359" s="298" t="s">
        <v>1170</v>
      </c>
      <c r="C359" s="1218">
        <v>42067</v>
      </c>
      <c r="D359" s="260">
        <v>42373</v>
      </c>
      <c r="E359" s="1219">
        <f>+C359-D359</f>
        <v>-306</v>
      </c>
      <c r="F359" s="1220">
        <f>+E359/30</f>
        <v>-10.199999999999999</v>
      </c>
      <c r="G359" s="262">
        <v>60000</v>
      </c>
      <c r="H359" s="630"/>
      <c r="I359" s="259">
        <v>60000</v>
      </c>
      <c r="J359" s="259"/>
      <c r="K359" s="259">
        <v>15000</v>
      </c>
      <c r="L359" s="1221"/>
      <c r="M359" s="1215">
        <f t="shared" si="37"/>
        <v>0</v>
      </c>
      <c r="N359" s="1216">
        <f t="shared" si="36"/>
        <v>75000</v>
      </c>
      <c r="O359" s="1233" t="s">
        <v>785</v>
      </c>
      <c r="P359" s="1178" t="s">
        <v>666</v>
      </c>
      <c r="Q359" s="1166"/>
    </row>
    <row r="360" spans="1:17" x14ac:dyDescent="0.25">
      <c r="A360" s="575" t="s">
        <v>433</v>
      </c>
      <c r="B360" s="298" t="s">
        <v>18</v>
      </c>
      <c r="C360" s="1218">
        <v>42034</v>
      </c>
      <c r="D360" s="260">
        <v>42338</v>
      </c>
      <c r="E360" s="1219">
        <f>+C360-D360</f>
        <v>-304</v>
      </c>
      <c r="F360" s="1220">
        <f>+E360/30</f>
        <v>-10.133333333333333</v>
      </c>
      <c r="G360" s="262">
        <v>20000</v>
      </c>
      <c r="H360" s="630"/>
      <c r="I360" s="259">
        <v>20000</v>
      </c>
      <c r="J360" s="259">
        <v>1000</v>
      </c>
      <c r="K360" s="259">
        <v>7000</v>
      </c>
      <c r="L360" s="1221"/>
      <c r="M360" s="1215">
        <f t="shared" si="37"/>
        <v>1000</v>
      </c>
      <c r="N360" s="1216">
        <f t="shared" si="36"/>
        <v>27000</v>
      </c>
      <c r="O360" s="1233">
        <v>42153</v>
      </c>
      <c r="P360" s="1178" t="s">
        <v>666</v>
      </c>
      <c r="Q360" s="813"/>
    </row>
    <row r="361" spans="1:17" x14ac:dyDescent="0.25">
      <c r="A361" s="575" t="s">
        <v>1828</v>
      </c>
      <c r="B361" s="298" t="s">
        <v>1201</v>
      </c>
      <c r="C361" s="1218">
        <v>42121</v>
      </c>
      <c r="D361" s="260">
        <v>42304</v>
      </c>
      <c r="E361" s="1219">
        <f>+C361-D361</f>
        <v>-183</v>
      </c>
      <c r="F361" s="1220">
        <f>+E361/30</f>
        <v>-6.1</v>
      </c>
      <c r="G361" s="262">
        <v>8000</v>
      </c>
      <c r="H361" s="630"/>
      <c r="I361" s="259">
        <v>8000</v>
      </c>
      <c r="J361" s="259"/>
      <c r="K361" s="259">
        <v>2400</v>
      </c>
      <c r="L361" s="1221"/>
      <c r="M361" s="1215">
        <f t="shared" si="37"/>
        <v>0</v>
      </c>
      <c r="N361" s="1216">
        <f t="shared" si="36"/>
        <v>10400</v>
      </c>
      <c r="O361" s="1233" t="s">
        <v>479</v>
      </c>
      <c r="P361" s="1178" t="s">
        <v>666</v>
      </c>
      <c r="Q361" s="1166"/>
    </row>
    <row r="362" spans="1:17" x14ac:dyDescent="0.25">
      <c r="A362" s="575" t="s">
        <v>1692</v>
      </c>
      <c r="B362" s="298" t="s">
        <v>882</v>
      </c>
      <c r="C362" s="1218">
        <v>42139</v>
      </c>
      <c r="D362" s="260">
        <v>42319</v>
      </c>
      <c r="E362" s="1219">
        <f>+C362-D362</f>
        <v>-180</v>
      </c>
      <c r="F362" s="1220">
        <f>+E362/30</f>
        <v>-6</v>
      </c>
      <c r="G362" s="262">
        <v>6000</v>
      </c>
      <c r="H362" s="630">
        <v>1200</v>
      </c>
      <c r="I362" s="259">
        <v>3530</v>
      </c>
      <c r="J362" s="259">
        <v>300</v>
      </c>
      <c r="K362" s="259">
        <v>900</v>
      </c>
      <c r="L362" s="1221"/>
      <c r="M362" s="1215">
        <f t="shared" si="37"/>
        <v>1500</v>
      </c>
      <c r="N362" s="1216">
        <f t="shared" si="36"/>
        <v>4430</v>
      </c>
      <c r="O362" s="1233">
        <v>42233</v>
      </c>
      <c r="P362" s="1178" t="s">
        <v>666</v>
      </c>
      <c r="Q362" s="1167"/>
    </row>
    <row r="363" spans="1:17" x14ac:dyDescent="0.25">
      <c r="A363" s="575" t="s">
        <v>1574</v>
      </c>
      <c r="B363" s="298" t="s">
        <v>669</v>
      </c>
      <c r="C363" s="1218">
        <v>41957</v>
      </c>
      <c r="D363" s="260"/>
      <c r="E363" s="1219"/>
      <c r="F363" s="1220"/>
      <c r="G363" s="262">
        <v>20000</v>
      </c>
      <c r="H363" s="630"/>
      <c r="I363" s="259">
        <v>20000</v>
      </c>
      <c r="J363" s="259"/>
      <c r="K363" s="259"/>
      <c r="L363" s="1221"/>
      <c r="M363" s="1215">
        <f t="shared" si="37"/>
        <v>0</v>
      </c>
      <c r="N363" s="1216">
        <f t="shared" si="36"/>
        <v>20000</v>
      </c>
      <c r="O363" s="1233" t="s">
        <v>1575</v>
      </c>
      <c r="P363" s="1178" t="s">
        <v>666</v>
      </c>
      <c r="Q363" s="1167"/>
    </row>
    <row r="364" spans="1:17" ht="14.25" customHeight="1" x14ac:dyDescent="0.25">
      <c r="A364" s="575" t="s">
        <v>1574</v>
      </c>
      <c r="B364" s="298" t="s">
        <v>669</v>
      </c>
      <c r="C364" s="1218">
        <v>41978</v>
      </c>
      <c r="D364" s="260"/>
      <c r="E364" s="1219"/>
      <c r="F364" s="1220"/>
      <c r="G364" s="262">
        <v>130000</v>
      </c>
      <c r="H364" s="630"/>
      <c r="I364" s="259">
        <v>130000</v>
      </c>
      <c r="J364" s="259"/>
      <c r="K364" s="259"/>
      <c r="L364" s="1221"/>
      <c r="M364" s="1215">
        <f t="shared" si="37"/>
        <v>0</v>
      </c>
      <c r="N364" s="1216">
        <f t="shared" si="36"/>
        <v>130000</v>
      </c>
      <c r="O364" s="1233" t="s">
        <v>1575</v>
      </c>
      <c r="P364" s="1178" t="s">
        <v>666</v>
      </c>
      <c r="Q364" s="1166"/>
    </row>
    <row r="365" spans="1:17" ht="14.25" customHeight="1" x14ac:dyDescent="0.25">
      <c r="A365" s="575" t="s">
        <v>1734</v>
      </c>
      <c r="B365" s="298" t="s">
        <v>1735</v>
      </c>
      <c r="C365" s="1218">
        <v>42045</v>
      </c>
      <c r="D365" s="260">
        <v>42348</v>
      </c>
      <c r="E365" s="1219"/>
      <c r="F365" s="1220"/>
      <c r="G365" s="262">
        <v>15000</v>
      </c>
      <c r="H365" s="630">
        <v>2127</v>
      </c>
      <c r="I365" s="259">
        <v>8373</v>
      </c>
      <c r="J365" s="259">
        <v>2250</v>
      </c>
      <c r="K365" s="259">
        <v>3000</v>
      </c>
      <c r="L365" s="1221">
        <v>123</v>
      </c>
      <c r="M365" s="1215">
        <f t="shared" si="37"/>
        <v>4500</v>
      </c>
      <c r="N365" s="1216">
        <f t="shared" si="36"/>
        <v>11373</v>
      </c>
      <c r="O365" s="1233">
        <v>42214</v>
      </c>
      <c r="P365" s="1178" t="s">
        <v>666</v>
      </c>
      <c r="Q365" s="1166"/>
    </row>
    <row r="366" spans="1:17" ht="14.25" customHeight="1" x14ac:dyDescent="0.25">
      <c r="A366" s="575" t="s">
        <v>1249</v>
      </c>
      <c r="B366" s="298" t="s">
        <v>861</v>
      </c>
      <c r="C366" s="1218">
        <v>42019</v>
      </c>
      <c r="D366" s="260">
        <v>42323</v>
      </c>
      <c r="E366" s="1219">
        <f>+C366-D366</f>
        <v>-304</v>
      </c>
      <c r="F366" s="1220">
        <f>+E366/30</f>
        <v>-10.133333333333333</v>
      </c>
      <c r="G366" s="262">
        <v>12000</v>
      </c>
      <c r="H366" s="630">
        <v>3000</v>
      </c>
      <c r="I366" s="259">
        <v>4560</v>
      </c>
      <c r="J366" s="259">
        <v>600</v>
      </c>
      <c r="K366" s="259">
        <v>3000</v>
      </c>
      <c r="L366" s="1221"/>
      <c r="M366" s="1215">
        <f t="shared" si="37"/>
        <v>3600</v>
      </c>
      <c r="N366" s="1216">
        <f t="shared" si="36"/>
        <v>7560</v>
      </c>
      <c r="O366" s="1233">
        <v>42186</v>
      </c>
      <c r="P366" s="1178" t="s">
        <v>666</v>
      </c>
      <c r="Q366" s="1166"/>
    </row>
    <row r="367" spans="1:17" ht="14.25" customHeight="1" x14ac:dyDescent="0.25">
      <c r="A367" s="575" t="s">
        <v>1422</v>
      </c>
      <c r="B367" s="298" t="s">
        <v>810</v>
      </c>
      <c r="C367" s="1218">
        <v>42228</v>
      </c>
      <c r="D367" s="260">
        <v>42412</v>
      </c>
      <c r="E367" s="1219">
        <f>+C367-D367</f>
        <v>-184</v>
      </c>
      <c r="F367" s="1220">
        <f>+E367/30</f>
        <v>-6.1333333333333337</v>
      </c>
      <c r="G367" s="262">
        <v>6000</v>
      </c>
      <c r="H367" s="630"/>
      <c r="I367" s="259">
        <v>6000</v>
      </c>
      <c r="J367" s="259"/>
      <c r="K367" s="259">
        <v>1800</v>
      </c>
      <c r="L367" s="1221"/>
      <c r="M367" s="1215">
        <f t="shared" si="37"/>
        <v>0</v>
      </c>
      <c r="N367" s="1216">
        <f t="shared" si="36"/>
        <v>7800</v>
      </c>
      <c r="O367" s="1233" t="s">
        <v>479</v>
      </c>
      <c r="P367" s="1178" t="s">
        <v>666</v>
      </c>
      <c r="Q367" s="1166"/>
    </row>
    <row r="368" spans="1:17" ht="14.25" customHeight="1" x14ac:dyDescent="0.25">
      <c r="A368" s="575" t="s">
        <v>1594</v>
      </c>
      <c r="B368" s="298" t="s">
        <v>1595</v>
      </c>
      <c r="C368" s="1218">
        <v>42158</v>
      </c>
      <c r="D368" s="260">
        <v>42463</v>
      </c>
      <c r="E368" s="1219"/>
      <c r="F368" s="1220"/>
      <c r="G368" s="262">
        <v>9000</v>
      </c>
      <c r="H368" s="630">
        <v>400</v>
      </c>
      <c r="I368" s="259">
        <v>7100</v>
      </c>
      <c r="J368" s="259">
        <v>100</v>
      </c>
      <c r="K368" s="259">
        <v>4020</v>
      </c>
      <c r="L368" s="1221"/>
      <c r="M368" s="1215">
        <f t="shared" si="37"/>
        <v>500</v>
      </c>
      <c r="N368" s="1216">
        <f t="shared" si="36"/>
        <v>11120</v>
      </c>
      <c r="O368" s="1233">
        <v>42227</v>
      </c>
      <c r="P368" s="1178" t="s">
        <v>666</v>
      </c>
      <c r="Q368" s="1167"/>
    </row>
    <row r="369" spans="1:17" ht="14.25" customHeight="1" x14ac:dyDescent="0.25">
      <c r="A369" s="575" t="s">
        <v>1324</v>
      </c>
      <c r="B369" s="298" t="s">
        <v>755</v>
      </c>
      <c r="C369" s="1218">
        <v>42170</v>
      </c>
      <c r="D369" s="260">
        <v>42323</v>
      </c>
      <c r="E369" s="1219"/>
      <c r="F369" s="1220"/>
      <c r="G369" s="262">
        <v>40000</v>
      </c>
      <c r="H369" s="630"/>
      <c r="I369" s="259">
        <v>40000</v>
      </c>
      <c r="J369" s="259"/>
      <c r="K369" s="259">
        <v>6000</v>
      </c>
      <c r="L369" s="1221"/>
      <c r="M369" s="1215">
        <f t="shared" si="37"/>
        <v>0</v>
      </c>
      <c r="N369" s="1216">
        <f t="shared" si="36"/>
        <v>46000</v>
      </c>
      <c r="O369" s="1233" t="s">
        <v>854</v>
      </c>
      <c r="P369" s="1178" t="s">
        <v>666</v>
      </c>
      <c r="Q369" s="1167"/>
    </row>
    <row r="370" spans="1:17" ht="14.25" customHeight="1" x14ac:dyDescent="0.25">
      <c r="A370" s="575" t="s">
        <v>490</v>
      </c>
      <c r="B370" s="1239" t="s">
        <v>720</v>
      </c>
      <c r="C370" s="1240">
        <v>42131</v>
      </c>
      <c r="D370" s="845">
        <v>42315</v>
      </c>
      <c r="E370" s="1219">
        <f>+C370-D370</f>
        <v>-184</v>
      </c>
      <c r="F370" s="1220">
        <f>+E370/30</f>
        <v>-6.1333333333333337</v>
      </c>
      <c r="G370" s="465">
        <v>7000</v>
      </c>
      <c r="H370" s="1238">
        <v>560</v>
      </c>
      <c r="I370" s="830">
        <v>5440</v>
      </c>
      <c r="J370" s="830">
        <v>200</v>
      </c>
      <c r="K370" s="830">
        <v>1380</v>
      </c>
      <c r="L370" s="1241"/>
      <c r="M370" s="1215">
        <f t="shared" si="37"/>
        <v>760</v>
      </c>
      <c r="N370" s="1216">
        <f t="shared" si="36"/>
        <v>6820</v>
      </c>
      <c r="O370" s="1233">
        <v>42236</v>
      </c>
      <c r="P370" s="1178" t="s">
        <v>666</v>
      </c>
      <c r="Q370" s="1167"/>
    </row>
    <row r="371" spans="1:17" ht="14.25" customHeight="1" x14ac:dyDescent="0.25">
      <c r="A371" s="575" t="s">
        <v>1576</v>
      </c>
      <c r="B371" s="1239" t="s">
        <v>755</v>
      </c>
      <c r="C371" s="1240">
        <v>42205</v>
      </c>
      <c r="D371" s="845">
        <v>42389</v>
      </c>
      <c r="E371" s="1219"/>
      <c r="F371" s="1220"/>
      <c r="G371" s="465">
        <v>100000</v>
      </c>
      <c r="H371" s="1238"/>
      <c r="I371" s="830">
        <v>100000</v>
      </c>
      <c r="J371" s="830"/>
      <c r="K371" s="830">
        <v>15000</v>
      </c>
      <c r="L371" s="1241"/>
      <c r="M371" s="1215">
        <f t="shared" si="37"/>
        <v>0</v>
      </c>
      <c r="N371" s="1216">
        <f t="shared" si="36"/>
        <v>115000</v>
      </c>
      <c r="O371" s="1233" t="s">
        <v>859</v>
      </c>
      <c r="P371" s="1178" t="s">
        <v>666</v>
      </c>
      <c r="Q371" s="1167"/>
    </row>
    <row r="372" spans="1:17" ht="14.25" customHeight="1" x14ac:dyDescent="0.25">
      <c r="A372" s="575" t="s">
        <v>1578</v>
      </c>
      <c r="B372" s="1239" t="s">
        <v>1473</v>
      </c>
      <c r="C372" s="1240">
        <v>42025</v>
      </c>
      <c r="D372" s="845">
        <v>42329</v>
      </c>
      <c r="E372" s="1219"/>
      <c r="F372" s="1220"/>
      <c r="G372" s="465">
        <v>15000</v>
      </c>
      <c r="H372" s="1238">
        <v>500</v>
      </c>
      <c r="I372" s="830">
        <v>8575</v>
      </c>
      <c r="J372" s="830">
        <v>300</v>
      </c>
      <c r="K372" s="830">
        <v>3700</v>
      </c>
      <c r="L372" s="1241"/>
      <c r="M372" s="1215">
        <f t="shared" si="37"/>
        <v>800</v>
      </c>
      <c r="N372" s="1216">
        <f t="shared" si="36"/>
        <v>12275</v>
      </c>
      <c r="O372" s="1233">
        <v>42238</v>
      </c>
      <c r="P372" s="1178" t="s">
        <v>666</v>
      </c>
      <c r="Q372" s="1167"/>
    </row>
    <row r="373" spans="1:17" ht="14.25" customHeight="1" thickBot="1" x14ac:dyDescent="0.3">
      <c r="A373" s="1242" t="s">
        <v>1829</v>
      </c>
      <c r="B373" s="1242" t="s">
        <v>1830</v>
      </c>
      <c r="C373" s="1243">
        <v>42173</v>
      </c>
      <c r="D373" s="1244">
        <v>42265</v>
      </c>
      <c r="E373" s="1245"/>
      <c r="F373" s="1246"/>
      <c r="G373" s="1247">
        <v>6000</v>
      </c>
      <c r="H373" s="1248"/>
      <c r="I373" s="544">
        <v>6000</v>
      </c>
      <c r="J373" s="544"/>
      <c r="K373" s="544">
        <v>900</v>
      </c>
      <c r="L373" s="1249"/>
      <c r="M373" s="1250">
        <f t="shared" si="37"/>
        <v>0</v>
      </c>
      <c r="N373" s="1251">
        <f t="shared" si="36"/>
        <v>6900</v>
      </c>
      <c r="O373" s="1252" t="s">
        <v>77</v>
      </c>
      <c r="P373" s="1178" t="s">
        <v>666</v>
      </c>
      <c r="Q373" s="1167"/>
    </row>
    <row r="374" spans="1:17" ht="15.75" thickBot="1" x14ac:dyDescent="0.3">
      <c r="A374" s="1143" t="s">
        <v>1875</v>
      </c>
      <c r="B374" s="1143"/>
      <c r="C374" s="1144"/>
      <c r="D374" s="1145"/>
      <c r="E374" s="1146"/>
      <c r="F374" s="1147"/>
      <c r="G374" s="1148">
        <f t="shared" ref="G374:N374" si="38">SUM(G8:G373)</f>
        <v>9313300</v>
      </c>
      <c r="H374" s="1149">
        <f t="shared" si="38"/>
        <v>358418</v>
      </c>
      <c r="I374" s="1150">
        <f t="shared" si="38"/>
        <v>8363052</v>
      </c>
      <c r="J374" s="1151">
        <f t="shared" si="38"/>
        <v>152386</v>
      </c>
      <c r="K374" s="1152">
        <f t="shared" si="38"/>
        <v>1930051</v>
      </c>
      <c r="L374" s="1153">
        <f t="shared" si="38"/>
        <v>9063</v>
      </c>
      <c r="M374" s="1154">
        <f t="shared" si="38"/>
        <v>516867</v>
      </c>
      <c r="N374" s="1155">
        <f t="shared" si="38"/>
        <v>10293103</v>
      </c>
      <c r="O374" s="1156"/>
      <c r="P374" s="1171"/>
      <c r="Q374" s="1168"/>
    </row>
    <row r="375" spans="1:17" x14ac:dyDescent="0.25">
      <c r="Q375" s="535"/>
    </row>
    <row r="376" spans="1:17" ht="18.75" x14ac:dyDescent="0.3">
      <c r="A376" s="38" t="s">
        <v>381</v>
      </c>
      <c r="N376" s="101"/>
      <c r="Q376" s="535"/>
    </row>
    <row r="377" spans="1:17" x14ac:dyDescent="0.25">
      <c r="A377" s="34" t="s">
        <v>382</v>
      </c>
      <c r="B377" s="622" t="s">
        <v>1333</v>
      </c>
      <c r="C377" s="1079" t="s">
        <v>1336</v>
      </c>
      <c r="D377" s="35"/>
      <c r="E377" s="35"/>
      <c r="F377" s="35"/>
      <c r="G377" s="36"/>
      <c r="H377" s="533" t="s">
        <v>1335</v>
      </c>
      <c r="I377" s="107"/>
      <c r="J377" s="36"/>
      <c r="K377" s="36"/>
      <c r="L377" s="36"/>
      <c r="M377" s="36"/>
      <c r="N377" s="36"/>
      <c r="O377" s="972">
        <f>+O374</f>
        <v>0</v>
      </c>
      <c r="P377" s="1173"/>
      <c r="Q377" s="535"/>
    </row>
    <row r="378" spans="1:17" x14ac:dyDescent="0.25">
      <c r="A378" s="874">
        <v>2013</v>
      </c>
      <c r="B378" s="1076">
        <v>9914450</v>
      </c>
      <c r="C378" s="1080">
        <v>10046442</v>
      </c>
      <c r="D378" s="35"/>
      <c r="E378" s="35"/>
      <c r="F378" s="35"/>
      <c r="G378" s="36"/>
      <c r="H378" s="533">
        <v>873370</v>
      </c>
      <c r="I378" s="107"/>
      <c r="J378" s="36"/>
      <c r="K378" s="36"/>
      <c r="L378" s="36"/>
      <c r="M378" s="36"/>
      <c r="N378" s="36"/>
      <c r="O378" s="972"/>
      <c r="P378" s="1173"/>
      <c r="Q378" s="535"/>
    </row>
    <row r="379" spans="1:17" x14ac:dyDescent="0.25">
      <c r="A379" s="874" t="s">
        <v>1380</v>
      </c>
      <c r="B379" s="1076"/>
      <c r="C379" s="1080"/>
      <c r="D379" s="35"/>
      <c r="E379" s="35"/>
      <c r="F379" s="35"/>
      <c r="G379" s="36"/>
      <c r="H379" s="533"/>
      <c r="I379" s="107"/>
      <c r="J379" s="36"/>
      <c r="K379" s="36"/>
      <c r="L379" s="36"/>
      <c r="M379" s="36"/>
      <c r="N379" s="36"/>
      <c r="O379" s="972"/>
      <c r="P379" s="1173"/>
      <c r="Q379" s="535"/>
    </row>
    <row r="380" spans="1:17" x14ac:dyDescent="0.25">
      <c r="A380" s="874" t="s">
        <v>1381</v>
      </c>
      <c r="B380" s="1076"/>
      <c r="C380" s="1080"/>
      <c r="D380" s="35"/>
      <c r="E380" s="35"/>
      <c r="F380" s="35"/>
      <c r="G380" s="36"/>
      <c r="H380" s="533"/>
      <c r="I380" s="107"/>
      <c r="J380" s="36"/>
      <c r="K380" s="36"/>
      <c r="L380" s="36"/>
      <c r="M380" s="36"/>
      <c r="N380" s="36"/>
      <c r="O380" s="972"/>
      <c r="P380" s="1173"/>
      <c r="Q380" s="535"/>
    </row>
    <row r="381" spans="1:17" x14ac:dyDescent="0.25">
      <c r="A381" s="874" t="s">
        <v>885</v>
      </c>
      <c r="B381" s="1076"/>
      <c r="C381" s="1080"/>
      <c r="D381" s="35"/>
      <c r="E381" s="35"/>
      <c r="F381" s="35"/>
      <c r="G381" s="36"/>
      <c r="H381" s="533"/>
      <c r="I381" s="107"/>
      <c r="J381" s="36"/>
      <c r="K381" s="36"/>
      <c r="L381" s="36"/>
      <c r="M381" s="36"/>
      <c r="N381" s="36"/>
      <c r="O381" s="972"/>
      <c r="P381" s="1173"/>
      <c r="Q381" s="535"/>
    </row>
    <row r="382" spans="1:17" x14ac:dyDescent="0.25">
      <c r="A382" s="874" t="s">
        <v>1382</v>
      </c>
      <c r="B382" s="1076"/>
      <c r="C382" s="1080"/>
      <c r="D382" s="35"/>
      <c r="E382" s="35"/>
      <c r="F382" s="35"/>
      <c r="G382" s="36"/>
      <c r="H382" s="533"/>
      <c r="I382" s="107"/>
      <c r="J382" s="36"/>
      <c r="K382" s="36"/>
      <c r="L382" s="36"/>
      <c r="M382" s="36"/>
      <c r="N382" s="36"/>
      <c r="O382" s="972"/>
      <c r="P382" s="1173"/>
      <c r="Q382" s="535"/>
    </row>
    <row r="383" spans="1:17" x14ac:dyDescent="0.25">
      <c r="A383" s="1074" t="s">
        <v>1334</v>
      </c>
      <c r="B383" s="622"/>
      <c r="C383" s="1079"/>
      <c r="D383" s="35"/>
      <c r="E383" s="35"/>
      <c r="F383" s="35"/>
      <c r="G383" s="36"/>
      <c r="H383" s="533"/>
      <c r="I383" s="107"/>
      <c r="J383" s="36"/>
      <c r="K383" s="36"/>
      <c r="L383" s="36"/>
      <c r="M383" s="36"/>
      <c r="N383" s="36"/>
      <c r="O383" s="972"/>
      <c r="P383" s="1173"/>
      <c r="Q383" s="535"/>
    </row>
    <row r="384" spans="1:17" x14ac:dyDescent="0.25">
      <c r="A384" s="874">
        <v>2013</v>
      </c>
      <c r="B384" s="1075">
        <v>2246500</v>
      </c>
      <c r="C384" s="1080">
        <v>2247612</v>
      </c>
      <c r="D384" s="35"/>
      <c r="E384" s="35"/>
      <c r="F384" s="35"/>
      <c r="G384" s="36"/>
      <c r="H384" s="533">
        <v>144569</v>
      </c>
      <c r="I384" s="107"/>
      <c r="J384" s="36"/>
      <c r="K384" s="36"/>
      <c r="L384" s="36"/>
      <c r="M384" s="36"/>
      <c r="N384" s="36"/>
      <c r="O384" s="972"/>
      <c r="P384" s="1173"/>
      <c r="Q384" s="535"/>
    </row>
    <row r="385" spans="1:17" x14ac:dyDescent="0.25">
      <c r="A385" s="547">
        <v>2012</v>
      </c>
      <c r="B385" s="624"/>
      <c r="C385" s="1079"/>
      <c r="D385" s="35"/>
      <c r="E385" s="35"/>
      <c r="F385" s="35"/>
      <c r="G385" s="36"/>
      <c r="H385" s="533"/>
      <c r="I385" s="107"/>
      <c r="J385" s="36"/>
      <c r="K385" s="36"/>
      <c r="L385" s="36"/>
      <c r="M385" s="36"/>
      <c r="N385" s="36"/>
      <c r="O385" s="972"/>
      <c r="P385" s="1173"/>
      <c r="Q385" s="535"/>
    </row>
    <row r="386" spans="1:17" x14ac:dyDescent="0.25">
      <c r="A386" s="547">
        <v>2011</v>
      </c>
      <c r="B386" s="622"/>
      <c r="C386" s="1079"/>
      <c r="D386" s="35"/>
      <c r="E386" s="35"/>
      <c r="F386" s="35"/>
      <c r="G386" s="36"/>
      <c r="H386" s="533"/>
      <c r="I386" s="107"/>
      <c r="J386" s="36"/>
      <c r="K386" s="36"/>
      <c r="L386" s="36"/>
      <c r="M386" s="36"/>
      <c r="N386" s="36"/>
      <c r="O386" s="972"/>
      <c r="P386" s="1173"/>
      <c r="Q386" s="535"/>
    </row>
    <row r="387" spans="1:17" x14ac:dyDescent="0.25">
      <c r="A387" s="547">
        <v>2010</v>
      </c>
      <c r="B387" s="622"/>
      <c r="C387" s="1079"/>
      <c r="D387" s="35"/>
      <c r="E387" s="35"/>
      <c r="F387" s="35"/>
      <c r="G387" s="36"/>
      <c r="H387" s="533"/>
      <c r="I387" s="107"/>
      <c r="J387" s="36"/>
      <c r="K387" s="36"/>
      <c r="L387" s="36"/>
      <c r="M387" s="36"/>
      <c r="N387" s="36"/>
      <c r="O387" s="972"/>
      <c r="P387" s="1173"/>
      <c r="Q387" s="535"/>
    </row>
    <row r="388" spans="1:17" x14ac:dyDescent="0.25">
      <c r="A388" s="37">
        <v>2009</v>
      </c>
      <c r="B388" s="623"/>
      <c r="C388" s="1081"/>
      <c r="D388" s="32"/>
      <c r="E388" s="32"/>
      <c r="F388" s="32"/>
      <c r="G388" s="39"/>
      <c r="H388" s="39"/>
      <c r="I388" s="39"/>
      <c r="J388" s="39"/>
      <c r="K388" s="39"/>
      <c r="L388" s="620"/>
      <c r="M388" s="39"/>
      <c r="N388" s="39"/>
      <c r="O388" s="973" t="e">
        <f>+'P.D. RELEASED JAN-DEC.. 2009'!#REF!</f>
        <v>#REF!</v>
      </c>
      <c r="P388" s="1174"/>
      <c r="Q388" s="535"/>
    </row>
    <row r="389" spans="1:17" x14ac:dyDescent="0.25">
      <c r="A389" s="37">
        <v>2008</v>
      </c>
      <c r="B389" s="623"/>
      <c r="C389" s="1081"/>
      <c r="D389" s="32"/>
      <c r="E389" s="32"/>
      <c r="F389" s="32"/>
      <c r="G389" s="32"/>
      <c r="H389" s="534"/>
      <c r="I389" s="535"/>
      <c r="J389" s="535"/>
      <c r="K389" s="33"/>
      <c r="L389" s="620"/>
      <c r="M389" s="33"/>
      <c r="N389" s="33"/>
      <c r="O389" s="37"/>
      <c r="P389" s="1175"/>
      <c r="Q389" s="535"/>
    </row>
    <row r="390" spans="1:17" x14ac:dyDescent="0.25">
      <c r="A390" s="37">
        <v>2007</v>
      </c>
      <c r="B390" s="623"/>
      <c r="C390" s="1081"/>
      <c r="D390" s="32"/>
      <c r="E390" s="32"/>
      <c r="F390" s="32"/>
      <c r="G390" s="32"/>
      <c r="H390" s="534"/>
      <c r="I390" s="535"/>
      <c r="J390" s="535"/>
      <c r="K390" s="33"/>
      <c r="L390" s="620"/>
      <c r="M390" s="33"/>
      <c r="N390" s="33"/>
      <c r="O390" s="37"/>
      <c r="P390" s="1175"/>
      <c r="Q390" s="535"/>
    </row>
    <row r="391" spans="1:17" x14ac:dyDescent="0.25">
      <c r="A391" s="37">
        <v>2006</v>
      </c>
      <c r="B391" s="623"/>
      <c r="C391" s="1081"/>
      <c r="D391" s="32"/>
      <c r="E391" s="32"/>
      <c r="F391" s="32"/>
      <c r="G391" s="32"/>
      <c r="H391" s="32"/>
      <c r="I391" s="32"/>
      <c r="J391" s="32"/>
      <c r="K391" s="33"/>
      <c r="L391" s="620">
        <f>SUM(L388:L390)</f>
        <v>0</v>
      </c>
      <c r="M391" s="33"/>
      <c r="N391" s="33"/>
      <c r="O391" s="37"/>
      <c r="P391" s="1175"/>
      <c r="Q391" s="535"/>
    </row>
    <row r="392" spans="1:17" x14ac:dyDescent="0.25">
      <c r="A392" s="37">
        <v>2005</v>
      </c>
      <c r="B392" s="623"/>
      <c r="C392" s="1081"/>
      <c r="D392" s="32"/>
      <c r="E392" s="32"/>
      <c r="F392" s="32"/>
      <c r="G392" s="32"/>
      <c r="H392" s="32"/>
      <c r="I392" s="32"/>
      <c r="J392" s="32"/>
      <c r="K392" s="33"/>
      <c r="L392" s="621"/>
      <c r="M392" s="33"/>
      <c r="N392" s="33"/>
      <c r="O392" s="37"/>
      <c r="P392" s="1175"/>
      <c r="Q392" s="535"/>
    </row>
    <row r="393" spans="1:17" x14ac:dyDescent="0.25">
      <c r="A393" s="37">
        <v>2004</v>
      </c>
      <c r="B393" s="623"/>
      <c r="C393" s="1081"/>
      <c r="D393" s="32"/>
      <c r="E393" s="32"/>
      <c r="F393" s="32"/>
      <c r="G393" s="32"/>
      <c r="H393" s="32"/>
      <c r="I393" s="32"/>
      <c r="J393" s="32"/>
      <c r="K393" s="33"/>
      <c r="L393" s="33"/>
      <c r="M393" s="33"/>
      <c r="N393" s="33"/>
      <c r="O393" s="37"/>
      <c r="P393" s="1175"/>
      <c r="Q393" s="535"/>
    </row>
    <row r="394" spans="1:17" x14ac:dyDescent="0.25">
      <c r="A394" s="37">
        <v>2003</v>
      </c>
      <c r="B394" s="623"/>
      <c r="C394" s="1081"/>
      <c r="D394" s="32"/>
      <c r="E394" s="32"/>
      <c r="F394" s="32"/>
      <c r="G394" s="32"/>
      <c r="H394" s="32"/>
      <c r="I394" s="32"/>
      <c r="J394" s="32"/>
      <c r="K394" s="33"/>
      <c r="L394" s="33"/>
      <c r="M394" s="33"/>
      <c r="N394" s="33"/>
      <c r="O394" s="37"/>
      <c r="P394" s="1175"/>
      <c r="Q394" s="535"/>
    </row>
    <row r="395" spans="1:17" x14ac:dyDescent="0.25">
      <c r="A395" s="37">
        <v>2002</v>
      </c>
      <c r="B395" s="623"/>
      <c r="C395" s="1081"/>
      <c r="D395" s="32"/>
      <c r="E395" s="32"/>
      <c r="F395" s="32"/>
      <c r="G395" s="32"/>
      <c r="H395" s="32"/>
      <c r="I395" s="32"/>
      <c r="J395" s="32"/>
      <c r="K395" s="33"/>
      <c r="L395" s="33"/>
      <c r="M395" s="33"/>
      <c r="N395" s="33"/>
      <c r="O395" s="37"/>
      <c r="P395" s="1175"/>
      <c r="Q395" s="535"/>
    </row>
    <row r="396" spans="1:17" x14ac:dyDescent="0.25">
      <c r="A396" s="37"/>
      <c r="B396" s="32"/>
      <c r="C396" s="1081"/>
      <c r="D396" s="32"/>
      <c r="E396" s="32"/>
      <c r="F396" s="32"/>
      <c r="G396" s="32"/>
      <c r="H396" s="32"/>
      <c r="I396" s="32"/>
      <c r="J396" s="32"/>
      <c r="K396" s="33"/>
      <c r="L396" s="33"/>
      <c r="M396" s="33"/>
      <c r="N396" s="33"/>
      <c r="O396" s="37"/>
      <c r="P396" s="1175"/>
      <c r="Q396" s="535"/>
    </row>
    <row r="397" spans="1:17" x14ac:dyDescent="0.25">
      <c r="A397" s="32"/>
      <c r="B397" s="32"/>
      <c r="C397" s="1081"/>
      <c r="D397" s="32"/>
      <c r="E397" s="32"/>
      <c r="F397" s="32"/>
      <c r="G397" s="32"/>
      <c r="H397" s="32"/>
      <c r="I397" s="32"/>
      <c r="J397" s="32"/>
      <c r="K397" s="33"/>
      <c r="L397" s="33"/>
      <c r="M397" s="33"/>
      <c r="N397" s="33"/>
      <c r="O397" s="37"/>
      <c r="P397" s="1175"/>
      <c r="Q397" s="535"/>
    </row>
    <row r="398" spans="1:17" x14ac:dyDescent="0.25">
      <c r="A398" s="32"/>
      <c r="B398" s="32"/>
      <c r="C398" s="1081"/>
      <c r="D398" s="32"/>
      <c r="E398" s="32"/>
      <c r="F398" s="32"/>
      <c r="G398" s="32"/>
      <c r="H398" s="32"/>
      <c r="I398" s="32"/>
      <c r="J398" s="32"/>
      <c r="K398" s="33"/>
      <c r="L398" s="33"/>
      <c r="M398" s="33"/>
      <c r="N398" s="33"/>
      <c r="O398" s="37"/>
      <c r="P398" s="1175"/>
      <c r="Q398" s="535"/>
    </row>
    <row r="399" spans="1:17" x14ac:dyDescent="0.25">
      <c r="A399" s="32"/>
      <c r="B399" s="32"/>
      <c r="C399" s="1081"/>
      <c r="D399" s="32"/>
      <c r="E399" s="32"/>
      <c r="F399" s="32"/>
      <c r="G399" s="32"/>
      <c r="H399" s="32"/>
      <c r="I399" s="32"/>
      <c r="J399" s="32"/>
      <c r="K399" s="33"/>
      <c r="L399" s="33"/>
      <c r="M399" s="33"/>
      <c r="N399" s="33"/>
      <c r="O399" s="37"/>
      <c r="P399" s="1175"/>
    </row>
    <row r="400" spans="1:17" x14ac:dyDescent="0.25">
      <c r="A400" s="32"/>
      <c r="B400" s="32"/>
      <c r="C400" s="1081"/>
      <c r="D400" s="32"/>
      <c r="E400" s="32"/>
      <c r="F400" s="32"/>
      <c r="G400" s="32"/>
      <c r="H400" s="32"/>
      <c r="I400" s="32"/>
      <c r="J400" s="32"/>
      <c r="K400" s="33"/>
      <c r="L400" s="33"/>
      <c r="M400" s="33"/>
      <c r="N400" s="33"/>
      <c r="O400" s="37"/>
      <c r="P400" s="1175"/>
    </row>
    <row r="401" spans="1:16" x14ac:dyDescent="0.25">
      <c r="A401" s="32"/>
      <c r="B401" s="32"/>
      <c r="C401" s="1081"/>
      <c r="D401" s="32"/>
      <c r="E401" s="32"/>
      <c r="F401" s="32"/>
      <c r="G401" s="32"/>
      <c r="H401" s="32"/>
      <c r="I401" s="32"/>
      <c r="J401" s="32"/>
      <c r="K401" s="33"/>
      <c r="L401" s="33"/>
      <c r="M401" s="33"/>
      <c r="N401" s="33"/>
      <c r="O401" s="37"/>
      <c r="P401" s="1175"/>
    </row>
    <row r="402" spans="1:16" x14ac:dyDescent="0.25">
      <c r="A402" s="32"/>
      <c r="B402" s="32"/>
      <c r="C402" s="1081"/>
      <c r="D402" s="32"/>
      <c r="E402" s="32"/>
      <c r="F402" s="32"/>
      <c r="G402" s="32"/>
      <c r="H402" s="32"/>
      <c r="I402" s="32"/>
      <c r="J402" s="32"/>
      <c r="K402" s="33"/>
      <c r="L402" s="33"/>
      <c r="M402" s="33"/>
      <c r="N402" s="33"/>
      <c r="O402" s="37"/>
      <c r="P402" s="1175"/>
    </row>
    <row r="403" spans="1:16" x14ac:dyDescent="0.25">
      <c r="A403" s="32"/>
      <c r="B403" s="32"/>
      <c r="C403" s="1081"/>
      <c r="D403" s="32"/>
      <c r="E403" s="32"/>
      <c r="F403" s="32"/>
      <c r="G403" s="32"/>
      <c r="H403" s="32"/>
      <c r="I403" s="32"/>
      <c r="J403" s="32"/>
      <c r="K403" s="33"/>
      <c r="L403" s="33"/>
      <c r="M403" s="33"/>
      <c r="N403" s="33"/>
      <c r="O403" s="37"/>
      <c r="P403" s="1175"/>
    </row>
    <row r="404" spans="1:16" x14ac:dyDescent="0.25">
      <c r="A404" s="32"/>
      <c r="B404" s="32"/>
      <c r="C404" s="1081"/>
      <c r="D404" s="32"/>
      <c r="E404" s="32"/>
      <c r="F404" s="32"/>
      <c r="G404" s="32"/>
      <c r="H404" s="32"/>
      <c r="I404" s="32"/>
      <c r="J404" s="32"/>
      <c r="K404" s="33"/>
      <c r="L404" s="33"/>
      <c r="M404" s="33"/>
      <c r="N404" s="33"/>
      <c r="O404" s="37"/>
      <c r="P404" s="1175"/>
    </row>
    <row r="405" spans="1:16" x14ac:dyDescent="0.25">
      <c r="A405" s="32"/>
      <c r="B405" s="32"/>
      <c r="C405" s="1081"/>
      <c r="D405" s="32"/>
      <c r="E405" s="32"/>
      <c r="F405" s="32"/>
      <c r="G405" s="32"/>
      <c r="H405" s="32"/>
      <c r="I405" s="32"/>
      <c r="J405" s="32"/>
      <c r="K405" s="33"/>
      <c r="L405" s="33"/>
      <c r="M405" s="33"/>
      <c r="N405" s="33"/>
      <c r="O405" s="37"/>
      <c r="P405" s="1175"/>
    </row>
    <row r="406" spans="1:16" x14ac:dyDescent="0.25">
      <c r="A406" s="32"/>
      <c r="B406" s="32"/>
      <c r="C406" s="1081"/>
      <c r="D406" s="32"/>
      <c r="E406" s="32"/>
      <c r="F406" s="32"/>
      <c r="G406" s="32"/>
      <c r="H406" s="32"/>
      <c r="I406" s="32"/>
      <c r="J406" s="32"/>
      <c r="K406" s="33"/>
      <c r="L406" s="33"/>
      <c r="M406" s="33"/>
      <c r="N406" s="33"/>
      <c r="O406" s="37"/>
      <c r="P406" s="1175"/>
    </row>
    <row r="407" spans="1:16" x14ac:dyDescent="0.25">
      <c r="A407" s="32"/>
      <c r="B407" s="32"/>
      <c r="C407" s="1081"/>
      <c r="D407" s="32"/>
      <c r="E407" s="32"/>
      <c r="F407" s="32"/>
      <c r="G407" s="32"/>
      <c r="H407" s="32"/>
      <c r="I407" s="32"/>
      <c r="J407" s="32"/>
      <c r="K407" s="33"/>
      <c r="L407" s="33"/>
      <c r="M407" s="33"/>
      <c r="N407" s="33"/>
      <c r="O407" s="37"/>
      <c r="P407" s="1175"/>
    </row>
    <row r="408" spans="1:16" x14ac:dyDescent="0.25">
      <c r="A408" s="32"/>
      <c r="B408" s="32"/>
      <c r="C408" s="1081"/>
      <c r="D408" s="32"/>
      <c r="E408" s="32"/>
      <c r="F408" s="32"/>
      <c r="G408" s="32"/>
      <c r="H408" s="32"/>
      <c r="I408" s="32"/>
      <c r="J408" s="32"/>
      <c r="K408" s="33"/>
      <c r="L408" s="33"/>
      <c r="M408" s="33"/>
      <c r="N408" s="33"/>
      <c r="O408" s="37"/>
      <c r="P408" s="1175"/>
    </row>
    <row r="409" spans="1:16" x14ac:dyDescent="0.25">
      <c r="A409" s="32"/>
      <c r="B409" s="32"/>
      <c r="C409" s="1081"/>
      <c r="D409" s="32"/>
      <c r="E409" s="32"/>
      <c r="F409" s="32"/>
      <c r="G409" s="32"/>
      <c r="H409" s="32"/>
      <c r="I409" s="32"/>
      <c r="J409" s="32"/>
      <c r="K409" s="33"/>
      <c r="L409" s="33"/>
      <c r="M409" s="33"/>
      <c r="N409" s="33"/>
      <c r="O409" s="37"/>
      <c r="P409" s="1175"/>
    </row>
    <row r="410" spans="1:16" x14ac:dyDescent="0.25">
      <c r="A410" s="32"/>
      <c r="B410" s="32"/>
      <c r="C410" s="1081"/>
      <c r="D410" s="32"/>
      <c r="E410" s="32"/>
      <c r="F410" s="32"/>
      <c r="G410" s="32"/>
      <c r="H410" s="32"/>
      <c r="I410" s="32"/>
      <c r="J410" s="32"/>
      <c r="K410" s="33"/>
      <c r="L410" s="33"/>
      <c r="M410" s="33"/>
      <c r="N410" s="33"/>
      <c r="O410" s="37"/>
      <c r="P410" s="1175"/>
    </row>
    <row r="411" spans="1:16" x14ac:dyDescent="0.25">
      <c r="A411" s="32"/>
      <c r="B411" s="32"/>
      <c r="C411" s="1081"/>
      <c r="D411" s="32"/>
      <c r="E411" s="32"/>
      <c r="F411" s="32"/>
      <c r="G411" s="32"/>
      <c r="H411" s="32"/>
      <c r="I411" s="32"/>
      <c r="J411" s="32"/>
      <c r="K411" s="33"/>
      <c r="L411" s="33"/>
      <c r="M411" s="33"/>
      <c r="N411" s="33"/>
      <c r="O411" s="37"/>
      <c r="P411" s="1175"/>
    </row>
    <row r="412" spans="1:16" x14ac:dyDescent="0.25">
      <c r="A412" s="32"/>
      <c r="B412" s="32"/>
      <c r="C412" s="1081"/>
      <c r="D412" s="32"/>
      <c r="E412" s="32"/>
      <c r="F412" s="32"/>
      <c r="G412" s="32"/>
      <c r="H412" s="32"/>
      <c r="I412" s="32"/>
      <c r="J412" s="32"/>
      <c r="K412" s="33"/>
      <c r="L412" s="33"/>
      <c r="M412" s="33"/>
      <c r="N412" s="33"/>
      <c r="O412" s="37"/>
      <c r="P412" s="1175"/>
    </row>
    <row r="413" spans="1:16" x14ac:dyDescent="0.25">
      <c r="A413" s="32"/>
      <c r="B413" s="32"/>
      <c r="C413" s="1081"/>
      <c r="D413" s="32"/>
      <c r="E413" s="32"/>
      <c r="F413" s="32"/>
      <c r="G413" s="32"/>
      <c r="H413" s="32"/>
      <c r="I413" s="32"/>
      <c r="J413" s="32"/>
      <c r="K413" s="33"/>
      <c r="L413" s="33"/>
      <c r="M413" s="33"/>
      <c r="N413" s="33"/>
      <c r="O413" s="37"/>
      <c r="P413" s="1175"/>
    </row>
    <row r="414" spans="1:16" x14ac:dyDescent="0.25">
      <c r="A414" s="32"/>
      <c r="B414" s="32"/>
      <c r="C414" s="1081"/>
      <c r="D414" s="32"/>
      <c r="E414" s="32"/>
      <c r="F414" s="32"/>
      <c r="G414" s="32"/>
      <c r="H414" s="32"/>
      <c r="I414" s="32"/>
      <c r="J414" s="32"/>
      <c r="K414" s="33"/>
      <c r="L414" s="33"/>
      <c r="M414" s="33"/>
      <c r="N414" s="33"/>
      <c r="O414" s="37"/>
      <c r="P414" s="1175"/>
    </row>
    <row r="415" spans="1:16" x14ac:dyDescent="0.25">
      <c r="A415" s="32"/>
      <c r="B415" s="32"/>
      <c r="C415" s="1081"/>
      <c r="D415" s="32"/>
      <c r="E415" s="32"/>
      <c r="F415" s="32"/>
      <c r="G415" s="32"/>
      <c r="H415" s="32"/>
      <c r="I415" s="32"/>
      <c r="J415" s="32"/>
      <c r="K415" s="33"/>
      <c r="L415" s="33"/>
      <c r="M415" s="33"/>
      <c r="N415" s="33"/>
      <c r="O415" s="37"/>
      <c r="P415" s="1175"/>
    </row>
    <row r="416" spans="1:16" x14ac:dyDescent="0.25">
      <c r="A416" s="32"/>
      <c r="B416" s="32"/>
      <c r="C416" s="1081"/>
      <c r="D416" s="32"/>
      <c r="E416" s="32"/>
      <c r="F416" s="32"/>
      <c r="G416" s="32"/>
      <c r="H416" s="32"/>
      <c r="I416" s="32"/>
      <c r="J416" s="32"/>
      <c r="K416" s="33"/>
      <c r="L416" s="33"/>
      <c r="M416" s="33"/>
      <c r="N416" s="33"/>
      <c r="O416" s="37"/>
      <c r="P416" s="1175"/>
    </row>
    <row r="417" spans="1:16" x14ac:dyDescent="0.25">
      <c r="A417" s="32"/>
      <c r="B417" s="32"/>
      <c r="C417" s="1081"/>
      <c r="D417" s="32"/>
      <c r="E417" s="32"/>
      <c r="F417" s="32"/>
      <c r="G417" s="32"/>
      <c r="H417" s="32"/>
      <c r="I417" s="32"/>
      <c r="J417" s="32"/>
      <c r="K417" s="33"/>
      <c r="L417" s="33"/>
      <c r="M417" s="33"/>
      <c r="N417" s="33"/>
      <c r="O417" s="37"/>
      <c r="P417" s="1175"/>
    </row>
  </sheetData>
  <sortState ref="A8:P459">
    <sortCondition ref="A8"/>
  </sortState>
  <mergeCells count="6">
    <mergeCell ref="A1:O1"/>
    <mergeCell ref="A2:O2"/>
    <mergeCell ref="A3:O3"/>
    <mergeCell ref="A4:O4"/>
    <mergeCell ref="E5:F5"/>
    <mergeCell ref="I5:N5"/>
  </mergeCells>
  <pageMargins left="0.5" right="0.5" top="0.75" bottom="0.75" header="0.3" footer="0.3"/>
  <pageSetup paperSize="5" orientation="landscape" horizontalDpi="4294967294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O37"/>
  <sheetViews>
    <sheetView topLeftCell="A37" workbookViewId="0">
      <selection activeCell="N21" sqref="N21"/>
    </sheetView>
  </sheetViews>
  <sheetFormatPr defaultRowHeight="15" x14ac:dyDescent="0.25"/>
  <cols>
    <col min="1" max="1" width="18.140625" customWidth="1"/>
    <col min="2" max="2" width="17.7109375" customWidth="1"/>
    <col min="4" max="4" width="9.85546875" customWidth="1"/>
    <col min="5" max="5" width="11.7109375" customWidth="1"/>
    <col min="6" max="6" width="9" customWidth="1"/>
    <col min="7" max="7" width="11.85546875" customWidth="1"/>
    <col min="8" max="8" width="8.7109375" customWidth="1"/>
    <col min="9" max="9" width="11.5703125" customWidth="1"/>
    <col min="10" max="10" width="7.28515625" customWidth="1"/>
    <col min="11" max="11" width="11" customWidth="1"/>
    <col min="12" max="12" width="11.5703125" customWidth="1"/>
    <col min="13" max="13" width="11.140625" customWidth="1"/>
    <col min="14" max="14" width="12.140625" customWidth="1"/>
  </cols>
  <sheetData>
    <row r="2" spans="1:15" ht="15.75" thickBot="1" x14ac:dyDescent="0.3"/>
    <row r="3" spans="1:15" x14ac:dyDescent="0.25">
      <c r="A3" s="737"/>
      <c r="B3" s="738"/>
      <c r="C3" s="739" t="s">
        <v>91</v>
      </c>
      <c r="D3" s="740" t="s">
        <v>92</v>
      </c>
      <c r="E3" s="741" t="s">
        <v>98</v>
      </c>
      <c r="F3" s="741"/>
      <c r="G3" s="742" t="s">
        <v>6</v>
      </c>
      <c r="H3" s="744"/>
      <c r="I3" s="739" t="s">
        <v>19</v>
      </c>
      <c r="J3" s="739"/>
      <c r="K3" s="739" t="s">
        <v>80</v>
      </c>
      <c r="L3" s="743"/>
      <c r="M3" s="744" t="s">
        <v>463</v>
      </c>
      <c r="N3" s="743"/>
    </row>
    <row r="4" spans="1:15" ht="15.75" thickBot="1" x14ac:dyDescent="0.3">
      <c r="A4" s="745" t="s">
        <v>2</v>
      </c>
      <c r="B4" s="746" t="s">
        <v>3</v>
      </c>
      <c r="C4" s="746" t="s">
        <v>90</v>
      </c>
      <c r="D4" s="747" t="s">
        <v>91</v>
      </c>
      <c r="E4" s="748" t="s">
        <v>6</v>
      </c>
      <c r="F4" s="748"/>
      <c r="G4" s="745" t="s">
        <v>464</v>
      </c>
      <c r="H4" s="749"/>
      <c r="I4" s="746" t="s">
        <v>464</v>
      </c>
      <c r="J4" s="746"/>
      <c r="K4" s="746" t="s">
        <v>464</v>
      </c>
      <c r="L4" s="750" t="s">
        <v>400</v>
      </c>
      <c r="M4" s="749" t="s">
        <v>119</v>
      </c>
      <c r="N4" s="750" t="s">
        <v>418</v>
      </c>
    </row>
    <row r="5" spans="1:15" x14ac:dyDescent="0.25">
      <c r="A5" s="717" t="s">
        <v>1086</v>
      </c>
      <c r="B5" s="556" t="s">
        <v>1087</v>
      </c>
      <c r="C5" s="719">
        <v>37734</v>
      </c>
      <c r="D5" s="720">
        <v>37894</v>
      </c>
      <c r="E5" s="901">
        <v>1720</v>
      </c>
      <c r="F5" s="721"/>
      <c r="G5" s="907">
        <v>1720</v>
      </c>
      <c r="H5" s="753"/>
      <c r="I5" s="497">
        <v>430</v>
      </c>
      <c r="J5" s="909"/>
      <c r="K5" s="907"/>
      <c r="L5" s="920">
        <f t="shared" ref="L5:L36" si="0">G5+I5+K5</f>
        <v>2150</v>
      </c>
      <c r="M5" s="916">
        <v>38353</v>
      </c>
      <c r="N5" s="905" t="s">
        <v>666</v>
      </c>
      <c r="O5" s="498"/>
    </row>
    <row r="6" spans="1:15" x14ac:dyDescent="0.25">
      <c r="A6" s="188" t="s">
        <v>1083</v>
      </c>
      <c r="B6" s="188" t="s">
        <v>1084</v>
      </c>
      <c r="C6" s="189">
        <v>39799</v>
      </c>
      <c r="D6" s="217">
        <v>39920</v>
      </c>
      <c r="E6" s="190">
        <v>6500</v>
      </c>
      <c r="F6" s="190"/>
      <c r="G6" s="219">
        <v>5775</v>
      </c>
      <c r="H6" s="218"/>
      <c r="I6" s="497">
        <v>3420</v>
      </c>
      <c r="J6" s="909"/>
      <c r="K6" s="912">
        <v>2910</v>
      </c>
      <c r="L6" s="865">
        <f t="shared" si="0"/>
        <v>12105</v>
      </c>
      <c r="M6" s="725">
        <v>40229</v>
      </c>
      <c r="N6" s="898" t="s">
        <v>666</v>
      </c>
    </row>
    <row r="7" spans="1:15" x14ac:dyDescent="0.25">
      <c r="A7" s="717" t="s">
        <v>68</v>
      </c>
      <c r="B7" s="556" t="s">
        <v>877</v>
      </c>
      <c r="C7" s="719">
        <v>39736</v>
      </c>
      <c r="D7" s="720">
        <v>39859</v>
      </c>
      <c r="E7" s="721">
        <v>4000</v>
      </c>
      <c r="F7" s="721"/>
      <c r="G7" s="901">
        <v>1920</v>
      </c>
      <c r="H7" s="753"/>
      <c r="I7" s="497">
        <v>574</v>
      </c>
      <c r="J7" s="909"/>
      <c r="K7" s="901"/>
      <c r="L7" s="865">
        <f t="shared" si="0"/>
        <v>2494</v>
      </c>
      <c r="M7" s="725">
        <v>40276</v>
      </c>
      <c r="N7" s="899" t="s">
        <v>666</v>
      </c>
    </row>
    <row r="8" spans="1:15" x14ac:dyDescent="0.25">
      <c r="A8" s="717" t="s">
        <v>1095</v>
      </c>
      <c r="B8" s="556" t="s">
        <v>1096</v>
      </c>
      <c r="C8" s="719">
        <v>38244</v>
      </c>
      <c r="D8" s="720">
        <v>38397</v>
      </c>
      <c r="E8" s="726">
        <v>4000</v>
      </c>
      <c r="F8" s="726"/>
      <c r="G8" s="902">
        <v>4000</v>
      </c>
      <c r="H8" s="754"/>
      <c r="I8" s="497">
        <v>1200</v>
      </c>
      <c r="J8" s="909"/>
      <c r="K8" s="902"/>
      <c r="L8" s="865">
        <f t="shared" si="0"/>
        <v>5200</v>
      </c>
      <c r="M8" s="725">
        <v>38405</v>
      </c>
      <c r="N8" s="899" t="s">
        <v>666</v>
      </c>
    </row>
    <row r="9" spans="1:15" x14ac:dyDescent="0.25">
      <c r="A9" s="717" t="s">
        <v>1088</v>
      </c>
      <c r="B9" s="556" t="s">
        <v>669</v>
      </c>
      <c r="C9" s="719">
        <v>37595</v>
      </c>
      <c r="D9" s="720">
        <v>37920</v>
      </c>
      <c r="E9" s="721">
        <v>7500</v>
      </c>
      <c r="F9" s="721"/>
      <c r="G9" s="901">
        <v>7500</v>
      </c>
      <c r="H9" s="753"/>
      <c r="I9" s="497">
        <v>2300</v>
      </c>
      <c r="J9" s="909"/>
      <c r="K9" s="901">
        <v>500</v>
      </c>
      <c r="L9" s="865">
        <f t="shared" si="0"/>
        <v>10300</v>
      </c>
      <c r="M9" s="725">
        <v>38485</v>
      </c>
      <c r="N9" s="899" t="s">
        <v>666</v>
      </c>
    </row>
    <row r="10" spans="1:15" x14ac:dyDescent="0.25">
      <c r="A10" s="188" t="s">
        <v>125</v>
      </c>
      <c r="B10" s="188" t="s">
        <v>8</v>
      </c>
      <c r="C10" s="189">
        <v>39863</v>
      </c>
      <c r="D10" s="217">
        <v>40044</v>
      </c>
      <c r="E10" s="190">
        <v>6000</v>
      </c>
      <c r="F10" s="190"/>
      <c r="G10" s="219">
        <v>5400</v>
      </c>
      <c r="H10" s="218"/>
      <c r="I10" s="497">
        <v>4970</v>
      </c>
      <c r="J10" s="909"/>
      <c r="K10" s="912">
        <f>1656+65+65+65+65+65</f>
        <v>1981</v>
      </c>
      <c r="L10" s="865">
        <f t="shared" si="0"/>
        <v>12351</v>
      </c>
      <c r="M10" s="725">
        <v>39879</v>
      </c>
      <c r="N10" s="906" t="s">
        <v>666</v>
      </c>
    </row>
    <row r="11" spans="1:15" x14ac:dyDescent="0.25">
      <c r="A11" s="717" t="s">
        <v>169</v>
      </c>
      <c r="B11" s="556" t="s">
        <v>1087</v>
      </c>
      <c r="C11" s="719">
        <v>38751</v>
      </c>
      <c r="D11" s="720">
        <v>38901</v>
      </c>
      <c r="E11" s="721">
        <v>10000</v>
      </c>
      <c r="F11" s="721"/>
      <c r="G11" s="901">
        <v>10000</v>
      </c>
      <c r="H11" s="753"/>
      <c r="I11" s="497">
        <v>23500</v>
      </c>
      <c r="J11" s="909"/>
      <c r="K11" s="901">
        <v>5135</v>
      </c>
      <c r="L11" s="865">
        <f t="shared" si="0"/>
        <v>38635</v>
      </c>
      <c r="M11" s="725">
        <v>39062</v>
      </c>
      <c r="N11" s="23" t="s">
        <v>666</v>
      </c>
    </row>
    <row r="12" spans="1:15" x14ac:dyDescent="0.25">
      <c r="A12" s="81" t="s">
        <v>292</v>
      </c>
      <c r="B12" s="81" t="s">
        <v>27</v>
      </c>
      <c r="C12" s="265">
        <v>38239</v>
      </c>
      <c r="D12" s="275">
        <v>38605</v>
      </c>
      <c r="E12" s="404">
        <v>8000</v>
      </c>
      <c r="F12" s="886"/>
      <c r="G12" s="421">
        <v>6880</v>
      </c>
      <c r="H12" s="301"/>
      <c r="I12" s="263">
        <v>24609</v>
      </c>
      <c r="J12" s="406"/>
      <c r="K12" s="406">
        <v>12267</v>
      </c>
      <c r="L12" s="404">
        <f>G12+I12+K12</f>
        <v>43756</v>
      </c>
      <c r="M12" s="422">
        <v>41160</v>
      </c>
      <c r="N12" s="936" t="s">
        <v>666</v>
      </c>
    </row>
    <row r="13" spans="1:15" x14ac:dyDescent="0.25">
      <c r="A13" s="188" t="s">
        <v>1091</v>
      </c>
      <c r="B13" s="188" t="s">
        <v>1092</v>
      </c>
      <c r="C13" s="189">
        <v>37900</v>
      </c>
      <c r="D13" s="217">
        <v>38083</v>
      </c>
      <c r="E13" s="190">
        <v>6100</v>
      </c>
      <c r="F13" s="190"/>
      <c r="G13" s="219">
        <v>6100</v>
      </c>
      <c r="H13" s="218"/>
      <c r="I13" s="497">
        <v>4117</v>
      </c>
      <c r="J13" s="909"/>
      <c r="K13" s="912">
        <v>263</v>
      </c>
      <c r="L13" s="865">
        <f t="shared" si="0"/>
        <v>10480</v>
      </c>
      <c r="M13" s="725">
        <v>38580</v>
      </c>
      <c r="N13" s="898" t="s">
        <v>666</v>
      </c>
    </row>
    <row r="14" spans="1:15" x14ac:dyDescent="0.25">
      <c r="A14" s="717" t="s">
        <v>1094</v>
      </c>
      <c r="B14" s="556"/>
      <c r="C14" s="719">
        <v>39982</v>
      </c>
      <c r="D14" s="720">
        <v>40104</v>
      </c>
      <c r="E14" s="721">
        <v>5000</v>
      </c>
      <c r="F14" s="721"/>
      <c r="G14" s="901">
        <v>4240</v>
      </c>
      <c r="H14" s="753"/>
      <c r="I14" s="497">
        <v>810</v>
      </c>
      <c r="J14" s="909"/>
      <c r="K14" s="901"/>
      <c r="L14" s="865">
        <f t="shared" si="0"/>
        <v>5050</v>
      </c>
      <c r="M14" s="725">
        <v>40011</v>
      </c>
      <c r="N14" s="899" t="s">
        <v>666</v>
      </c>
    </row>
    <row r="15" spans="1:15" x14ac:dyDescent="0.25">
      <c r="A15" s="717" t="s">
        <v>1089</v>
      </c>
      <c r="B15" s="556" t="s">
        <v>1090</v>
      </c>
      <c r="C15" s="719">
        <v>39118</v>
      </c>
      <c r="D15" s="720">
        <v>39299</v>
      </c>
      <c r="E15" s="728">
        <v>100000</v>
      </c>
      <c r="F15" s="728"/>
      <c r="G15" s="903">
        <v>78334</v>
      </c>
      <c r="H15" s="755"/>
      <c r="I15" s="497">
        <v>35374</v>
      </c>
      <c r="J15" s="909"/>
      <c r="K15" s="903">
        <v>19282</v>
      </c>
      <c r="L15" s="865">
        <f t="shared" si="0"/>
        <v>132990</v>
      </c>
      <c r="M15" s="725">
        <v>39576</v>
      </c>
      <c r="N15" s="899" t="s">
        <v>666</v>
      </c>
    </row>
    <row r="16" spans="1:15" x14ac:dyDescent="0.25">
      <c r="A16" s="717" t="s">
        <v>1097</v>
      </c>
      <c r="B16" s="556" t="s">
        <v>398</v>
      </c>
      <c r="C16" s="719">
        <v>37414</v>
      </c>
      <c r="D16" s="720">
        <v>37597</v>
      </c>
      <c r="E16" s="730">
        <v>5000</v>
      </c>
      <c r="F16" s="730"/>
      <c r="G16" s="900">
        <v>4270</v>
      </c>
      <c r="H16" s="756"/>
      <c r="I16" s="497">
        <v>1500</v>
      </c>
      <c r="J16" s="909"/>
      <c r="K16" s="900"/>
      <c r="L16" s="865">
        <f t="shared" si="0"/>
        <v>5770</v>
      </c>
      <c r="M16" s="725">
        <v>39524</v>
      </c>
      <c r="N16" s="899" t="s">
        <v>666</v>
      </c>
    </row>
    <row r="17" spans="1:14" x14ac:dyDescent="0.25">
      <c r="A17" s="717" t="s">
        <v>1093</v>
      </c>
      <c r="B17" s="556" t="s">
        <v>841</v>
      </c>
      <c r="C17" s="719">
        <v>39143</v>
      </c>
      <c r="D17" s="720">
        <v>39509</v>
      </c>
      <c r="E17" s="721">
        <v>19000</v>
      </c>
      <c r="F17" s="721"/>
      <c r="G17" s="901">
        <v>13250</v>
      </c>
      <c r="H17" s="753"/>
      <c r="I17" s="497">
        <v>8250</v>
      </c>
      <c r="J17" s="909"/>
      <c r="K17" s="901"/>
      <c r="L17" s="865">
        <f t="shared" si="0"/>
        <v>21500</v>
      </c>
      <c r="M17" s="725">
        <v>40210</v>
      </c>
      <c r="N17" s="899" t="s">
        <v>666</v>
      </c>
    </row>
    <row r="18" spans="1:14" x14ac:dyDescent="0.25">
      <c r="A18" s="717" t="s">
        <v>1098</v>
      </c>
      <c r="B18" s="556" t="s">
        <v>1084</v>
      </c>
      <c r="C18" s="719">
        <v>38937</v>
      </c>
      <c r="D18" s="720">
        <v>39301</v>
      </c>
      <c r="E18" s="732">
        <v>10000</v>
      </c>
      <c r="F18" s="732"/>
      <c r="G18" s="904">
        <v>2750</v>
      </c>
      <c r="H18" s="757"/>
      <c r="I18" s="497">
        <v>1249</v>
      </c>
      <c r="J18" s="909"/>
      <c r="K18" s="904"/>
      <c r="L18" s="865">
        <f t="shared" si="0"/>
        <v>3999</v>
      </c>
      <c r="M18" s="725">
        <v>39890</v>
      </c>
      <c r="N18" s="899" t="s">
        <v>666</v>
      </c>
    </row>
    <row r="19" spans="1:14" x14ac:dyDescent="0.25">
      <c r="A19" s="717" t="s">
        <v>1099</v>
      </c>
      <c r="B19" s="556" t="s">
        <v>514</v>
      </c>
      <c r="C19" s="719">
        <v>38171</v>
      </c>
      <c r="D19" s="720">
        <v>38355</v>
      </c>
      <c r="E19" s="721">
        <v>10000</v>
      </c>
      <c r="F19" s="721"/>
      <c r="G19" s="901">
        <v>6192</v>
      </c>
      <c r="H19" s="753"/>
      <c r="I19" s="497">
        <v>219</v>
      </c>
      <c r="J19" s="909"/>
      <c r="K19" s="901"/>
      <c r="L19" s="865">
        <f t="shared" si="0"/>
        <v>6411</v>
      </c>
      <c r="M19" s="725">
        <v>39115</v>
      </c>
      <c r="N19" s="899" t="s">
        <v>666</v>
      </c>
    </row>
    <row r="20" spans="1:14" x14ac:dyDescent="0.25">
      <c r="A20" s="717" t="s">
        <v>778</v>
      </c>
      <c r="B20" s="878" t="s">
        <v>1448</v>
      </c>
      <c r="C20" s="719">
        <v>40787</v>
      </c>
      <c r="D20" s="720">
        <v>40988</v>
      </c>
      <c r="E20" s="721">
        <v>17000</v>
      </c>
      <c r="F20" s="721"/>
      <c r="G20" s="901">
        <v>3000</v>
      </c>
      <c r="H20" s="753"/>
      <c r="I20" s="497">
        <v>3100</v>
      </c>
      <c r="J20" s="909"/>
      <c r="K20" s="901"/>
      <c r="L20" s="865">
        <f t="shared" si="0"/>
        <v>6100</v>
      </c>
      <c r="M20" s="725">
        <v>41034</v>
      </c>
      <c r="N20" s="899" t="s">
        <v>666</v>
      </c>
    </row>
    <row r="21" spans="1:14" x14ac:dyDescent="0.25">
      <c r="A21" s="717" t="s">
        <v>1101</v>
      </c>
      <c r="B21" s="878" t="s">
        <v>1075</v>
      </c>
      <c r="C21" s="719">
        <v>38594</v>
      </c>
      <c r="D21" s="720">
        <v>38776</v>
      </c>
      <c r="E21" s="721">
        <v>8000</v>
      </c>
      <c r="F21" s="721"/>
      <c r="G21" s="901">
        <v>6568</v>
      </c>
      <c r="H21" s="753"/>
      <c r="I21" s="497">
        <v>7054</v>
      </c>
      <c r="J21" s="909"/>
      <c r="K21" s="901"/>
      <c r="L21" s="865">
        <f t="shared" si="0"/>
        <v>13622</v>
      </c>
      <c r="M21" s="725">
        <v>39543</v>
      </c>
      <c r="N21" s="899" t="s">
        <v>666</v>
      </c>
    </row>
    <row r="22" spans="1:14" x14ac:dyDescent="0.25">
      <c r="A22" s="717" t="s">
        <v>1100</v>
      </c>
      <c r="B22" s="556" t="s">
        <v>669</v>
      </c>
      <c r="C22" s="719">
        <v>37427</v>
      </c>
      <c r="D22" s="720">
        <v>37549</v>
      </c>
      <c r="E22" s="726">
        <v>2000</v>
      </c>
      <c r="F22" s="726"/>
      <c r="G22" s="902">
        <v>500</v>
      </c>
      <c r="H22" s="754"/>
      <c r="I22" s="497">
        <v>100</v>
      </c>
      <c r="J22" s="909"/>
      <c r="K22" s="902"/>
      <c r="L22" s="865">
        <f t="shared" si="0"/>
        <v>600</v>
      </c>
      <c r="M22" s="725">
        <v>38353</v>
      </c>
      <c r="N22" s="899" t="s">
        <v>666</v>
      </c>
    </row>
    <row r="23" spans="1:14" x14ac:dyDescent="0.25">
      <c r="A23" s="717" t="s">
        <v>309</v>
      </c>
      <c r="B23" s="556" t="s">
        <v>1115</v>
      </c>
      <c r="C23" s="719">
        <v>38236</v>
      </c>
      <c r="D23" s="720">
        <v>38359</v>
      </c>
      <c r="E23" s="732">
        <v>3000</v>
      </c>
      <c r="F23" s="732"/>
      <c r="G23" s="904">
        <v>2792</v>
      </c>
      <c r="H23" s="757"/>
      <c r="I23" s="497">
        <v>12406</v>
      </c>
      <c r="J23" s="909"/>
      <c r="K23" s="904">
        <v>1412</v>
      </c>
      <c r="L23" s="865">
        <f t="shared" si="0"/>
        <v>16610</v>
      </c>
      <c r="M23" s="725">
        <v>39275</v>
      </c>
      <c r="N23" s="22" t="s">
        <v>666</v>
      </c>
    </row>
    <row r="24" spans="1:14" x14ac:dyDescent="0.25">
      <c r="A24" s="717" t="s">
        <v>1104</v>
      </c>
      <c r="B24" s="556" t="s">
        <v>1075</v>
      </c>
      <c r="C24" s="719">
        <v>37411</v>
      </c>
      <c r="D24" s="720">
        <v>37715</v>
      </c>
      <c r="E24" s="732">
        <v>8000</v>
      </c>
      <c r="F24" s="732"/>
      <c r="G24" s="904">
        <v>3124</v>
      </c>
      <c r="H24" s="757"/>
      <c r="I24" s="497">
        <v>1576</v>
      </c>
      <c r="J24" s="909"/>
      <c r="K24" s="904"/>
      <c r="L24" s="865">
        <f t="shared" si="0"/>
        <v>4700</v>
      </c>
      <c r="M24" s="725">
        <v>39952</v>
      </c>
      <c r="N24" s="22" t="s">
        <v>666</v>
      </c>
    </row>
    <row r="25" spans="1:14" x14ac:dyDescent="0.25">
      <c r="A25" s="717" t="s">
        <v>1103</v>
      </c>
      <c r="B25" s="556" t="s">
        <v>398</v>
      </c>
      <c r="C25" s="719">
        <v>39584</v>
      </c>
      <c r="D25" s="720">
        <v>39949</v>
      </c>
      <c r="E25" s="721">
        <v>10000</v>
      </c>
      <c r="F25" s="721"/>
      <c r="G25" s="901">
        <v>5833</v>
      </c>
      <c r="H25" s="753"/>
      <c r="I25" s="497">
        <v>3500</v>
      </c>
      <c r="J25" s="909"/>
      <c r="K25" s="901"/>
      <c r="L25" s="865">
        <f t="shared" si="0"/>
        <v>9333</v>
      </c>
      <c r="M25" s="725">
        <v>39771</v>
      </c>
      <c r="N25" s="22" t="s">
        <v>666</v>
      </c>
    </row>
    <row r="26" spans="1:14" x14ac:dyDescent="0.25">
      <c r="A26" s="717" t="s">
        <v>1102</v>
      </c>
      <c r="B26" s="556" t="s">
        <v>1047</v>
      </c>
      <c r="C26" s="719">
        <v>38177</v>
      </c>
      <c r="D26" s="720">
        <v>38472</v>
      </c>
      <c r="E26" s="730">
        <v>6000</v>
      </c>
      <c r="F26" s="730"/>
      <c r="G26" s="900">
        <v>1490</v>
      </c>
      <c r="H26" s="756"/>
      <c r="I26" s="497">
        <v>300</v>
      </c>
      <c r="J26" s="909"/>
      <c r="K26" s="900"/>
      <c r="L26" s="865">
        <f t="shared" si="0"/>
        <v>1790</v>
      </c>
      <c r="M26" s="725">
        <v>39890</v>
      </c>
      <c r="N26" s="899" t="s">
        <v>666</v>
      </c>
    </row>
    <row r="27" spans="1:14" x14ac:dyDescent="0.25">
      <c r="A27" s="717" t="s">
        <v>1105</v>
      </c>
      <c r="B27" s="556" t="s">
        <v>1106</v>
      </c>
      <c r="C27" s="719">
        <v>37446</v>
      </c>
      <c r="D27" s="720">
        <v>37710</v>
      </c>
      <c r="E27" s="721">
        <v>5000</v>
      </c>
      <c r="F27" s="721"/>
      <c r="G27" s="901">
        <v>1900</v>
      </c>
      <c r="H27" s="753"/>
      <c r="I27" s="497">
        <v>3090</v>
      </c>
      <c r="J27" s="909"/>
      <c r="K27" s="901"/>
      <c r="L27" s="865">
        <f t="shared" si="0"/>
        <v>4990</v>
      </c>
      <c r="M27" s="725">
        <v>39743</v>
      </c>
      <c r="N27" s="22" t="s">
        <v>666</v>
      </c>
    </row>
    <row r="28" spans="1:14" x14ac:dyDescent="0.25">
      <c r="A28" s="717" t="s">
        <v>1107</v>
      </c>
      <c r="B28" s="556" t="s">
        <v>865</v>
      </c>
      <c r="C28" s="719">
        <v>37750</v>
      </c>
      <c r="D28" s="720">
        <v>38116</v>
      </c>
      <c r="E28" s="721">
        <v>15000</v>
      </c>
      <c r="F28" s="721"/>
      <c r="G28" s="901">
        <v>4406</v>
      </c>
      <c r="H28" s="753"/>
      <c r="I28" s="497">
        <v>1150</v>
      </c>
      <c r="J28" s="909"/>
      <c r="K28" s="901"/>
      <c r="L28" s="865">
        <f t="shared" si="0"/>
        <v>5556</v>
      </c>
      <c r="M28" s="725">
        <v>38579</v>
      </c>
      <c r="N28" s="22" t="s">
        <v>666</v>
      </c>
    </row>
    <row r="29" spans="1:14" x14ac:dyDescent="0.25">
      <c r="A29" s="717" t="s">
        <v>1114</v>
      </c>
      <c r="B29" s="556" t="s">
        <v>511</v>
      </c>
      <c r="C29" s="719">
        <v>39671</v>
      </c>
      <c r="D29" s="720">
        <v>39793</v>
      </c>
      <c r="E29" s="721">
        <v>10000</v>
      </c>
      <c r="F29" s="721"/>
      <c r="G29" s="901">
        <v>10000</v>
      </c>
      <c r="H29" s="753"/>
      <c r="I29" s="497">
        <v>8500</v>
      </c>
      <c r="J29" s="909"/>
      <c r="K29" s="901">
        <v>5435</v>
      </c>
      <c r="L29" s="865">
        <f t="shared" si="0"/>
        <v>23935</v>
      </c>
      <c r="M29" s="917" t="s">
        <v>76</v>
      </c>
      <c r="N29" s="22" t="s">
        <v>666</v>
      </c>
    </row>
    <row r="30" spans="1:14" x14ac:dyDescent="0.25">
      <c r="A30" s="556" t="s">
        <v>268</v>
      </c>
      <c r="B30" s="556" t="s">
        <v>12</v>
      </c>
      <c r="C30" s="557">
        <v>38548</v>
      </c>
      <c r="D30" s="558">
        <v>38641</v>
      </c>
      <c r="E30" s="667">
        <v>2000</v>
      </c>
      <c r="F30" s="667"/>
      <c r="G30" s="682">
        <v>1070</v>
      </c>
      <c r="H30" s="877"/>
      <c r="I30" s="497">
        <v>1080</v>
      </c>
      <c r="J30" s="910"/>
      <c r="K30" s="682">
        <v>1694</v>
      </c>
      <c r="L30" s="865">
        <f t="shared" si="0"/>
        <v>3844</v>
      </c>
      <c r="M30" s="918">
        <v>41050</v>
      </c>
      <c r="N30" s="657" t="s">
        <v>666</v>
      </c>
    </row>
    <row r="31" spans="1:14" x14ac:dyDescent="0.25">
      <c r="A31" s="717" t="s">
        <v>1085</v>
      </c>
      <c r="B31" s="556" t="s">
        <v>796</v>
      </c>
      <c r="C31" s="719">
        <v>40471</v>
      </c>
      <c r="D31" s="720">
        <v>40653</v>
      </c>
      <c r="E31" s="726">
        <v>9000</v>
      </c>
      <c r="F31" s="726"/>
      <c r="G31" s="902">
        <v>6000</v>
      </c>
      <c r="H31" s="754"/>
      <c r="I31" s="497">
        <v>1800</v>
      </c>
      <c r="J31" s="909"/>
      <c r="K31" s="902"/>
      <c r="L31" s="865">
        <f t="shared" si="0"/>
        <v>7800</v>
      </c>
      <c r="M31" s="725">
        <v>40568</v>
      </c>
      <c r="N31" s="899" t="s">
        <v>666</v>
      </c>
    </row>
    <row r="32" spans="1:14" x14ac:dyDescent="0.25">
      <c r="A32" s="188" t="s">
        <v>1082</v>
      </c>
      <c r="B32" s="188" t="s">
        <v>1027</v>
      </c>
      <c r="C32" s="189">
        <v>41039</v>
      </c>
      <c r="D32" s="217">
        <v>41223</v>
      </c>
      <c r="E32" s="190">
        <v>30000</v>
      </c>
      <c r="F32" s="724"/>
      <c r="G32" s="219">
        <v>30000</v>
      </c>
      <c r="H32" s="218"/>
      <c r="I32" s="192">
        <v>1500</v>
      </c>
      <c r="J32" s="911"/>
      <c r="K32" s="913"/>
      <c r="L32" s="865">
        <f t="shared" si="0"/>
        <v>31500</v>
      </c>
      <c r="M32" s="919" t="s">
        <v>785</v>
      </c>
      <c r="N32" s="508" t="s">
        <v>666</v>
      </c>
    </row>
    <row r="33" spans="1:14" x14ac:dyDescent="0.25">
      <c r="A33" s="717" t="s">
        <v>1108</v>
      </c>
      <c r="B33" s="556" t="s">
        <v>870</v>
      </c>
      <c r="C33" s="719">
        <v>37412</v>
      </c>
      <c r="D33" s="720">
        <v>37711</v>
      </c>
      <c r="E33" s="730">
        <v>3000</v>
      </c>
      <c r="F33" s="730"/>
      <c r="G33" s="900">
        <v>2400</v>
      </c>
      <c r="H33" s="756"/>
      <c r="I33" s="497">
        <v>1200</v>
      </c>
      <c r="J33" s="909"/>
      <c r="K33" s="900"/>
      <c r="L33" s="865">
        <f t="shared" si="0"/>
        <v>3600</v>
      </c>
      <c r="M33" s="725">
        <v>38390</v>
      </c>
      <c r="N33" s="22" t="s">
        <v>666</v>
      </c>
    </row>
    <row r="34" spans="1:14" x14ac:dyDescent="0.25">
      <c r="A34" s="717" t="s">
        <v>1109</v>
      </c>
      <c r="B34" s="556" t="s">
        <v>398</v>
      </c>
      <c r="C34" s="719">
        <v>37539</v>
      </c>
      <c r="D34" s="720">
        <v>37562</v>
      </c>
      <c r="E34" s="734">
        <v>2000</v>
      </c>
      <c r="F34" s="734"/>
      <c r="G34" s="903">
        <v>1769</v>
      </c>
      <c r="H34" s="755"/>
      <c r="I34" s="497">
        <v>1216</v>
      </c>
      <c r="J34" s="909"/>
      <c r="K34" s="903">
        <v>918</v>
      </c>
      <c r="L34" s="865">
        <f t="shared" si="0"/>
        <v>3903</v>
      </c>
      <c r="M34" s="725">
        <v>38533</v>
      </c>
      <c r="N34" s="22" t="s">
        <v>666</v>
      </c>
    </row>
    <row r="35" spans="1:14" ht="15.75" thickBot="1" x14ac:dyDescent="0.3">
      <c r="A35" s="717" t="s">
        <v>1110</v>
      </c>
      <c r="B35" s="556" t="s">
        <v>1111</v>
      </c>
      <c r="C35" s="719">
        <v>38495</v>
      </c>
      <c r="D35" s="720">
        <v>38619</v>
      </c>
      <c r="E35" s="721">
        <v>4000</v>
      </c>
      <c r="F35" s="721"/>
      <c r="G35" s="908">
        <v>3350</v>
      </c>
      <c r="H35" s="753"/>
      <c r="I35" s="497">
        <v>3921</v>
      </c>
      <c r="J35" s="909"/>
      <c r="K35" s="901">
        <v>1352</v>
      </c>
      <c r="L35" s="921">
        <f t="shared" si="0"/>
        <v>8623</v>
      </c>
      <c r="M35" s="725">
        <v>38771</v>
      </c>
      <c r="N35" s="22" t="s">
        <v>666</v>
      </c>
    </row>
    <row r="36" spans="1:14" ht="15.75" thickBot="1" x14ac:dyDescent="0.3">
      <c r="A36" s="751" t="s">
        <v>1112</v>
      </c>
      <c r="B36" s="589" t="s">
        <v>1113</v>
      </c>
      <c r="C36" s="752">
        <v>39850</v>
      </c>
      <c r="D36" s="926">
        <v>40092</v>
      </c>
      <c r="E36" s="927">
        <v>8000</v>
      </c>
      <c r="F36" s="927"/>
      <c r="G36" s="915">
        <v>4888</v>
      </c>
      <c r="H36" s="928"/>
      <c r="I36" s="500">
        <v>410</v>
      </c>
      <c r="J36" s="929"/>
      <c r="K36" s="914"/>
      <c r="L36" s="931">
        <f t="shared" si="0"/>
        <v>5298</v>
      </c>
      <c r="M36" s="930">
        <v>40088</v>
      </c>
      <c r="N36" s="22" t="s">
        <v>666</v>
      </c>
    </row>
    <row r="37" spans="1:14" ht="15.75" thickBot="1" x14ac:dyDescent="0.3">
      <c r="A37" s="951" t="s">
        <v>1136</v>
      </c>
      <c r="E37" s="922">
        <f>SUM(E5:E36)</f>
        <v>344820</v>
      </c>
      <c r="F37" s="923"/>
      <c r="G37" s="924">
        <f>SUM(G5:G36)</f>
        <v>247421</v>
      </c>
      <c r="H37" s="924"/>
      <c r="I37" s="924">
        <f>SUM(I5:I36)</f>
        <v>164425</v>
      </c>
      <c r="J37" s="924"/>
      <c r="K37" s="924">
        <f>SUM(K5:K36)</f>
        <v>53149</v>
      </c>
      <c r="L37" s="925">
        <f>SUM(L5:L36)</f>
        <v>464995</v>
      </c>
    </row>
  </sheetData>
  <sortState ref="A5:N34">
    <sortCondition ref="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37"/>
  <sheetViews>
    <sheetView topLeftCell="C80" workbookViewId="0">
      <selection activeCell="A66" sqref="A66:N99"/>
    </sheetView>
  </sheetViews>
  <sheetFormatPr defaultRowHeight="15" x14ac:dyDescent="0.25"/>
  <cols>
    <col min="1" max="1" width="17.5703125" customWidth="1"/>
    <col min="2" max="2" width="15.5703125" customWidth="1"/>
    <col min="3" max="3" width="7.85546875" customWidth="1"/>
    <col min="4" max="4" width="7.5703125" customWidth="1"/>
    <col min="5" max="5" width="12.7109375" customWidth="1"/>
    <col min="6" max="6" width="11.28515625" bestFit="1" customWidth="1"/>
    <col min="7" max="7" width="12.85546875" customWidth="1"/>
    <col min="8" max="9" width="11" customWidth="1"/>
    <col min="10" max="10" width="9.7109375" customWidth="1"/>
    <col min="11" max="11" width="11" customWidth="1"/>
    <col min="12" max="12" width="12.28515625" customWidth="1"/>
    <col min="13" max="13" width="12.7109375" customWidth="1"/>
    <col min="14" max="14" width="10.140625" customWidth="1"/>
  </cols>
  <sheetData>
    <row r="1" spans="1:15" x14ac:dyDescent="0.25">
      <c r="A1" s="1340" t="s">
        <v>87</v>
      </c>
      <c r="B1" s="1340"/>
      <c r="C1" s="1340"/>
      <c r="D1" s="1340"/>
      <c r="E1" s="1340"/>
      <c r="F1" s="1340"/>
      <c r="G1" s="1340"/>
      <c r="H1" s="1340"/>
      <c r="I1" s="1340"/>
      <c r="J1" s="1340"/>
      <c r="K1" s="1340"/>
      <c r="L1" s="1340"/>
      <c r="M1" s="1340"/>
      <c r="N1" s="1340"/>
    </row>
    <row r="2" spans="1:15" x14ac:dyDescent="0.25">
      <c r="A2" s="1341" t="s">
        <v>1863</v>
      </c>
      <c r="B2" s="1341"/>
      <c r="C2" s="1341"/>
      <c r="D2" s="1341"/>
      <c r="E2" s="1341"/>
      <c r="F2" s="1341"/>
      <c r="G2" s="1341"/>
      <c r="H2" s="1341"/>
      <c r="I2" s="1341"/>
      <c r="J2" s="1341"/>
      <c r="K2" s="1341"/>
      <c r="L2" s="1341"/>
      <c r="M2" s="1341"/>
      <c r="N2" s="1341"/>
    </row>
    <row r="3" spans="1:15" x14ac:dyDescent="0.25">
      <c r="A3" s="1130"/>
      <c r="B3" s="1130"/>
      <c r="C3" s="1130"/>
      <c r="D3" s="1130"/>
      <c r="E3" s="1130"/>
      <c r="F3" s="1130"/>
      <c r="G3" s="1130"/>
      <c r="H3" s="1130"/>
      <c r="I3" s="1130"/>
      <c r="J3" s="1130"/>
      <c r="K3" s="1130"/>
      <c r="L3" s="1130"/>
      <c r="M3" s="1130"/>
      <c r="N3" s="1129"/>
    </row>
    <row r="4" spans="1:15" ht="15.75" thickBot="1" x14ac:dyDescent="0.3">
      <c r="A4" s="177" t="s">
        <v>1862</v>
      </c>
      <c r="B4" s="177"/>
      <c r="C4" s="177" t="s">
        <v>1383</v>
      </c>
      <c r="D4" s="177"/>
      <c r="E4" s="1069"/>
      <c r="F4" s="177"/>
      <c r="G4" s="177"/>
      <c r="H4" s="177"/>
      <c r="I4" s="177"/>
      <c r="J4" s="177"/>
      <c r="K4" s="177"/>
      <c r="L4" s="177"/>
      <c r="M4" s="177"/>
      <c r="N4" s="1128"/>
    </row>
    <row r="5" spans="1:15" ht="15.75" thickBot="1" x14ac:dyDescent="0.3">
      <c r="A5" s="1342" t="s">
        <v>2</v>
      </c>
      <c r="B5" s="1342" t="s">
        <v>3</v>
      </c>
      <c r="C5" s="1342" t="s">
        <v>139</v>
      </c>
      <c r="D5" s="1345" t="s">
        <v>92</v>
      </c>
      <c r="E5" s="1181"/>
      <c r="F5" s="1050"/>
      <c r="G5" s="1348" t="s">
        <v>1581</v>
      </c>
      <c r="H5" s="1348"/>
      <c r="I5" s="1348"/>
      <c r="J5" s="1348"/>
      <c r="K5" s="1348"/>
      <c r="L5" s="1348"/>
      <c r="M5" s="1349"/>
      <c r="N5" s="1051"/>
    </row>
    <row r="6" spans="1:15" ht="15.75" thickBot="1" x14ac:dyDescent="0.3">
      <c r="A6" s="1343"/>
      <c r="B6" s="1343"/>
      <c r="C6" s="1343"/>
      <c r="D6" s="1346"/>
      <c r="E6" s="1182" t="s">
        <v>406</v>
      </c>
      <c r="F6" s="1053" t="s">
        <v>454</v>
      </c>
      <c r="G6" s="1054" t="s">
        <v>6</v>
      </c>
      <c r="H6" s="1055" t="s">
        <v>455</v>
      </c>
      <c r="I6" s="1056" t="s">
        <v>19</v>
      </c>
      <c r="J6" s="1057" t="s">
        <v>456</v>
      </c>
      <c r="K6" s="1054" t="s">
        <v>80</v>
      </c>
      <c r="L6" s="1057" t="s">
        <v>457</v>
      </c>
      <c r="M6" s="1063" t="s">
        <v>400</v>
      </c>
      <c r="N6" s="1273" t="s">
        <v>79</v>
      </c>
    </row>
    <row r="7" spans="1:15" ht="15.75" thickBot="1" x14ac:dyDescent="0.3">
      <c r="A7" s="1344"/>
      <c r="B7" s="1344"/>
      <c r="C7" s="1344"/>
      <c r="D7" s="1347"/>
      <c r="E7" s="1183"/>
      <c r="F7" s="1061" t="s">
        <v>438</v>
      </c>
      <c r="G7" s="1062"/>
      <c r="H7" s="1063" t="s">
        <v>438</v>
      </c>
      <c r="I7" s="1064"/>
      <c r="J7" s="1065" t="s">
        <v>438</v>
      </c>
      <c r="K7" s="1065"/>
      <c r="L7" s="1065" t="s">
        <v>452</v>
      </c>
      <c r="M7" s="1054"/>
      <c r="N7" s="1067"/>
    </row>
    <row r="8" spans="1:15" x14ac:dyDescent="0.25">
      <c r="A8" s="298" t="s">
        <v>1625</v>
      </c>
      <c r="B8" s="298" t="s">
        <v>882</v>
      </c>
      <c r="C8" s="1218">
        <v>42304</v>
      </c>
      <c r="D8" s="299">
        <v>42243</v>
      </c>
      <c r="E8" s="1253">
        <v>10000</v>
      </c>
      <c r="F8" s="1254">
        <v>3000</v>
      </c>
      <c r="G8" s="1255">
        <v>7000</v>
      </c>
      <c r="H8" s="1254">
        <v>1000</v>
      </c>
      <c r="I8" s="1255">
        <v>1525</v>
      </c>
      <c r="J8" s="1256"/>
      <c r="K8" s="1257">
        <v>426</v>
      </c>
      <c r="L8" s="1258">
        <f t="shared" ref="L8:L9" si="0">F8+H8+J8</f>
        <v>4000</v>
      </c>
      <c r="M8" s="1259">
        <f t="shared" ref="M8" si="1">G8+I8+K8</f>
        <v>8951</v>
      </c>
      <c r="N8" s="1260">
        <v>42226</v>
      </c>
      <c r="O8" t="s">
        <v>666</v>
      </c>
    </row>
    <row r="9" spans="1:15" x14ac:dyDescent="0.25">
      <c r="A9" s="298" t="s">
        <v>1299</v>
      </c>
      <c r="B9" s="298" t="s">
        <v>1848</v>
      </c>
      <c r="C9" s="1218">
        <v>41825</v>
      </c>
      <c r="D9" s="1218">
        <v>42129</v>
      </c>
      <c r="E9" s="1255">
        <v>32000</v>
      </c>
      <c r="F9" s="1254"/>
      <c r="G9" s="1255">
        <v>32000</v>
      </c>
      <c r="H9" s="1254"/>
      <c r="I9" s="1255">
        <v>20800</v>
      </c>
      <c r="J9" s="1256"/>
      <c r="K9" s="1257">
        <v>3120</v>
      </c>
      <c r="L9" s="1258">
        <f t="shared" si="0"/>
        <v>0</v>
      </c>
      <c r="M9" s="1259">
        <f>G9+I9+K9</f>
        <v>55920</v>
      </c>
      <c r="N9" s="1260" t="s">
        <v>76</v>
      </c>
      <c r="O9" t="s">
        <v>666</v>
      </c>
    </row>
    <row r="10" spans="1:15" x14ac:dyDescent="0.25">
      <c r="A10" s="298" t="s">
        <v>993</v>
      </c>
      <c r="B10" s="298" t="s">
        <v>925</v>
      </c>
      <c r="C10" s="1218">
        <v>42037</v>
      </c>
      <c r="D10" s="1234">
        <v>42220</v>
      </c>
      <c r="E10" s="1261">
        <v>33000</v>
      </c>
      <c r="F10" s="1262">
        <v>50</v>
      </c>
      <c r="G10" s="1263">
        <v>25250</v>
      </c>
      <c r="H10" s="1264">
        <v>3950</v>
      </c>
      <c r="I10" s="1263">
        <v>1650</v>
      </c>
      <c r="J10" s="1265"/>
      <c r="K10" s="1257">
        <v>1345</v>
      </c>
      <c r="L10" s="1258">
        <f>F10+H10+J10</f>
        <v>4000</v>
      </c>
      <c r="M10" s="1259">
        <f>G10+I10+K10</f>
        <v>28245</v>
      </c>
      <c r="N10" s="1260">
        <v>42186</v>
      </c>
      <c r="O10" t="s">
        <v>666</v>
      </c>
    </row>
    <row r="11" spans="1:15" x14ac:dyDescent="0.25">
      <c r="A11" s="298" t="s">
        <v>1721</v>
      </c>
      <c r="B11" s="298" t="s">
        <v>1298</v>
      </c>
      <c r="C11" s="1218">
        <v>42206</v>
      </c>
      <c r="D11" s="1266">
        <v>42237</v>
      </c>
      <c r="E11" s="1261">
        <v>15000</v>
      </c>
      <c r="F11" s="1262"/>
      <c r="G11" s="1263">
        <v>15000</v>
      </c>
      <c r="H11" s="1264"/>
      <c r="I11" s="1263">
        <v>750</v>
      </c>
      <c r="J11" s="1265"/>
      <c r="K11" s="1257">
        <v>787</v>
      </c>
      <c r="L11" s="1258">
        <f t="shared" ref="L11:L18" si="2">F11+H11+J11</f>
        <v>0</v>
      </c>
      <c r="M11" s="1259">
        <f t="shared" ref="M11:M18" si="3">G11+I11+K11</f>
        <v>16537</v>
      </c>
      <c r="N11" s="1260" t="s">
        <v>76</v>
      </c>
      <c r="O11" t="s">
        <v>666</v>
      </c>
    </row>
    <row r="12" spans="1:15" x14ac:dyDescent="0.25">
      <c r="A12" s="298" t="s">
        <v>1733</v>
      </c>
      <c r="B12" s="298" t="s">
        <v>1164</v>
      </c>
      <c r="C12" s="1218">
        <v>42044</v>
      </c>
      <c r="D12" s="1266">
        <v>42225</v>
      </c>
      <c r="E12" s="1261">
        <v>5000</v>
      </c>
      <c r="F12" s="1262"/>
      <c r="G12" s="1263">
        <v>5000</v>
      </c>
      <c r="H12" s="1264"/>
      <c r="I12" s="1263">
        <v>1250</v>
      </c>
      <c r="J12" s="1265"/>
      <c r="K12" s="1257">
        <v>312</v>
      </c>
      <c r="L12" s="1258">
        <f t="shared" ref="L12:L13" si="4">F12+H12+J12</f>
        <v>0</v>
      </c>
      <c r="M12" s="1259">
        <f t="shared" ref="M12:M13" si="5">G12+I12+K12</f>
        <v>6562</v>
      </c>
      <c r="N12" s="1260" t="s">
        <v>1849</v>
      </c>
      <c r="O12" t="s">
        <v>666</v>
      </c>
    </row>
    <row r="13" spans="1:15" x14ac:dyDescent="0.25">
      <c r="A13" s="298" t="s">
        <v>1850</v>
      </c>
      <c r="B13" s="298" t="s">
        <v>945</v>
      </c>
      <c r="C13" s="1218">
        <v>41827</v>
      </c>
      <c r="D13" s="1266">
        <v>42011</v>
      </c>
      <c r="E13" s="1261">
        <v>5000</v>
      </c>
      <c r="F13" s="1262">
        <v>105</v>
      </c>
      <c r="G13" s="1263">
        <v>1563</v>
      </c>
      <c r="H13" s="1264"/>
      <c r="I13" s="1263">
        <v>156</v>
      </c>
      <c r="J13" s="1265"/>
      <c r="K13" s="1257">
        <v>85</v>
      </c>
      <c r="L13" s="1258">
        <f t="shared" si="4"/>
        <v>105</v>
      </c>
      <c r="M13" s="1259">
        <f t="shared" si="5"/>
        <v>1804</v>
      </c>
      <c r="N13" s="1260">
        <v>42181</v>
      </c>
      <c r="O13" t="s">
        <v>666</v>
      </c>
    </row>
    <row r="14" spans="1:15" x14ac:dyDescent="0.25">
      <c r="A14" s="298" t="s">
        <v>1596</v>
      </c>
      <c r="B14" s="298" t="s">
        <v>672</v>
      </c>
      <c r="C14" s="1218">
        <v>42058</v>
      </c>
      <c r="D14" s="1266">
        <v>42178</v>
      </c>
      <c r="E14" s="1261">
        <v>20000</v>
      </c>
      <c r="F14" s="1262">
        <v>1480</v>
      </c>
      <c r="G14" s="1263">
        <v>12670</v>
      </c>
      <c r="H14" s="1264">
        <v>420</v>
      </c>
      <c r="I14" s="1263">
        <v>3409</v>
      </c>
      <c r="J14" s="1265"/>
      <c r="K14" s="1257">
        <v>1010</v>
      </c>
      <c r="L14" s="1258">
        <f t="shared" si="2"/>
        <v>1900</v>
      </c>
      <c r="M14" s="1259">
        <f t="shared" si="3"/>
        <v>17089</v>
      </c>
      <c r="N14" s="1260">
        <v>42240</v>
      </c>
      <c r="O14" t="s">
        <v>666</v>
      </c>
    </row>
    <row r="15" spans="1:15" x14ac:dyDescent="0.25">
      <c r="A15" s="298" t="s">
        <v>1476</v>
      </c>
      <c r="B15" s="298" t="s">
        <v>532</v>
      </c>
      <c r="C15" s="1218">
        <v>41732</v>
      </c>
      <c r="D15" s="1218">
        <v>42038</v>
      </c>
      <c r="E15" s="1255">
        <v>12000</v>
      </c>
      <c r="F15" s="1254">
        <v>1000</v>
      </c>
      <c r="G15" s="1255">
        <v>11000</v>
      </c>
      <c r="H15" s="1254">
        <v>1000</v>
      </c>
      <c r="I15" s="1255">
        <v>1900</v>
      </c>
      <c r="J15" s="1256">
        <v>500</v>
      </c>
      <c r="K15" s="1257">
        <v>645</v>
      </c>
      <c r="L15" s="1258">
        <f t="shared" si="2"/>
        <v>2500</v>
      </c>
      <c r="M15" s="1259">
        <f t="shared" si="3"/>
        <v>13545</v>
      </c>
      <c r="N15" s="1260">
        <v>42198</v>
      </c>
      <c r="O15" t="s">
        <v>666</v>
      </c>
    </row>
    <row r="16" spans="1:15" x14ac:dyDescent="0.25">
      <c r="A16" s="298" t="s">
        <v>1492</v>
      </c>
      <c r="B16" s="298" t="s">
        <v>1493</v>
      </c>
      <c r="C16" s="1218">
        <v>41808</v>
      </c>
      <c r="D16" s="1266">
        <v>42112</v>
      </c>
      <c r="E16" s="1261">
        <v>32000</v>
      </c>
      <c r="F16" s="1262">
        <v>2000</v>
      </c>
      <c r="G16" s="1263">
        <v>30000</v>
      </c>
      <c r="H16" s="1264">
        <v>1000</v>
      </c>
      <c r="I16" s="1263">
        <v>6900</v>
      </c>
      <c r="J16" s="1265"/>
      <c r="K16" s="1257">
        <v>1845</v>
      </c>
      <c r="L16" s="1258">
        <f t="shared" si="2"/>
        <v>3000</v>
      </c>
      <c r="M16" s="1259">
        <f t="shared" si="3"/>
        <v>38745</v>
      </c>
      <c r="N16" s="1260">
        <v>42179</v>
      </c>
      <c r="O16" t="s">
        <v>666</v>
      </c>
    </row>
    <row r="17" spans="1:15" x14ac:dyDescent="0.25">
      <c r="A17" s="298" t="s">
        <v>1176</v>
      </c>
      <c r="B17" s="298" t="s">
        <v>1177</v>
      </c>
      <c r="C17" s="1218">
        <v>41837</v>
      </c>
      <c r="D17" s="1218">
        <v>42141</v>
      </c>
      <c r="E17" s="1255">
        <v>9000</v>
      </c>
      <c r="F17" s="1254">
        <v>320</v>
      </c>
      <c r="G17" s="1255">
        <v>5000</v>
      </c>
      <c r="H17" s="1254">
        <v>100</v>
      </c>
      <c r="I17" s="1255">
        <v>4268</v>
      </c>
      <c r="J17" s="1256"/>
      <c r="K17" s="1257">
        <v>682</v>
      </c>
      <c r="L17" s="1258">
        <f t="shared" si="2"/>
        <v>420</v>
      </c>
      <c r="M17" s="1259">
        <f t="shared" si="3"/>
        <v>9950</v>
      </c>
      <c r="N17" s="1260">
        <v>42233</v>
      </c>
      <c r="O17" t="s">
        <v>666</v>
      </c>
    </row>
    <row r="18" spans="1:15" x14ac:dyDescent="0.25">
      <c r="A18" s="298" t="s">
        <v>1394</v>
      </c>
      <c r="B18" s="298" t="s">
        <v>511</v>
      </c>
      <c r="C18" s="1218">
        <v>41897</v>
      </c>
      <c r="D18" s="1266">
        <v>42200</v>
      </c>
      <c r="E18" s="1261">
        <v>10000</v>
      </c>
      <c r="F18" s="1262"/>
      <c r="G18" s="1263">
        <v>4800</v>
      </c>
      <c r="H18" s="1264">
        <v>1300</v>
      </c>
      <c r="I18" s="1263">
        <v>940</v>
      </c>
      <c r="J18" s="1265">
        <v>200</v>
      </c>
      <c r="K18" s="1257">
        <v>287</v>
      </c>
      <c r="L18" s="1258">
        <f t="shared" si="2"/>
        <v>1500</v>
      </c>
      <c r="M18" s="1259">
        <f t="shared" si="3"/>
        <v>6027</v>
      </c>
      <c r="N18" s="1260">
        <v>42188</v>
      </c>
      <c r="O18" t="s">
        <v>666</v>
      </c>
    </row>
    <row r="19" spans="1:15" x14ac:dyDescent="0.25">
      <c r="A19" s="298" t="s">
        <v>1160</v>
      </c>
      <c r="B19" s="298" t="s">
        <v>512</v>
      </c>
      <c r="C19" s="1218">
        <v>41695</v>
      </c>
      <c r="D19" s="299">
        <v>42029</v>
      </c>
      <c r="E19" s="1255">
        <v>6500</v>
      </c>
      <c r="F19" s="1254"/>
      <c r="G19" s="1255">
        <v>6500</v>
      </c>
      <c r="H19" s="1254"/>
      <c r="I19" s="1255">
        <v>5200</v>
      </c>
      <c r="J19" s="1256"/>
      <c r="K19" s="1267">
        <v>1072</v>
      </c>
      <c r="L19" s="1258">
        <f>F19+H19+J19</f>
        <v>0</v>
      </c>
      <c r="M19" s="1259">
        <f>G19+I19+K19</f>
        <v>12772</v>
      </c>
      <c r="N19" s="1260" t="s">
        <v>76</v>
      </c>
      <c r="O19" t="s">
        <v>666</v>
      </c>
    </row>
    <row r="20" spans="1:15" x14ac:dyDescent="0.25">
      <c r="A20" s="298" t="s">
        <v>923</v>
      </c>
      <c r="B20" s="298" t="s">
        <v>461</v>
      </c>
      <c r="C20" s="1218">
        <v>42010</v>
      </c>
      <c r="D20" s="299">
        <v>42222</v>
      </c>
      <c r="E20" s="1255">
        <v>7000</v>
      </c>
      <c r="F20" s="1254">
        <v>2010</v>
      </c>
      <c r="G20" s="1255">
        <v>1455</v>
      </c>
      <c r="H20" s="1254">
        <v>240</v>
      </c>
      <c r="I20" s="1255"/>
      <c r="J20" s="1256"/>
      <c r="K20" s="1257">
        <v>72</v>
      </c>
      <c r="L20" s="1258">
        <f t="shared" ref="L20:L24" si="6">F20+H20+J20</f>
        <v>2250</v>
      </c>
      <c r="M20" s="1259">
        <f t="shared" ref="M20:M24" si="7">G20+I20+K20</f>
        <v>1527</v>
      </c>
      <c r="N20" s="1260">
        <v>42210</v>
      </c>
      <c r="O20" t="s">
        <v>666</v>
      </c>
    </row>
    <row r="21" spans="1:15" x14ac:dyDescent="0.25">
      <c r="A21" s="298" t="s">
        <v>1256</v>
      </c>
      <c r="B21" s="298" t="s">
        <v>669</v>
      </c>
      <c r="C21" s="1218">
        <v>42151</v>
      </c>
      <c r="D21" s="299">
        <v>42243</v>
      </c>
      <c r="E21" s="1255">
        <v>20000</v>
      </c>
      <c r="F21" s="1254"/>
      <c r="G21" s="1255">
        <v>20000</v>
      </c>
      <c r="H21" s="1254"/>
      <c r="I21" s="1255">
        <v>1000</v>
      </c>
      <c r="J21" s="1256"/>
      <c r="K21" s="1257"/>
      <c r="L21" s="1258">
        <f t="shared" si="6"/>
        <v>0</v>
      </c>
      <c r="M21" s="1259">
        <f t="shared" si="7"/>
        <v>21000</v>
      </c>
      <c r="N21" s="1260" t="s">
        <v>854</v>
      </c>
      <c r="O21" t="s">
        <v>666</v>
      </c>
    </row>
    <row r="22" spans="1:15" x14ac:dyDescent="0.25">
      <c r="A22" s="298" t="s">
        <v>1610</v>
      </c>
      <c r="B22" s="298" t="s">
        <v>865</v>
      </c>
      <c r="C22" s="1218">
        <v>42012</v>
      </c>
      <c r="D22" s="299">
        <v>42224</v>
      </c>
      <c r="E22" s="1255">
        <v>8000</v>
      </c>
      <c r="F22" s="1254"/>
      <c r="G22" s="1255">
        <v>7183</v>
      </c>
      <c r="H22" s="1254">
        <v>1638</v>
      </c>
      <c r="I22" s="1255">
        <v>762</v>
      </c>
      <c r="J22" s="1256">
        <v>362</v>
      </c>
      <c r="K22" s="1257">
        <v>397</v>
      </c>
      <c r="L22" s="1258">
        <f t="shared" si="6"/>
        <v>2000</v>
      </c>
      <c r="M22" s="1259">
        <f t="shared" si="7"/>
        <v>8342</v>
      </c>
      <c r="N22" s="1260">
        <v>42217</v>
      </c>
      <c r="O22" t="s">
        <v>666</v>
      </c>
    </row>
    <row r="23" spans="1:15" x14ac:dyDescent="0.25">
      <c r="A23" s="298" t="s">
        <v>1356</v>
      </c>
      <c r="B23" s="298" t="s">
        <v>1357</v>
      </c>
      <c r="C23" s="1218">
        <v>41928</v>
      </c>
      <c r="D23" s="299">
        <v>42232</v>
      </c>
      <c r="E23" s="1255">
        <v>10000</v>
      </c>
      <c r="F23" s="1254"/>
      <c r="G23" s="1255">
        <v>10000</v>
      </c>
      <c r="H23" s="1254">
        <v>800</v>
      </c>
      <c r="I23" s="1255">
        <v>4200</v>
      </c>
      <c r="J23" s="1256">
        <v>200</v>
      </c>
      <c r="K23" s="1257">
        <v>710</v>
      </c>
      <c r="L23" s="1258">
        <f t="shared" si="6"/>
        <v>1000</v>
      </c>
      <c r="M23" s="1259">
        <f t="shared" si="7"/>
        <v>14910</v>
      </c>
      <c r="N23" s="1260">
        <v>42210</v>
      </c>
      <c r="O23" t="s">
        <v>666</v>
      </c>
    </row>
    <row r="24" spans="1:15" x14ac:dyDescent="0.25">
      <c r="A24" s="298" t="s">
        <v>1358</v>
      </c>
      <c r="B24" s="298" t="s">
        <v>1359</v>
      </c>
      <c r="C24" s="1218">
        <v>41883</v>
      </c>
      <c r="D24" s="299">
        <v>42064</v>
      </c>
      <c r="E24" s="1255">
        <v>8000</v>
      </c>
      <c r="F24" s="1254"/>
      <c r="G24" s="1255">
        <v>8000</v>
      </c>
      <c r="H24" s="1254">
        <v>1654</v>
      </c>
      <c r="I24" s="1255">
        <v>4346</v>
      </c>
      <c r="J24" s="1256">
        <v>346</v>
      </c>
      <c r="K24" s="1257">
        <v>617</v>
      </c>
      <c r="L24" s="1258">
        <f t="shared" si="6"/>
        <v>2000</v>
      </c>
      <c r="M24" s="1259">
        <f t="shared" si="7"/>
        <v>12963</v>
      </c>
      <c r="N24" s="1260">
        <v>42027</v>
      </c>
      <c r="O24" t="s">
        <v>666</v>
      </c>
    </row>
    <row r="25" spans="1:15" x14ac:dyDescent="0.25">
      <c r="A25" s="298" t="s">
        <v>1299</v>
      </c>
      <c r="B25" s="298" t="s">
        <v>569</v>
      </c>
      <c r="C25" s="1218">
        <v>41825</v>
      </c>
      <c r="D25" s="299">
        <v>42129</v>
      </c>
      <c r="E25" s="1255">
        <v>32000</v>
      </c>
      <c r="F25" s="1254"/>
      <c r="G25" s="1255">
        <v>32000</v>
      </c>
      <c r="H25" s="1254"/>
      <c r="I25" s="1255">
        <v>16000</v>
      </c>
      <c r="J25" s="1256"/>
      <c r="K25" s="1267">
        <v>3344</v>
      </c>
      <c r="L25" s="1258">
        <f>F25+H25+J25</f>
        <v>0</v>
      </c>
      <c r="M25" s="1259">
        <f>G25+I25+K25</f>
        <v>51344</v>
      </c>
      <c r="N25" s="1260" t="s">
        <v>76</v>
      </c>
      <c r="O25" t="s">
        <v>666</v>
      </c>
    </row>
    <row r="26" spans="1:15" x14ac:dyDescent="0.25">
      <c r="A26" s="298" t="s">
        <v>928</v>
      </c>
      <c r="B26" s="298" t="s">
        <v>929</v>
      </c>
      <c r="C26" s="1218">
        <v>41813</v>
      </c>
      <c r="D26" s="299">
        <v>42117</v>
      </c>
      <c r="E26" s="1255"/>
      <c r="F26" s="1254"/>
      <c r="G26" s="1255"/>
      <c r="H26" s="1254"/>
      <c r="I26" s="1255"/>
      <c r="J26" s="1256"/>
      <c r="K26" s="1257"/>
      <c r="L26" s="1258">
        <f t="shared" ref="L26:L28" si="8">F26+H26+J26</f>
        <v>0</v>
      </c>
      <c r="M26" s="1259">
        <f t="shared" ref="M26:M28" si="9">G26+I26+K26</f>
        <v>0</v>
      </c>
      <c r="N26" s="1260" t="s">
        <v>885</v>
      </c>
    </row>
    <row r="27" spans="1:15" x14ac:dyDescent="0.25">
      <c r="A27" s="298" t="s">
        <v>1509</v>
      </c>
      <c r="B27" s="298" t="s">
        <v>1478</v>
      </c>
      <c r="C27" s="1218">
        <v>41873</v>
      </c>
      <c r="D27" s="299">
        <v>42177</v>
      </c>
      <c r="E27" s="1255">
        <v>9000</v>
      </c>
      <c r="F27" s="1254">
        <v>1072</v>
      </c>
      <c r="G27" s="1255">
        <v>4828</v>
      </c>
      <c r="H27" s="1254">
        <v>1570</v>
      </c>
      <c r="I27" s="1255">
        <v>241</v>
      </c>
      <c r="J27" s="1256">
        <v>358</v>
      </c>
      <c r="K27" s="1257">
        <v>253</v>
      </c>
      <c r="L27" s="1258">
        <f t="shared" si="8"/>
        <v>3000</v>
      </c>
      <c r="M27" s="1259">
        <f t="shared" si="9"/>
        <v>5322</v>
      </c>
      <c r="N27" s="1260">
        <v>42191</v>
      </c>
      <c r="O27" t="s">
        <v>666</v>
      </c>
    </row>
    <row r="28" spans="1:15" x14ac:dyDescent="0.25">
      <c r="A28" s="298" t="s">
        <v>930</v>
      </c>
      <c r="B28" s="298" t="s">
        <v>931</v>
      </c>
      <c r="C28" s="1218">
        <v>41905</v>
      </c>
      <c r="D28" s="299">
        <v>42147</v>
      </c>
      <c r="E28" s="1255">
        <v>5000</v>
      </c>
      <c r="F28" s="1254">
        <v>50</v>
      </c>
      <c r="G28" s="1255">
        <v>2950</v>
      </c>
      <c r="H28" s="1254">
        <v>400</v>
      </c>
      <c r="I28" s="1255">
        <v>1397</v>
      </c>
      <c r="J28" s="1256"/>
      <c r="K28" s="1257">
        <v>217</v>
      </c>
      <c r="L28" s="1258">
        <f t="shared" si="8"/>
        <v>450</v>
      </c>
      <c r="M28" s="1259">
        <f t="shared" si="9"/>
        <v>4564</v>
      </c>
      <c r="N28" s="1260">
        <v>42185</v>
      </c>
      <c r="O28" t="s">
        <v>666</v>
      </c>
    </row>
    <row r="29" spans="1:15" x14ac:dyDescent="0.25">
      <c r="A29" s="298" t="s">
        <v>1511</v>
      </c>
      <c r="B29" s="298" t="s">
        <v>1512</v>
      </c>
      <c r="C29" s="1218">
        <v>42030</v>
      </c>
      <c r="D29" s="299">
        <v>42211</v>
      </c>
      <c r="E29" s="1255">
        <v>15000</v>
      </c>
      <c r="F29" s="1254"/>
      <c r="G29" s="1255">
        <v>15000</v>
      </c>
      <c r="H29" s="1254"/>
      <c r="I29" s="1255">
        <v>3000</v>
      </c>
      <c r="J29" s="1256"/>
      <c r="K29" s="1257">
        <v>1062</v>
      </c>
      <c r="L29" s="1258">
        <f>F29+H29+J29</f>
        <v>0</v>
      </c>
      <c r="M29" s="1259">
        <f>G29+I29+K29</f>
        <v>19062</v>
      </c>
      <c r="N29" s="1260" t="s">
        <v>76</v>
      </c>
      <c r="O29" t="s">
        <v>666</v>
      </c>
    </row>
    <row r="30" spans="1:15" x14ac:dyDescent="0.25">
      <c r="A30" s="298" t="s">
        <v>1506</v>
      </c>
      <c r="B30" s="298" t="s">
        <v>1507</v>
      </c>
      <c r="C30" s="1218">
        <v>41957</v>
      </c>
      <c r="D30" s="299">
        <v>42049</v>
      </c>
      <c r="E30" s="1255">
        <v>25000</v>
      </c>
      <c r="F30" s="1254">
        <v>13635</v>
      </c>
      <c r="G30" s="1255">
        <v>1740</v>
      </c>
      <c r="H30" s="1254">
        <v>1593</v>
      </c>
      <c r="I30" s="1255">
        <v>87</v>
      </c>
      <c r="J30" s="1256">
        <v>702</v>
      </c>
      <c r="K30" s="1257">
        <v>91</v>
      </c>
      <c r="L30" s="1258">
        <f>F30+H30+J30</f>
        <v>15930</v>
      </c>
      <c r="M30" s="1259">
        <f>G30+I30+K30</f>
        <v>1918</v>
      </c>
      <c r="N30" s="1260">
        <v>42210</v>
      </c>
      <c r="O30" t="s">
        <v>666</v>
      </c>
    </row>
    <row r="31" spans="1:15" x14ac:dyDescent="0.25">
      <c r="A31" s="298" t="s">
        <v>1496</v>
      </c>
      <c r="B31" s="298" t="s">
        <v>1497</v>
      </c>
      <c r="C31" s="1218">
        <v>41921</v>
      </c>
      <c r="D31" s="299">
        <v>42225</v>
      </c>
      <c r="E31" s="1255">
        <v>20000</v>
      </c>
      <c r="F31" s="1254"/>
      <c r="G31" s="1255">
        <v>14450</v>
      </c>
      <c r="H31" s="1254">
        <v>2500</v>
      </c>
      <c r="I31" s="1255">
        <v>3500</v>
      </c>
      <c r="J31" s="1256">
        <v>500</v>
      </c>
      <c r="K31" s="1257">
        <v>922</v>
      </c>
      <c r="L31" s="1258">
        <f t="shared" ref="L31:L32" si="10">F31+H31+J31</f>
        <v>3000</v>
      </c>
      <c r="M31" s="1259">
        <f t="shared" ref="M31:M32" si="11">G31+I31+K31</f>
        <v>18872</v>
      </c>
      <c r="N31" s="1260">
        <v>42182</v>
      </c>
      <c r="O31" t="s">
        <v>666</v>
      </c>
    </row>
    <row r="32" spans="1:15" x14ac:dyDescent="0.25">
      <c r="A32" s="298" t="s">
        <v>1491</v>
      </c>
      <c r="B32" s="298" t="s">
        <v>669</v>
      </c>
      <c r="C32" s="1218">
        <v>42110</v>
      </c>
      <c r="D32" s="299">
        <v>42232</v>
      </c>
      <c r="E32" s="1255">
        <v>25000</v>
      </c>
      <c r="F32" s="1254"/>
      <c r="G32" s="1255">
        <v>25000</v>
      </c>
      <c r="H32" s="1254"/>
      <c r="I32" s="1255">
        <v>2500</v>
      </c>
      <c r="J32" s="1256"/>
      <c r="K32" s="1257"/>
      <c r="L32" s="1258">
        <f t="shared" si="10"/>
        <v>0</v>
      </c>
      <c r="M32" s="1259">
        <f t="shared" si="11"/>
        <v>27500</v>
      </c>
      <c r="N32" s="1260" t="s">
        <v>854</v>
      </c>
      <c r="O32" t="s">
        <v>666</v>
      </c>
    </row>
    <row r="33" spans="1:15" x14ac:dyDescent="0.25">
      <c r="A33" s="298" t="s">
        <v>1503</v>
      </c>
      <c r="B33" s="298" t="s">
        <v>514</v>
      </c>
      <c r="C33" s="1218">
        <v>41837</v>
      </c>
      <c r="D33" s="299">
        <v>42021</v>
      </c>
      <c r="E33" s="1255">
        <v>10000</v>
      </c>
      <c r="F33" s="1254">
        <v>464</v>
      </c>
      <c r="G33" s="1255">
        <v>7887</v>
      </c>
      <c r="H33" s="1254">
        <v>500</v>
      </c>
      <c r="I33" s="1255">
        <v>4366</v>
      </c>
      <c r="J33" s="1256">
        <v>36</v>
      </c>
      <c r="K33" s="1257">
        <v>1632</v>
      </c>
      <c r="L33" s="1258">
        <f t="shared" ref="L33:M33" si="12">F33+H33+J33</f>
        <v>1000</v>
      </c>
      <c r="M33" s="1259">
        <f t="shared" si="12"/>
        <v>13885</v>
      </c>
      <c r="N33" s="1260">
        <v>41914</v>
      </c>
      <c r="O33" t="s">
        <v>666</v>
      </c>
    </row>
    <row r="34" spans="1:15" x14ac:dyDescent="0.25">
      <c r="A34" s="298" t="s">
        <v>1637</v>
      </c>
      <c r="B34" s="298" t="s">
        <v>1192</v>
      </c>
      <c r="C34" s="1218">
        <v>41981</v>
      </c>
      <c r="D34" s="299">
        <v>42163</v>
      </c>
      <c r="E34" s="1255">
        <v>5000</v>
      </c>
      <c r="F34" s="1254">
        <v>741</v>
      </c>
      <c r="G34" s="1255">
        <v>1136</v>
      </c>
      <c r="H34" s="1254">
        <v>343</v>
      </c>
      <c r="I34" s="1255">
        <v>56</v>
      </c>
      <c r="J34" s="1256">
        <v>116</v>
      </c>
      <c r="K34" s="1257">
        <v>1192</v>
      </c>
      <c r="L34" s="1258">
        <f>F34+H34+J34</f>
        <v>1200</v>
      </c>
      <c r="M34" s="1259">
        <f>G34+I34+K34</f>
        <v>2384</v>
      </c>
      <c r="N34" s="1260">
        <v>42216</v>
      </c>
      <c r="O34" t="s">
        <v>666</v>
      </c>
    </row>
    <row r="35" spans="1:15" x14ac:dyDescent="0.25">
      <c r="A35" s="298" t="s">
        <v>1300</v>
      </c>
      <c r="B35" s="298" t="s">
        <v>865</v>
      </c>
      <c r="C35" s="1218">
        <v>41780</v>
      </c>
      <c r="D35" s="299">
        <v>42025</v>
      </c>
      <c r="E35" s="1255">
        <v>3000</v>
      </c>
      <c r="F35" s="1254">
        <v>200</v>
      </c>
      <c r="G35" s="1255">
        <v>4540</v>
      </c>
      <c r="H35" s="1254">
        <v>300</v>
      </c>
      <c r="I35" s="1255">
        <v>234</v>
      </c>
      <c r="J35" s="1256">
        <v>100</v>
      </c>
      <c r="K35" s="1257">
        <v>655</v>
      </c>
      <c r="L35" s="1258">
        <f>F35+H35+J35</f>
        <v>600</v>
      </c>
      <c r="M35" s="1259">
        <f>G35+I35+K35</f>
        <v>5429</v>
      </c>
      <c r="N35" s="1260">
        <v>42235</v>
      </c>
      <c r="O35" t="s">
        <v>666</v>
      </c>
    </row>
    <row r="36" spans="1:15" x14ac:dyDescent="0.25">
      <c r="A36" s="298" t="s">
        <v>1517</v>
      </c>
      <c r="B36" s="298" t="s">
        <v>571</v>
      </c>
      <c r="C36" s="1218">
        <v>41852</v>
      </c>
      <c r="D36" s="299">
        <v>42036</v>
      </c>
      <c r="E36" s="1255">
        <v>8000</v>
      </c>
      <c r="F36" s="1254">
        <v>1100</v>
      </c>
      <c r="G36" s="1255">
        <v>1927</v>
      </c>
      <c r="H36" s="1254">
        <v>250</v>
      </c>
      <c r="I36" s="1255">
        <v>14</v>
      </c>
      <c r="J36" s="1256">
        <v>50</v>
      </c>
      <c r="K36" s="1257">
        <v>169</v>
      </c>
      <c r="L36" s="1258">
        <f t="shared" ref="L36:L37" si="13">F36+H36+J36</f>
        <v>1400</v>
      </c>
      <c r="M36" s="1259">
        <f t="shared" ref="M36:M37" si="14">G36+I36+K36</f>
        <v>2110</v>
      </c>
      <c r="N36" s="1260">
        <v>42216</v>
      </c>
      <c r="O36" t="s">
        <v>666</v>
      </c>
    </row>
    <row r="37" spans="1:15" x14ac:dyDescent="0.25">
      <c r="A37" s="298" t="s">
        <v>787</v>
      </c>
      <c r="B37" s="298" t="s">
        <v>788</v>
      </c>
      <c r="C37" s="1218">
        <v>41902</v>
      </c>
      <c r="D37" s="299">
        <v>42205</v>
      </c>
      <c r="E37" s="1255">
        <v>26000</v>
      </c>
      <c r="F37" s="1254"/>
      <c r="G37" s="1255">
        <v>25000</v>
      </c>
      <c r="H37" s="1254">
        <v>2000</v>
      </c>
      <c r="I37" s="1255">
        <v>9225</v>
      </c>
      <c r="J37" s="1256"/>
      <c r="K37" s="1257">
        <v>1711</v>
      </c>
      <c r="L37" s="1258">
        <f t="shared" si="13"/>
        <v>2000</v>
      </c>
      <c r="M37" s="1259">
        <f t="shared" si="14"/>
        <v>35936</v>
      </c>
      <c r="N37" s="1260">
        <v>42123</v>
      </c>
      <c r="O37" t="s">
        <v>666</v>
      </c>
    </row>
    <row r="38" spans="1:15" x14ac:dyDescent="0.25">
      <c r="A38" s="298" t="s">
        <v>1246</v>
      </c>
      <c r="B38" s="304" t="s">
        <v>870</v>
      </c>
      <c r="C38" s="1218">
        <v>41722</v>
      </c>
      <c r="D38" s="299">
        <v>42028</v>
      </c>
      <c r="E38" s="1263">
        <v>12000</v>
      </c>
      <c r="F38" s="1264">
        <v>200</v>
      </c>
      <c r="G38" s="1263">
        <v>10900</v>
      </c>
      <c r="H38" s="1264">
        <v>200</v>
      </c>
      <c r="I38" s="1263">
        <v>8035</v>
      </c>
      <c r="J38" s="1265">
        <v>100</v>
      </c>
      <c r="K38" s="1257">
        <v>1516</v>
      </c>
      <c r="L38" s="1258">
        <f>F38+H38+J38</f>
        <v>500</v>
      </c>
      <c r="M38" s="1259">
        <f>G38+I38+K38</f>
        <v>20451</v>
      </c>
      <c r="N38" s="1260">
        <v>42170</v>
      </c>
      <c r="O38" t="s">
        <v>666</v>
      </c>
    </row>
    <row r="39" spans="1:15" x14ac:dyDescent="0.25">
      <c r="A39" s="298" t="s">
        <v>899</v>
      </c>
      <c r="B39" s="298" t="s">
        <v>941</v>
      </c>
      <c r="C39" s="1218">
        <v>41730</v>
      </c>
      <c r="D39" s="299">
        <v>42036</v>
      </c>
      <c r="E39" s="1255">
        <v>30000</v>
      </c>
      <c r="F39" s="1254"/>
      <c r="G39" s="1255">
        <v>30000</v>
      </c>
      <c r="H39" s="1254">
        <v>4000</v>
      </c>
      <c r="I39" s="1255">
        <v>20000</v>
      </c>
      <c r="J39" s="1256">
        <v>1000</v>
      </c>
      <c r="K39" s="1257">
        <v>2500</v>
      </c>
      <c r="L39" s="1258">
        <f t="shared" ref="L39:L43" si="15">F39+H39+J39</f>
        <v>5000</v>
      </c>
      <c r="M39" s="1259">
        <f t="shared" ref="M39:M43" si="16">G39+I39+K39</f>
        <v>52500</v>
      </c>
      <c r="N39" s="1260">
        <v>42158</v>
      </c>
      <c r="O39" t="s">
        <v>666</v>
      </c>
    </row>
    <row r="40" spans="1:15" x14ac:dyDescent="0.25">
      <c r="A40" s="298" t="s">
        <v>1155</v>
      </c>
      <c r="B40" s="298" t="s">
        <v>1000</v>
      </c>
      <c r="C40" s="1218">
        <v>41773</v>
      </c>
      <c r="D40" s="299">
        <v>42077</v>
      </c>
      <c r="E40" s="1255">
        <v>100000</v>
      </c>
      <c r="F40" s="1254"/>
      <c r="G40" s="1255">
        <v>60000</v>
      </c>
      <c r="H40" s="1254"/>
      <c r="I40" s="1255">
        <v>32500</v>
      </c>
      <c r="J40" s="1256"/>
      <c r="K40" s="1257">
        <v>7880</v>
      </c>
      <c r="L40" s="1258">
        <f t="shared" si="15"/>
        <v>0</v>
      </c>
      <c r="M40" s="1259">
        <f t="shared" si="16"/>
        <v>100380</v>
      </c>
      <c r="N40" s="1260">
        <v>42308</v>
      </c>
      <c r="O40" t="s">
        <v>666</v>
      </c>
    </row>
    <row r="41" spans="1:15" x14ac:dyDescent="0.25">
      <c r="A41" s="298" t="s">
        <v>1399</v>
      </c>
      <c r="B41" s="298" t="s">
        <v>720</v>
      </c>
      <c r="C41" s="1218">
        <v>41829</v>
      </c>
      <c r="D41" s="299">
        <v>42133</v>
      </c>
      <c r="E41" s="1255">
        <v>20000</v>
      </c>
      <c r="F41" s="1254">
        <v>500</v>
      </c>
      <c r="G41" s="1255">
        <v>19500</v>
      </c>
      <c r="H41" s="1254">
        <v>2000</v>
      </c>
      <c r="I41" s="1255">
        <v>2765</v>
      </c>
      <c r="J41" s="1256">
        <v>500</v>
      </c>
      <c r="K41" s="1257">
        <v>1113</v>
      </c>
      <c r="L41" s="1258">
        <f t="shared" si="15"/>
        <v>3000</v>
      </c>
      <c r="M41" s="1259">
        <f t="shared" si="16"/>
        <v>23378</v>
      </c>
      <c r="N41" s="1260">
        <v>42172</v>
      </c>
      <c r="O41" t="s">
        <v>666</v>
      </c>
    </row>
    <row r="42" spans="1:15" x14ac:dyDescent="0.25">
      <c r="A42" s="298" t="s">
        <v>1516</v>
      </c>
      <c r="B42" s="298" t="s">
        <v>1387</v>
      </c>
      <c r="C42" s="1218">
        <v>42002</v>
      </c>
      <c r="D42" s="299">
        <v>42123</v>
      </c>
      <c r="E42" s="1255">
        <v>15000</v>
      </c>
      <c r="F42" s="1254">
        <v>12000</v>
      </c>
      <c r="G42" s="1255">
        <v>3000</v>
      </c>
      <c r="H42" s="1254"/>
      <c r="I42" s="1255">
        <v>600</v>
      </c>
      <c r="J42" s="1256"/>
      <c r="K42" s="1257">
        <v>720</v>
      </c>
      <c r="L42" s="1258">
        <f t="shared" ref="L42" si="17">F42+H42+J42</f>
        <v>12000</v>
      </c>
      <c r="M42" s="1259">
        <f t="shared" ref="M42" si="18">G42+I42+K42</f>
        <v>4320</v>
      </c>
      <c r="N42" s="1260">
        <v>42108</v>
      </c>
      <c r="O42" t="s">
        <v>666</v>
      </c>
    </row>
    <row r="43" spans="1:15" x14ac:dyDescent="0.25">
      <c r="A43" s="298" t="s">
        <v>1585</v>
      </c>
      <c r="B43" s="298" t="s">
        <v>882</v>
      </c>
      <c r="C43" s="1218">
        <v>41929</v>
      </c>
      <c r="D43" s="299">
        <v>42141</v>
      </c>
      <c r="E43" s="1255">
        <v>4000</v>
      </c>
      <c r="F43" s="1254">
        <v>200</v>
      </c>
      <c r="G43" s="1255">
        <v>1700</v>
      </c>
      <c r="H43" s="1254">
        <v>200</v>
      </c>
      <c r="I43" s="1255">
        <v>285</v>
      </c>
      <c r="J43" s="1256">
        <v>100</v>
      </c>
      <c r="K43" s="1257">
        <v>99</v>
      </c>
      <c r="L43" s="1258">
        <f t="shared" si="15"/>
        <v>500</v>
      </c>
      <c r="M43" s="1259">
        <f t="shared" si="16"/>
        <v>2084</v>
      </c>
      <c r="N43" s="1260">
        <v>42188</v>
      </c>
      <c r="O43" t="s">
        <v>666</v>
      </c>
    </row>
    <row r="44" spans="1:15" x14ac:dyDescent="0.25">
      <c r="A44" s="298" t="s">
        <v>1761</v>
      </c>
      <c r="B44" s="304" t="s">
        <v>1713</v>
      </c>
      <c r="C44" s="1218">
        <v>42045</v>
      </c>
      <c r="D44" s="299">
        <v>42226</v>
      </c>
      <c r="E44" s="1263">
        <v>5000</v>
      </c>
      <c r="F44" s="1264">
        <v>946</v>
      </c>
      <c r="G44" s="1263">
        <v>2388</v>
      </c>
      <c r="H44" s="1264">
        <v>500</v>
      </c>
      <c r="I44" s="1263">
        <v>500</v>
      </c>
      <c r="J44" s="1265">
        <v>54</v>
      </c>
      <c r="K44" s="1257">
        <v>144</v>
      </c>
      <c r="L44" s="1258">
        <f t="shared" ref="L44:M46" si="19">F44+H44+J44</f>
        <v>1500</v>
      </c>
      <c r="M44" s="1259">
        <f t="shared" si="19"/>
        <v>3032</v>
      </c>
      <c r="N44" s="1260">
        <v>42179</v>
      </c>
      <c r="O44" t="s">
        <v>666</v>
      </c>
    </row>
    <row r="45" spans="1:15" x14ac:dyDescent="0.25">
      <c r="A45" s="298" t="s">
        <v>1187</v>
      </c>
      <c r="B45" s="298" t="s">
        <v>836</v>
      </c>
      <c r="C45" s="1218">
        <v>41904</v>
      </c>
      <c r="D45" s="299">
        <v>42207</v>
      </c>
      <c r="E45" s="1255">
        <v>15000</v>
      </c>
      <c r="F45" s="1254">
        <v>500</v>
      </c>
      <c r="G45" s="1255">
        <v>14500</v>
      </c>
      <c r="H45" s="1254">
        <v>2000</v>
      </c>
      <c r="I45" s="1255">
        <v>6225</v>
      </c>
      <c r="J45" s="1256">
        <v>500</v>
      </c>
      <c r="K45" s="1257">
        <v>2027</v>
      </c>
      <c r="L45" s="1258">
        <f t="shared" si="19"/>
        <v>3000</v>
      </c>
      <c r="M45" s="1259">
        <f t="shared" si="19"/>
        <v>22752</v>
      </c>
      <c r="N45" s="1260">
        <v>42174</v>
      </c>
      <c r="O45" t="s">
        <v>666</v>
      </c>
    </row>
    <row r="46" spans="1:15" x14ac:dyDescent="0.25">
      <c r="A46" s="298" t="s">
        <v>1643</v>
      </c>
      <c r="B46" s="304" t="s">
        <v>1644</v>
      </c>
      <c r="C46" s="1218">
        <v>42079</v>
      </c>
      <c r="D46" s="299">
        <v>42201</v>
      </c>
      <c r="E46" s="1263">
        <v>8000</v>
      </c>
      <c r="F46" s="1264">
        <v>2000</v>
      </c>
      <c r="G46" s="1263">
        <v>2120</v>
      </c>
      <c r="H46" s="1264">
        <v>400</v>
      </c>
      <c r="I46" s="1263">
        <v>506</v>
      </c>
      <c r="J46" s="1265"/>
      <c r="K46" s="1257">
        <v>131</v>
      </c>
      <c r="L46" s="1258">
        <f t="shared" si="19"/>
        <v>2400</v>
      </c>
      <c r="M46" s="1259">
        <f t="shared" si="19"/>
        <v>2757</v>
      </c>
      <c r="N46" s="1260">
        <v>42222</v>
      </c>
      <c r="O46" t="s">
        <v>666</v>
      </c>
    </row>
    <row r="47" spans="1:15" x14ac:dyDescent="0.25">
      <c r="A47" s="298" t="s">
        <v>1464</v>
      </c>
      <c r="B47" s="298" t="s">
        <v>461</v>
      </c>
      <c r="C47" s="1218">
        <v>41832</v>
      </c>
      <c r="D47" s="299">
        <v>42136</v>
      </c>
      <c r="E47" s="1255">
        <v>5000</v>
      </c>
      <c r="F47" s="1254">
        <v>200</v>
      </c>
      <c r="G47" s="1255">
        <v>3300</v>
      </c>
      <c r="H47" s="1254">
        <v>200</v>
      </c>
      <c r="I47" s="1255">
        <v>1695</v>
      </c>
      <c r="J47" s="1256">
        <v>100</v>
      </c>
      <c r="K47" s="1257">
        <v>249</v>
      </c>
      <c r="L47" s="1258">
        <f t="shared" ref="L47:L53" si="20">F47+H47+J47</f>
        <v>500</v>
      </c>
      <c r="M47" s="1259">
        <f t="shared" ref="M47:M53" si="21">G47+I47+K47</f>
        <v>5244</v>
      </c>
      <c r="N47" s="1260">
        <v>42174</v>
      </c>
      <c r="O47" t="s">
        <v>666</v>
      </c>
    </row>
    <row r="48" spans="1:15" x14ac:dyDescent="0.25">
      <c r="A48" s="298" t="s">
        <v>481</v>
      </c>
      <c r="B48" s="298" t="s">
        <v>13</v>
      </c>
      <c r="C48" s="1218">
        <v>41922</v>
      </c>
      <c r="D48" s="299">
        <v>42045</v>
      </c>
      <c r="E48" s="1255">
        <v>18000</v>
      </c>
      <c r="F48" s="1254"/>
      <c r="G48" s="1255">
        <v>18000</v>
      </c>
      <c r="H48" s="1254">
        <v>1500</v>
      </c>
      <c r="I48" s="1255">
        <v>5000</v>
      </c>
      <c r="J48" s="1256">
        <v>500</v>
      </c>
      <c r="K48" s="1257">
        <v>3124</v>
      </c>
      <c r="L48" s="1258">
        <f t="shared" si="20"/>
        <v>2000</v>
      </c>
      <c r="M48" s="1259">
        <f t="shared" si="21"/>
        <v>26124</v>
      </c>
      <c r="N48" s="1260">
        <v>42193</v>
      </c>
      <c r="O48" t="s">
        <v>666</v>
      </c>
    </row>
    <row r="49" spans="1:15" x14ac:dyDescent="0.25">
      <c r="A49" s="298" t="s">
        <v>1586</v>
      </c>
      <c r="B49" s="298" t="s">
        <v>941</v>
      </c>
      <c r="C49" s="1218">
        <v>42039</v>
      </c>
      <c r="D49" s="299">
        <v>42220</v>
      </c>
      <c r="E49" s="1255">
        <v>5000</v>
      </c>
      <c r="F49" s="1254"/>
      <c r="G49" s="1255">
        <v>5000</v>
      </c>
      <c r="H49" s="1254">
        <v>1250</v>
      </c>
      <c r="I49" s="1255">
        <v>250</v>
      </c>
      <c r="J49" s="1256">
        <v>250</v>
      </c>
      <c r="K49" s="1257">
        <v>20</v>
      </c>
      <c r="L49" s="1258">
        <f t="shared" si="20"/>
        <v>1500</v>
      </c>
      <c r="M49" s="1259">
        <f t="shared" si="21"/>
        <v>5270</v>
      </c>
      <c r="N49" s="1260">
        <v>42200</v>
      </c>
      <c r="O49" t="s">
        <v>666</v>
      </c>
    </row>
    <row r="50" spans="1:15" x14ac:dyDescent="0.25">
      <c r="A50" s="298" t="s">
        <v>1852</v>
      </c>
      <c r="B50" s="298" t="s">
        <v>32</v>
      </c>
      <c r="C50" s="1218">
        <v>42119</v>
      </c>
      <c r="D50" s="299">
        <v>42180</v>
      </c>
      <c r="E50" s="1255">
        <v>30000</v>
      </c>
      <c r="F50" s="1254">
        <v>12000</v>
      </c>
      <c r="G50" s="1255">
        <v>18000</v>
      </c>
      <c r="H50" s="1254">
        <v>3000</v>
      </c>
      <c r="I50" s="1255">
        <v>900</v>
      </c>
      <c r="J50" s="1256"/>
      <c r="K50" s="1257">
        <v>945</v>
      </c>
      <c r="L50" s="1258"/>
      <c r="M50" s="1259">
        <f t="shared" si="21"/>
        <v>19845</v>
      </c>
      <c r="N50" s="1260">
        <v>42186</v>
      </c>
      <c r="O50" t="s">
        <v>666</v>
      </c>
    </row>
    <row r="51" spans="1:15" x14ac:dyDescent="0.25">
      <c r="A51" s="298" t="s">
        <v>1851</v>
      </c>
      <c r="B51" s="298" t="s">
        <v>1478</v>
      </c>
      <c r="C51" s="1218">
        <v>41907</v>
      </c>
      <c r="D51" s="299">
        <v>42210</v>
      </c>
      <c r="E51" s="1255">
        <v>25000</v>
      </c>
      <c r="F51" s="1254"/>
      <c r="G51" s="1255">
        <v>25000</v>
      </c>
      <c r="H51" s="1254">
        <v>9000</v>
      </c>
      <c r="I51" s="1255">
        <v>4750</v>
      </c>
      <c r="J51" s="1256">
        <v>1000</v>
      </c>
      <c r="K51" s="1257">
        <v>1487</v>
      </c>
      <c r="L51" s="1258">
        <f t="shared" ref="L51" si="22">F51+H51+J51</f>
        <v>10000</v>
      </c>
      <c r="M51" s="1259">
        <f t="shared" ref="M51" si="23">G51+I51+K51</f>
        <v>31237</v>
      </c>
      <c r="N51" s="1260">
        <v>42222</v>
      </c>
      <c r="O51" t="s">
        <v>666</v>
      </c>
    </row>
    <row r="52" spans="1:15" x14ac:dyDescent="0.25">
      <c r="A52" s="298" t="s">
        <v>1206</v>
      </c>
      <c r="B52" s="298" t="s">
        <v>1598</v>
      </c>
      <c r="C52" s="1218">
        <v>41779</v>
      </c>
      <c r="D52" s="1266">
        <v>42083</v>
      </c>
      <c r="E52" s="1261">
        <v>24500</v>
      </c>
      <c r="F52" s="1262">
        <v>320</v>
      </c>
      <c r="G52" s="1263">
        <v>8675</v>
      </c>
      <c r="H52" s="1264">
        <v>80</v>
      </c>
      <c r="I52" s="1263">
        <v>6336</v>
      </c>
      <c r="J52" s="1265"/>
      <c r="K52" s="1257">
        <v>750</v>
      </c>
      <c r="L52" s="1258">
        <f t="shared" si="20"/>
        <v>400</v>
      </c>
      <c r="M52" s="1259">
        <f t="shared" si="21"/>
        <v>15761</v>
      </c>
      <c r="N52" s="1260">
        <v>42240</v>
      </c>
      <c r="O52" t="s">
        <v>666</v>
      </c>
    </row>
    <row r="53" spans="1:15" x14ac:dyDescent="0.25">
      <c r="A53" s="298" t="s">
        <v>1465</v>
      </c>
      <c r="B53" s="298" t="s">
        <v>1076</v>
      </c>
      <c r="C53" s="1218">
        <v>41773</v>
      </c>
      <c r="D53" s="299">
        <v>42077</v>
      </c>
      <c r="E53" s="1255">
        <v>12000</v>
      </c>
      <c r="F53" s="1254"/>
      <c r="G53" s="1255">
        <v>9295</v>
      </c>
      <c r="H53" s="1254">
        <v>800</v>
      </c>
      <c r="I53" s="1255">
        <v>2093</v>
      </c>
      <c r="J53" s="1256">
        <v>200</v>
      </c>
      <c r="K53" s="1257">
        <v>894</v>
      </c>
      <c r="L53" s="1258">
        <f t="shared" si="20"/>
        <v>1000</v>
      </c>
      <c r="M53" s="1259">
        <f t="shared" si="21"/>
        <v>12282</v>
      </c>
      <c r="N53" s="1260">
        <v>42229</v>
      </c>
      <c r="O53" t="s">
        <v>666</v>
      </c>
    </row>
    <row r="54" spans="1:15" x14ac:dyDescent="0.25">
      <c r="A54" s="298" t="s">
        <v>1483</v>
      </c>
      <c r="B54" s="298" t="s">
        <v>398</v>
      </c>
      <c r="C54" s="1218">
        <v>41718</v>
      </c>
      <c r="D54" s="299">
        <v>42024</v>
      </c>
      <c r="E54" s="1261">
        <v>25000</v>
      </c>
      <c r="F54" s="1262">
        <v>10000</v>
      </c>
      <c r="G54" s="1263">
        <v>25000</v>
      </c>
      <c r="H54" s="1264">
        <v>7500</v>
      </c>
      <c r="I54" s="1263">
        <v>6047</v>
      </c>
      <c r="J54" s="1265">
        <v>1250</v>
      </c>
      <c r="K54" s="1257">
        <v>702</v>
      </c>
      <c r="L54" s="1258">
        <f>F54+H54+J54</f>
        <v>18750</v>
      </c>
      <c r="M54" s="1259">
        <f>G54+I54+K54</f>
        <v>31749</v>
      </c>
      <c r="N54" s="1260">
        <v>42174</v>
      </c>
      <c r="O54" t="s">
        <v>666</v>
      </c>
    </row>
    <row r="55" spans="1:15" x14ac:dyDescent="0.25">
      <c r="A55" s="298" t="s">
        <v>1695</v>
      </c>
      <c r="B55" s="298" t="s">
        <v>1601</v>
      </c>
      <c r="C55" s="1218">
        <v>41988</v>
      </c>
      <c r="D55" s="299">
        <v>42170</v>
      </c>
      <c r="E55" s="1255">
        <v>10000</v>
      </c>
      <c r="F55" s="1254">
        <v>350</v>
      </c>
      <c r="G55" s="1255">
        <v>6470</v>
      </c>
      <c r="H55" s="1254">
        <v>450</v>
      </c>
      <c r="I55" s="1255">
        <v>111</v>
      </c>
      <c r="J55" s="1256">
        <v>100</v>
      </c>
      <c r="K55" s="1257"/>
      <c r="L55" s="1258">
        <f t="shared" ref="L55:L58" si="24">F55+H55+J55</f>
        <v>900</v>
      </c>
      <c r="M55" s="1259">
        <f t="shared" ref="M55:M58" si="25">G55+I55+K55</f>
        <v>6581</v>
      </c>
      <c r="N55" s="1260">
        <v>42231</v>
      </c>
      <c r="O55" t="s">
        <v>666</v>
      </c>
    </row>
    <row r="56" spans="1:15" x14ac:dyDescent="0.25">
      <c r="A56" s="298" t="s">
        <v>1036</v>
      </c>
      <c r="B56" s="298" t="s">
        <v>1868</v>
      </c>
      <c r="C56" s="1218">
        <v>41777</v>
      </c>
      <c r="D56" s="299">
        <v>42081</v>
      </c>
      <c r="E56" s="1255">
        <v>9000</v>
      </c>
      <c r="F56" s="1254"/>
      <c r="G56" s="1255">
        <v>7520</v>
      </c>
      <c r="H56" s="1254"/>
      <c r="I56" s="1255">
        <v>5760</v>
      </c>
      <c r="J56" s="1256"/>
      <c r="K56" s="1257">
        <v>664</v>
      </c>
      <c r="L56" s="1258"/>
      <c r="M56" s="1259">
        <f t="shared" si="25"/>
        <v>13944</v>
      </c>
      <c r="N56" s="1260">
        <v>42213</v>
      </c>
      <c r="O56" t="s">
        <v>666</v>
      </c>
    </row>
    <row r="57" spans="1:15" x14ac:dyDescent="0.25">
      <c r="A57" s="298" t="s">
        <v>1834</v>
      </c>
      <c r="B57" s="298" t="s">
        <v>1121</v>
      </c>
      <c r="C57" s="1218">
        <v>42086</v>
      </c>
      <c r="D57" s="1266">
        <v>42147</v>
      </c>
      <c r="E57" s="1261">
        <v>7000</v>
      </c>
      <c r="F57" s="1262"/>
      <c r="G57" s="1263">
        <v>230</v>
      </c>
      <c r="H57" s="1264"/>
      <c r="I57" s="1263"/>
      <c r="J57" s="1265"/>
      <c r="K57" s="1257"/>
      <c r="L57" s="1258">
        <f t="shared" si="24"/>
        <v>0</v>
      </c>
      <c r="M57" s="1259">
        <f t="shared" si="25"/>
        <v>230</v>
      </c>
      <c r="N57" s="1260">
        <v>42226</v>
      </c>
      <c r="O57" t="s">
        <v>666</v>
      </c>
    </row>
    <row r="58" spans="1:15" x14ac:dyDescent="0.25">
      <c r="A58" s="298" t="s">
        <v>1526</v>
      </c>
      <c r="B58" s="298" t="s">
        <v>669</v>
      </c>
      <c r="C58" s="1218">
        <v>41878</v>
      </c>
      <c r="D58" s="299">
        <v>42090</v>
      </c>
      <c r="E58" s="1255">
        <v>60000</v>
      </c>
      <c r="F58" s="1254"/>
      <c r="G58" s="1255">
        <v>60000</v>
      </c>
      <c r="H58" s="1254">
        <v>8000</v>
      </c>
      <c r="I58" s="1255">
        <v>28000</v>
      </c>
      <c r="J58" s="1256">
        <v>2000</v>
      </c>
      <c r="K58" s="1257">
        <v>7607</v>
      </c>
      <c r="L58" s="1258">
        <f t="shared" si="24"/>
        <v>10000</v>
      </c>
      <c r="M58" s="1259">
        <f t="shared" si="25"/>
        <v>95607</v>
      </c>
      <c r="N58" s="1260">
        <v>42133</v>
      </c>
      <c r="O58" t="s">
        <v>666</v>
      </c>
    </row>
    <row r="59" spans="1:15" x14ac:dyDescent="0.25">
      <c r="A59" s="298" t="s">
        <v>1484</v>
      </c>
      <c r="B59" s="298" t="s">
        <v>925</v>
      </c>
      <c r="C59" s="1218">
        <v>41893</v>
      </c>
      <c r="D59" s="1266">
        <v>42196</v>
      </c>
      <c r="E59" s="1261">
        <v>8000</v>
      </c>
      <c r="F59" s="1262">
        <v>800</v>
      </c>
      <c r="G59" s="1263">
        <v>4180</v>
      </c>
      <c r="H59" s="1264">
        <v>400</v>
      </c>
      <c r="I59" s="1263">
        <v>1009</v>
      </c>
      <c r="J59" s="1265">
        <v>180</v>
      </c>
      <c r="K59" s="1257">
        <v>259</v>
      </c>
      <c r="L59" s="1258">
        <f t="shared" ref="L59:L63" si="26">F59+H59+J59</f>
        <v>1380</v>
      </c>
      <c r="M59" s="1259">
        <f t="shared" ref="M59:M62" si="27">G59+I59+K59</f>
        <v>5448</v>
      </c>
      <c r="N59" s="1260">
        <v>42136</v>
      </c>
      <c r="O59" t="s">
        <v>666</v>
      </c>
    </row>
    <row r="60" spans="1:15" x14ac:dyDescent="0.25">
      <c r="A60" s="298" t="s">
        <v>935</v>
      </c>
      <c r="B60" s="298" t="s">
        <v>694</v>
      </c>
      <c r="C60" s="1218">
        <v>41759</v>
      </c>
      <c r="D60" s="1274" t="s">
        <v>1532</v>
      </c>
      <c r="E60" s="1261">
        <v>170000</v>
      </c>
      <c r="F60" s="1262">
        <v>1120</v>
      </c>
      <c r="G60" s="1263">
        <v>148970</v>
      </c>
      <c r="H60" s="1264">
        <v>830</v>
      </c>
      <c r="I60" s="1263">
        <v>135917</v>
      </c>
      <c r="J60" s="1265">
        <v>150</v>
      </c>
      <c r="K60" s="1257">
        <v>13650</v>
      </c>
      <c r="L60" s="1258">
        <f t="shared" si="26"/>
        <v>2100</v>
      </c>
      <c r="M60" s="1259">
        <f t="shared" si="27"/>
        <v>298537</v>
      </c>
      <c r="N60" s="1260">
        <v>42240</v>
      </c>
      <c r="O60" t="s">
        <v>666</v>
      </c>
    </row>
    <row r="61" spans="1:15" x14ac:dyDescent="0.25">
      <c r="A61" s="298" t="s">
        <v>1715</v>
      </c>
      <c r="B61" s="298" t="s">
        <v>719</v>
      </c>
      <c r="C61" s="1218">
        <v>41950</v>
      </c>
      <c r="D61" s="1266">
        <v>42070</v>
      </c>
      <c r="E61" s="1261">
        <v>7000</v>
      </c>
      <c r="F61" s="1262">
        <v>400</v>
      </c>
      <c r="G61" s="1263">
        <v>5670</v>
      </c>
      <c r="H61" s="1264">
        <v>400</v>
      </c>
      <c r="I61" s="1263">
        <v>2222</v>
      </c>
      <c r="J61" s="1265">
        <v>200</v>
      </c>
      <c r="K61" s="1257">
        <v>1005</v>
      </c>
      <c r="L61" s="1258">
        <f t="shared" si="26"/>
        <v>1000</v>
      </c>
      <c r="M61" s="1259">
        <f t="shared" si="27"/>
        <v>8897</v>
      </c>
      <c r="N61" s="1260">
        <v>42156</v>
      </c>
      <c r="O61" t="s">
        <v>666</v>
      </c>
    </row>
    <row r="62" spans="1:15" x14ac:dyDescent="0.25">
      <c r="A62" s="298" t="s">
        <v>793</v>
      </c>
      <c r="B62" s="298" t="s">
        <v>721</v>
      </c>
      <c r="C62" s="1218">
        <v>41974</v>
      </c>
      <c r="D62" s="1266">
        <v>42125</v>
      </c>
      <c r="E62" s="1261">
        <v>5000</v>
      </c>
      <c r="F62" s="1262">
        <v>400</v>
      </c>
      <c r="G62" s="1263">
        <v>1700</v>
      </c>
      <c r="H62" s="1264">
        <v>100</v>
      </c>
      <c r="I62" s="1263">
        <v>605</v>
      </c>
      <c r="J62" s="1265"/>
      <c r="K62" s="1257">
        <v>172</v>
      </c>
      <c r="L62" s="1258">
        <f t="shared" si="26"/>
        <v>500</v>
      </c>
      <c r="M62" s="1259">
        <f t="shared" si="27"/>
        <v>2477</v>
      </c>
      <c r="N62" s="1260">
        <v>42200</v>
      </c>
      <c r="O62" t="s">
        <v>666</v>
      </c>
    </row>
    <row r="63" spans="1:15" x14ac:dyDescent="0.25">
      <c r="A63" s="298" t="s">
        <v>1653</v>
      </c>
      <c r="B63" s="298" t="s">
        <v>1774</v>
      </c>
      <c r="C63" s="1218">
        <v>42041</v>
      </c>
      <c r="D63" s="299">
        <v>42222</v>
      </c>
      <c r="E63" s="1261">
        <v>10000</v>
      </c>
      <c r="F63" s="1262">
        <v>1600</v>
      </c>
      <c r="G63" s="1263">
        <v>6016</v>
      </c>
      <c r="H63" s="1264">
        <v>500</v>
      </c>
      <c r="I63" s="1263">
        <v>1000</v>
      </c>
      <c r="J63" s="1265"/>
      <c r="K63" s="1257">
        <v>350</v>
      </c>
      <c r="L63" s="1258">
        <f t="shared" si="26"/>
        <v>2100</v>
      </c>
      <c r="M63" s="1259">
        <f>G63+I63+K63</f>
        <v>7366</v>
      </c>
      <c r="N63" s="1260">
        <v>42171</v>
      </c>
      <c r="O63" t="s">
        <v>666</v>
      </c>
    </row>
    <row r="64" spans="1:15" x14ac:dyDescent="0.25">
      <c r="A64" s="298" t="s">
        <v>1527</v>
      </c>
      <c r="B64" s="298" t="s">
        <v>945</v>
      </c>
      <c r="C64" s="1218">
        <v>41894</v>
      </c>
      <c r="D64" s="299">
        <v>42197</v>
      </c>
      <c r="E64" s="1261">
        <v>8000</v>
      </c>
      <c r="F64" s="1262"/>
      <c r="G64" s="1263">
        <v>8000</v>
      </c>
      <c r="H64" s="1264"/>
      <c r="I64" s="1263">
        <v>4000</v>
      </c>
      <c r="J64" s="1265"/>
      <c r="K64" s="1257">
        <v>600</v>
      </c>
      <c r="L64" s="1258">
        <f t="shared" ref="L64:L65" si="28">F64+H64+J64</f>
        <v>0</v>
      </c>
      <c r="M64" s="1259">
        <f t="shared" ref="M64:M65" si="29">G64+I64+K64</f>
        <v>12600</v>
      </c>
      <c r="N64" s="1260" t="s">
        <v>1819</v>
      </c>
      <c r="O64" t="s">
        <v>666</v>
      </c>
    </row>
    <row r="65" spans="1:15" x14ac:dyDescent="0.25">
      <c r="A65" s="298" t="s">
        <v>963</v>
      </c>
      <c r="B65" s="298" t="s">
        <v>719</v>
      </c>
      <c r="C65" s="1218">
        <v>41793</v>
      </c>
      <c r="D65" s="299">
        <v>42097</v>
      </c>
      <c r="E65" s="1255">
        <v>12000</v>
      </c>
      <c r="F65" s="1254">
        <v>2000</v>
      </c>
      <c r="G65" s="1255">
        <v>9800</v>
      </c>
      <c r="H65" s="1254">
        <v>2000</v>
      </c>
      <c r="I65" s="1255">
        <v>3490</v>
      </c>
      <c r="J65" s="1256"/>
      <c r="K65" s="1257">
        <v>664</v>
      </c>
      <c r="L65" s="1258">
        <f t="shared" si="28"/>
        <v>4000</v>
      </c>
      <c r="M65" s="1259">
        <f t="shared" si="29"/>
        <v>13954</v>
      </c>
      <c r="N65" s="1260">
        <v>42189</v>
      </c>
      <c r="O65" t="s">
        <v>666</v>
      </c>
    </row>
    <row r="66" spans="1:15" x14ac:dyDescent="0.25">
      <c r="A66" s="298" t="s">
        <v>1602</v>
      </c>
      <c r="B66" s="298" t="s">
        <v>1707</v>
      </c>
      <c r="C66" s="1218">
        <v>41722</v>
      </c>
      <c r="D66" s="299">
        <v>42028</v>
      </c>
      <c r="E66" s="1261">
        <v>15000</v>
      </c>
      <c r="F66" s="1262">
        <v>1200</v>
      </c>
      <c r="G66" s="1263">
        <v>6000</v>
      </c>
      <c r="H66" s="1264">
        <v>500</v>
      </c>
      <c r="I66" s="1263">
        <v>2900</v>
      </c>
      <c r="J66" s="1265"/>
      <c r="K66" s="1257">
        <v>445</v>
      </c>
      <c r="L66" s="1258">
        <f t="shared" ref="L66:M67" si="30">F66+H66+J66</f>
        <v>1700</v>
      </c>
      <c r="M66" s="1259">
        <f t="shared" si="30"/>
        <v>9345</v>
      </c>
      <c r="N66" s="1260">
        <v>42024</v>
      </c>
      <c r="O66" t="s">
        <v>666</v>
      </c>
    </row>
    <row r="67" spans="1:15" x14ac:dyDescent="0.25">
      <c r="A67" s="298" t="s">
        <v>1535</v>
      </c>
      <c r="B67" s="298" t="s">
        <v>945</v>
      </c>
      <c r="C67" s="1218">
        <v>41856</v>
      </c>
      <c r="D67" s="299">
        <v>42160</v>
      </c>
      <c r="E67" s="1255">
        <v>12000</v>
      </c>
      <c r="F67" s="1254">
        <v>1800</v>
      </c>
      <c r="G67" s="1255">
        <v>10200</v>
      </c>
      <c r="H67" s="1254">
        <v>1400</v>
      </c>
      <c r="I67" s="1255">
        <v>6020</v>
      </c>
      <c r="J67" s="1256">
        <v>200</v>
      </c>
      <c r="K67" s="1257">
        <v>811</v>
      </c>
      <c r="L67" s="1258">
        <f t="shared" si="30"/>
        <v>3400</v>
      </c>
      <c r="M67" s="1259">
        <f t="shared" si="30"/>
        <v>17031</v>
      </c>
      <c r="N67" s="1260">
        <v>42295</v>
      </c>
      <c r="O67" t="s">
        <v>666</v>
      </c>
    </row>
    <row r="68" spans="1:15" x14ac:dyDescent="0.25">
      <c r="A68" s="298" t="s">
        <v>798</v>
      </c>
      <c r="B68" s="298" t="s">
        <v>398</v>
      </c>
      <c r="C68" s="1218">
        <v>41761</v>
      </c>
      <c r="D68" s="299">
        <v>42065</v>
      </c>
      <c r="E68" s="1255">
        <v>4000</v>
      </c>
      <c r="F68" s="1254">
        <v>200</v>
      </c>
      <c r="G68" s="1255">
        <v>2950</v>
      </c>
      <c r="H68" s="1254">
        <v>200</v>
      </c>
      <c r="I68" s="1255">
        <v>1417</v>
      </c>
      <c r="J68" s="1256">
        <v>100</v>
      </c>
      <c r="K68" s="1257">
        <v>218</v>
      </c>
      <c r="L68" s="1258">
        <f t="shared" ref="L68:L78" si="31">F68+H68+J68</f>
        <v>500</v>
      </c>
      <c r="M68" s="1259">
        <f t="shared" ref="M68:M78" si="32">G68+I68+K68</f>
        <v>4585</v>
      </c>
      <c r="N68" s="1260">
        <v>42159</v>
      </c>
      <c r="O68" t="s">
        <v>666</v>
      </c>
    </row>
    <row r="69" spans="1:15" x14ac:dyDescent="0.25">
      <c r="A69" s="298" t="s">
        <v>553</v>
      </c>
      <c r="B69" s="298" t="s">
        <v>18</v>
      </c>
      <c r="C69" s="1218">
        <v>42121</v>
      </c>
      <c r="D69" s="299">
        <v>42212</v>
      </c>
      <c r="E69" s="1255">
        <v>20000</v>
      </c>
      <c r="F69" s="1254"/>
      <c r="G69" s="1255">
        <v>20000</v>
      </c>
      <c r="H69" s="1254"/>
      <c r="I69" s="1255">
        <v>3000</v>
      </c>
      <c r="J69" s="1256"/>
      <c r="K69" s="1257">
        <v>1150</v>
      </c>
      <c r="L69" s="1258">
        <f t="shared" si="31"/>
        <v>0</v>
      </c>
      <c r="M69" s="1259">
        <f t="shared" si="32"/>
        <v>24150</v>
      </c>
      <c r="N69" s="1260" t="s">
        <v>1853</v>
      </c>
      <c r="O69" t="s">
        <v>666</v>
      </c>
    </row>
    <row r="70" spans="1:15" x14ac:dyDescent="0.25">
      <c r="A70" s="298" t="s">
        <v>1780</v>
      </c>
      <c r="B70" s="298" t="s">
        <v>1478</v>
      </c>
      <c r="C70" s="1218">
        <v>42179</v>
      </c>
      <c r="D70" s="1266">
        <v>42239</v>
      </c>
      <c r="E70" s="1261">
        <v>6000</v>
      </c>
      <c r="F70" s="1262"/>
      <c r="G70" s="1263">
        <v>6000</v>
      </c>
      <c r="H70" s="1264"/>
      <c r="I70" s="1263">
        <v>600</v>
      </c>
      <c r="J70" s="1265"/>
      <c r="K70" s="1257"/>
      <c r="L70" s="1258">
        <f t="shared" si="31"/>
        <v>0</v>
      </c>
      <c r="M70" s="1259">
        <f t="shared" si="32"/>
        <v>6600</v>
      </c>
      <c r="N70" s="1260">
        <v>42179</v>
      </c>
    </row>
    <row r="71" spans="1:15" x14ac:dyDescent="0.25">
      <c r="A71" s="298" t="s">
        <v>1699</v>
      </c>
      <c r="B71" s="298" t="s">
        <v>865</v>
      </c>
      <c r="C71" s="1218">
        <v>41933</v>
      </c>
      <c r="D71" s="299">
        <v>42055</v>
      </c>
      <c r="E71" s="1255">
        <v>5000</v>
      </c>
      <c r="F71" s="1254">
        <v>20</v>
      </c>
      <c r="G71" s="1255">
        <v>3120</v>
      </c>
      <c r="H71" s="1254">
        <v>20</v>
      </c>
      <c r="I71" s="1255">
        <v>1134</v>
      </c>
      <c r="J71" s="1256">
        <v>10</v>
      </c>
      <c r="K71" s="1257">
        <v>495</v>
      </c>
      <c r="L71" s="1258">
        <f t="shared" si="31"/>
        <v>50</v>
      </c>
      <c r="M71" s="1259">
        <f t="shared" si="32"/>
        <v>4749</v>
      </c>
      <c r="N71" s="1260">
        <v>42189</v>
      </c>
      <c r="O71" t="s">
        <v>666</v>
      </c>
    </row>
    <row r="72" spans="1:15" x14ac:dyDescent="0.25">
      <c r="A72" s="298" t="s">
        <v>1346</v>
      </c>
      <c r="B72" s="298" t="s">
        <v>626</v>
      </c>
      <c r="C72" s="1218">
        <v>41739</v>
      </c>
      <c r="D72" s="299">
        <v>42045</v>
      </c>
      <c r="E72" s="1255">
        <v>15000</v>
      </c>
      <c r="F72" s="1254">
        <v>1500</v>
      </c>
      <c r="G72" s="1255">
        <v>10931</v>
      </c>
      <c r="H72" s="1254">
        <v>500</v>
      </c>
      <c r="I72" s="1255">
        <v>1093</v>
      </c>
      <c r="J72" s="1256">
        <v>243</v>
      </c>
      <c r="K72" s="1257">
        <v>601</v>
      </c>
      <c r="L72" s="1258">
        <f t="shared" si="31"/>
        <v>2243</v>
      </c>
      <c r="M72" s="1259">
        <f t="shared" si="32"/>
        <v>12625</v>
      </c>
      <c r="N72" s="1260">
        <v>42160</v>
      </c>
      <c r="O72" t="s">
        <v>666</v>
      </c>
    </row>
    <row r="73" spans="1:15" x14ac:dyDescent="0.25">
      <c r="A73" s="298" t="s">
        <v>1350</v>
      </c>
      <c r="B73" s="298" t="s">
        <v>945</v>
      </c>
      <c r="C73" s="1218">
        <v>41950</v>
      </c>
      <c r="D73" s="299">
        <v>42131</v>
      </c>
      <c r="E73" s="1255">
        <v>15500</v>
      </c>
      <c r="F73" s="1254">
        <v>1600</v>
      </c>
      <c r="G73" s="1255">
        <v>8613</v>
      </c>
      <c r="H73" s="1254">
        <v>400</v>
      </c>
      <c r="I73" s="1255">
        <v>1906</v>
      </c>
      <c r="J73" s="1256"/>
      <c r="K73" s="1257">
        <v>525</v>
      </c>
      <c r="L73" s="1258">
        <f t="shared" si="31"/>
        <v>2000</v>
      </c>
      <c r="M73" s="1259">
        <f t="shared" si="32"/>
        <v>11044</v>
      </c>
      <c r="N73" s="1260">
        <v>42223</v>
      </c>
      <c r="O73" t="s">
        <v>666</v>
      </c>
    </row>
    <row r="74" spans="1:15" x14ac:dyDescent="0.25">
      <c r="A74" s="298" t="s">
        <v>486</v>
      </c>
      <c r="B74" s="298" t="s">
        <v>945</v>
      </c>
      <c r="C74" s="1218">
        <v>41825</v>
      </c>
      <c r="D74" s="1266">
        <v>42129</v>
      </c>
      <c r="E74" s="1261">
        <v>4600</v>
      </c>
      <c r="F74" s="1262"/>
      <c r="G74" s="1263">
        <v>4600</v>
      </c>
      <c r="H74" s="1264"/>
      <c r="I74" s="1263">
        <v>2990</v>
      </c>
      <c r="J74" s="1265"/>
      <c r="K74" s="1257">
        <v>759</v>
      </c>
      <c r="L74" s="1258">
        <f t="shared" si="31"/>
        <v>0</v>
      </c>
      <c r="M74" s="1259">
        <f t="shared" si="32"/>
        <v>8349</v>
      </c>
      <c r="N74" s="1260" t="s">
        <v>76</v>
      </c>
      <c r="O74" t="s">
        <v>666</v>
      </c>
    </row>
    <row r="75" spans="1:15" x14ac:dyDescent="0.25">
      <c r="A75" s="298" t="s">
        <v>1289</v>
      </c>
      <c r="B75" s="298" t="s">
        <v>1290</v>
      </c>
      <c r="C75" s="1218">
        <v>41870</v>
      </c>
      <c r="D75" s="299">
        <v>42174</v>
      </c>
      <c r="E75" s="1255">
        <v>6300</v>
      </c>
      <c r="F75" s="1254">
        <v>1314</v>
      </c>
      <c r="G75" s="1255">
        <v>2686</v>
      </c>
      <c r="H75" s="1254">
        <v>686</v>
      </c>
      <c r="I75" s="1255">
        <v>268</v>
      </c>
      <c r="J75" s="1256"/>
      <c r="K75" s="1257">
        <v>147</v>
      </c>
      <c r="L75" s="1258">
        <f t="shared" si="31"/>
        <v>2000</v>
      </c>
      <c r="M75" s="1259">
        <f t="shared" si="32"/>
        <v>3101</v>
      </c>
      <c r="N75" s="1260">
        <v>42170</v>
      </c>
      <c r="O75" t="s">
        <v>666</v>
      </c>
    </row>
    <row r="76" spans="1:15" x14ac:dyDescent="0.25">
      <c r="A76" s="298" t="s">
        <v>1665</v>
      </c>
      <c r="B76" s="298" t="s">
        <v>1659</v>
      </c>
      <c r="C76" s="1218">
        <v>42038</v>
      </c>
      <c r="D76" s="1266">
        <v>42219</v>
      </c>
      <c r="E76" s="1261">
        <v>10000</v>
      </c>
      <c r="F76" s="1262"/>
      <c r="G76" s="1263">
        <v>10000</v>
      </c>
      <c r="H76" s="1264"/>
      <c r="I76" s="1263">
        <v>2000</v>
      </c>
      <c r="J76" s="1265"/>
      <c r="K76" s="1257">
        <v>600</v>
      </c>
      <c r="L76" s="1258">
        <f t="shared" si="31"/>
        <v>0</v>
      </c>
      <c r="M76" s="1259">
        <f t="shared" si="32"/>
        <v>12600</v>
      </c>
      <c r="N76" s="1260" t="s">
        <v>854</v>
      </c>
      <c r="O76" t="s">
        <v>666</v>
      </c>
    </row>
    <row r="77" spans="1:15" x14ac:dyDescent="0.25">
      <c r="A77" s="298" t="s">
        <v>1664</v>
      </c>
      <c r="B77" s="298" t="s">
        <v>1478</v>
      </c>
      <c r="C77" s="1218">
        <v>42171</v>
      </c>
      <c r="D77" s="1266">
        <v>42232</v>
      </c>
      <c r="E77" s="1261">
        <v>6000</v>
      </c>
      <c r="F77" s="1262"/>
      <c r="G77" s="1263">
        <v>6000</v>
      </c>
      <c r="H77" s="1264">
        <v>300</v>
      </c>
      <c r="I77" s="1263">
        <v>300</v>
      </c>
      <c r="J77" s="1265"/>
      <c r="K77" s="1257">
        <v>315</v>
      </c>
      <c r="L77" s="1258">
        <f t="shared" si="31"/>
        <v>300</v>
      </c>
      <c r="M77" s="1259">
        <f t="shared" si="32"/>
        <v>6615</v>
      </c>
      <c r="N77" s="1260">
        <v>42171</v>
      </c>
      <c r="O77" t="s">
        <v>666</v>
      </c>
    </row>
    <row r="78" spans="1:15" x14ac:dyDescent="0.25">
      <c r="A78" s="298" t="s">
        <v>1405</v>
      </c>
      <c r="B78" s="298" t="s">
        <v>1406</v>
      </c>
      <c r="C78" s="1218">
        <v>41823</v>
      </c>
      <c r="D78" s="299">
        <v>42127</v>
      </c>
      <c r="E78" s="1255">
        <v>7000</v>
      </c>
      <c r="F78" s="1254">
        <v>592</v>
      </c>
      <c r="G78" s="1255">
        <v>4153</v>
      </c>
      <c r="H78" s="1254">
        <v>2687</v>
      </c>
      <c r="I78" s="1255">
        <v>415</v>
      </c>
      <c r="J78" s="1256">
        <v>721</v>
      </c>
      <c r="K78" s="1257">
        <v>228</v>
      </c>
      <c r="L78" s="1258">
        <f t="shared" si="31"/>
        <v>4000</v>
      </c>
      <c r="M78" s="1259">
        <f t="shared" si="32"/>
        <v>4796</v>
      </c>
      <c r="N78" s="1260">
        <v>42163</v>
      </c>
      <c r="O78" t="s">
        <v>666</v>
      </c>
    </row>
    <row r="79" spans="1:15" x14ac:dyDescent="0.25">
      <c r="A79" s="298" t="s">
        <v>1469</v>
      </c>
      <c r="B79" s="298" t="s">
        <v>1470</v>
      </c>
      <c r="C79" s="1218">
        <v>41704</v>
      </c>
      <c r="D79" s="299">
        <v>42010</v>
      </c>
      <c r="E79" s="1261">
        <v>150000</v>
      </c>
      <c r="F79" s="1262"/>
      <c r="G79" s="1263">
        <v>150000</v>
      </c>
      <c r="H79" s="1264"/>
      <c r="I79" s="1263">
        <v>127500</v>
      </c>
      <c r="J79" s="1265"/>
      <c r="K79" s="1257">
        <v>13875</v>
      </c>
      <c r="L79" s="1258">
        <f t="shared" ref="L79:M89" si="33">F79+H79+J79</f>
        <v>0</v>
      </c>
      <c r="M79" s="1259">
        <f t="shared" si="33"/>
        <v>291375</v>
      </c>
      <c r="N79" s="1260" t="s">
        <v>76</v>
      </c>
      <c r="O79" t="s">
        <v>666</v>
      </c>
    </row>
    <row r="80" spans="1:15" x14ac:dyDescent="0.25">
      <c r="A80" s="298" t="s">
        <v>1708</v>
      </c>
      <c r="B80" s="298" t="s">
        <v>1260</v>
      </c>
      <c r="C80" s="1218">
        <v>41708</v>
      </c>
      <c r="D80" s="299">
        <v>41649</v>
      </c>
      <c r="E80" s="1263">
        <v>15000</v>
      </c>
      <c r="F80" s="1264">
        <v>399</v>
      </c>
      <c r="G80" s="1263">
        <v>3201</v>
      </c>
      <c r="H80" s="1264">
        <v>1400</v>
      </c>
      <c r="I80" s="1263"/>
      <c r="J80" s="1265">
        <v>701</v>
      </c>
      <c r="K80" s="1257"/>
      <c r="L80" s="1258">
        <f t="shared" si="33"/>
        <v>2500</v>
      </c>
      <c r="M80" s="1259">
        <f t="shared" si="33"/>
        <v>3201</v>
      </c>
      <c r="N80" s="1260">
        <v>42221</v>
      </c>
      <c r="O80" t="s">
        <v>666</v>
      </c>
    </row>
    <row r="81" spans="1:15" x14ac:dyDescent="0.25">
      <c r="A81" s="298" t="s">
        <v>1708</v>
      </c>
      <c r="B81" s="298" t="s">
        <v>1260</v>
      </c>
      <c r="C81" s="1218">
        <v>41710</v>
      </c>
      <c r="D81" s="299">
        <v>42016</v>
      </c>
      <c r="E81" s="1263">
        <v>5000</v>
      </c>
      <c r="F81" s="1264"/>
      <c r="G81" s="1263">
        <v>5000</v>
      </c>
      <c r="H81" s="1264"/>
      <c r="I81" s="1263">
        <v>4250</v>
      </c>
      <c r="J81" s="1265"/>
      <c r="K81" s="1257">
        <v>1399</v>
      </c>
      <c r="L81" s="1258">
        <f t="shared" si="33"/>
        <v>0</v>
      </c>
      <c r="M81" s="1259">
        <f t="shared" si="33"/>
        <v>10649</v>
      </c>
      <c r="N81" s="1260" t="s">
        <v>76</v>
      </c>
      <c r="O81" t="s">
        <v>666</v>
      </c>
    </row>
    <row r="82" spans="1:15" x14ac:dyDescent="0.25">
      <c r="A82" s="298" t="s">
        <v>1403</v>
      </c>
      <c r="B82" s="298" t="s">
        <v>1404</v>
      </c>
      <c r="C82" s="1218">
        <v>41869</v>
      </c>
      <c r="D82" s="299">
        <v>42041</v>
      </c>
      <c r="E82" s="1255">
        <v>18000</v>
      </c>
      <c r="F82" s="1254">
        <v>1000</v>
      </c>
      <c r="G82" s="1255">
        <v>17000</v>
      </c>
      <c r="H82" s="1254">
        <v>3500</v>
      </c>
      <c r="I82" s="1255">
        <v>3300</v>
      </c>
      <c r="J82" s="1256">
        <v>500</v>
      </c>
      <c r="K82" s="1257">
        <v>1947</v>
      </c>
      <c r="L82" s="1258">
        <f t="shared" si="33"/>
        <v>5000</v>
      </c>
      <c r="M82" s="1259">
        <f t="shared" si="33"/>
        <v>22247</v>
      </c>
      <c r="N82" s="1260">
        <v>42234</v>
      </c>
      <c r="O82" t="s">
        <v>666</v>
      </c>
    </row>
    <row r="83" spans="1:15" x14ac:dyDescent="0.25">
      <c r="A83" s="298" t="s">
        <v>1661</v>
      </c>
      <c r="B83" s="298" t="s">
        <v>1542</v>
      </c>
      <c r="C83" s="1218">
        <v>41835</v>
      </c>
      <c r="D83" s="299">
        <v>41774</v>
      </c>
      <c r="E83" s="1255">
        <v>15000</v>
      </c>
      <c r="F83" s="1254">
        <v>500</v>
      </c>
      <c r="G83" s="1255">
        <v>9637</v>
      </c>
      <c r="H83" s="1254">
        <v>1000</v>
      </c>
      <c r="I83" s="1255">
        <v>2162</v>
      </c>
      <c r="J83" s="1256">
        <v>500</v>
      </c>
      <c r="K83" s="1257">
        <v>589</v>
      </c>
      <c r="L83" s="1258">
        <f t="shared" si="33"/>
        <v>2000</v>
      </c>
      <c r="M83" s="1259">
        <f t="shared" si="33"/>
        <v>12388</v>
      </c>
      <c r="N83" s="1260">
        <v>42174</v>
      </c>
      <c r="O83" t="s">
        <v>666</v>
      </c>
    </row>
    <row r="84" spans="1:15" x14ac:dyDescent="0.25">
      <c r="A84" s="298" t="s">
        <v>1543</v>
      </c>
      <c r="B84" s="298" t="s">
        <v>1544</v>
      </c>
      <c r="C84" s="1218">
        <v>41908</v>
      </c>
      <c r="D84" s="299">
        <v>42089</v>
      </c>
      <c r="E84" s="1255">
        <v>4000</v>
      </c>
      <c r="F84" s="1254">
        <v>300</v>
      </c>
      <c r="G84" s="1255">
        <v>3700</v>
      </c>
      <c r="H84" s="1254">
        <v>200</v>
      </c>
      <c r="I84" s="1255">
        <v>940</v>
      </c>
      <c r="J84" s="1256"/>
      <c r="K84" s="1257">
        <v>232</v>
      </c>
      <c r="L84" s="1258">
        <f t="shared" si="33"/>
        <v>500</v>
      </c>
      <c r="M84" s="1259">
        <f t="shared" si="33"/>
        <v>4872</v>
      </c>
      <c r="N84" s="1260">
        <v>42110</v>
      </c>
      <c r="O84" t="s">
        <v>666</v>
      </c>
    </row>
    <row r="85" spans="1:15" x14ac:dyDescent="0.25">
      <c r="A85" s="298" t="s">
        <v>1073</v>
      </c>
      <c r="B85" s="298" t="s">
        <v>771</v>
      </c>
      <c r="C85" s="1218">
        <v>42038</v>
      </c>
      <c r="D85" s="299">
        <v>42127</v>
      </c>
      <c r="E85" s="1255">
        <v>10000</v>
      </c>
      <c r="F85" s="1254"/>
      <c r="G85" s="1255">
        <v>10000</v>
      </c>
      <c r="H85" s="1254"/>
      <c r="I85" s="1255">
        <v>3000</v>
      </c>
      <c r="J85" s="1256"/>
      <c r="K85" s="1257">
        <v>1300</v>
      </c>
      <c r="L85" s="1258">
        <f t="shared" si="33"/>
        <v>0</v>
      </c>
      <c r="M85" s="1259">
        <f t="shared" si="33"/>
        <v>14300</v>
      </c>
      <c r="N85" s="1260" t="s">
        <v>76</v>
      </c>
      <c r="O85" t="s">
        <v>666</v>
      </c>
    </row>
    <row r="86" spans="1:15" x14ac:dyDescent="0.25">
      <c r="A86" s="298" t="s">
        <v>1674</v>
      </c>
      <c r="B86" s="298" t="s">
        <v>1144</v>
      </c>
      <c r="C86" s="1218">
        <v>42041</v>
      </c>
      <c r="D86" s="1266">
        <v>42222</v>
      </c>
      <c r="E86" s="1261">
        <v>15000</v>
      </c>
      <c r="F86" s="1262">
        <v>3697</v>
      </c>
      <c r="G86" s="1263">
        <v>8303</v>
      </c>
      <c r="H86" s="1264">
        <v>3000</v>
      </c>
      <c r="I86" s="1263"/>
      <c r="J86" s="1265">
        <v>303</v>
      </c>
      <c r="K86" s="1257"/>
      <c r="L86" s="1258">
        <f t="shared" si="33"/>
        <v>7000</v>
      </c>
      <c r="M86" s="1259">
        <f t="shared" si="33"/>
        <v>8303</v>
      </c>
      <c r="N86" s="1260">
        <v>42220</v>
      </c>
      <c r="O86" t="s">
        <v>666</v>
      </c>
    </row>
    <row r="87" spans="1:15" x14ac:dyDescent="0.25">
      <c r="A87" s="298" t="s">
        <v>1295</v>
      </c>
      <c r="B87" s="298" t="s">
        <v>1144</v>
      </c>
      <c r="C87" s="1218">
        <v>41872</v>
      </c>
      <c r="D87" s="1266">
        <v>42176</v>
      </c>
      <c r="E87" s="1261">
        <v>8000</v>
      </c>
      <c r="F87" s="1262">
        <v>500</v>
      </c>
      <c r="G87" s="1263">
        <v>7500</v>
      </c>
      <c r="H87" s="1264">
        <v>1500</v>
      </c>
      <c r="I87" s="1263">
        <v>2550</v>
      </c>
      <c r="J87" s="1265"/>
      <c r="K87" s="1257">
        <v>502</v>
      </c>
      <c r="L87" s="1258">
        <f t="shared" si="33"/>
        <v>2000</v>
      </c>
      <c r="M87" s="1259">
        <f t="shared" si="33"/>
        <v>10552</v>
      </c>
      <c r="N87" s="1260">
        <v>42150</v>
      </c>
      <c r="O87" t="s">
        <v>666</v>
      </c>
    </row>
    <row r="88" spans="1:15" x14ac:dyDescent="0.25">
      <c r="A88" s="298" t="s">
        <v>1352</v>
      </c>
      <c r="B88" s="298" t="s">
        <v>1353</v>
      </c>
      <c r="C88" s="1218">
        <v>41806</v>
      </c>
      <c r="D88" s="299">
        <v>42110</v>
      </c>
      <c r="E88" s="1255">
        <v>20000</v>
      </c>
      <c r="F88" s="1254">
        <v>1645</v>
      </c>
      <c r="G88" s="1255">
        <v>4755</v>
      </c>
      <c r="H88" s="1254">
        <v>320</v>
      </c>
      <c r="I88" s="1255"/>
      <c r="J88" s="1256">
        <v>35</v>
      </c>
      <c r="K88" s="1257"/>
      <c r="L88" s="1258">
        <f t="shared" si="33"/>
        <v>2000</v>
      </c>
      <c r="M88" s="1259">
        <f t="shared" si="33"/>
        <v>4755</v>
      </c>
      <c r="N88" s="1260">
        <v>42217</v>
      </c>
      <c r="O88" t="s">
        <v>666</v>
      </c>
    </row>
    <row r="89" spans="1:15" x14ac:dyDescent="0.25">
      <c r="A89" s="298" t="s">
        <v>1293</v>
      </c>
      <c r="B89" s="298" t="s">
        <v>1294</v>
      </c>
      <c r="C89" s="1218">
        <v>41841</v>
      </c>
      <c r="D89" s="299">
        <v>42145</v>
      </c>
      <c r="E89" s="1268">
        <v>6000</v>
      </c>
      <c r="F89" s="1254">
        <v>800</v>
      </c>
      <c r="G89" s="1255">
        <v>3500</v>
      </c>
      <c r="H89" s="1254">
        <v>1000</v>
      </c>
      <c r="I89" s="1255">
        <v>2165</v>
      </c>
      <c r="J89" s="1256">
        <v>200</v>
      </c>
      <c r="K89" s="1257">
        <v>283</v>
      </c>
      <c r="L89" s="1258">
        <f t="shared" si="33"/>
        <v>2000</v>
      </c>
      <c r="M89" s="1259">
        <f t="shared" si="33"/>
        <v>5948</v>
      </c>
      <c r="N89" s="1260">
        <v>42158</v>
      </c>
      <c r="O89" t="s">
        <v>666</v>
      </c>
    </row>
    <row r="90" spans="1:15" x14ac:dyDescent="0.25">
      <c r="A90" s="298" t="s">
        <v>1670</v>
      </c>
      <c r="B90" s="298" t="s">
        <v>1260</v>
      </c>
      <c r="C90" s="1218">
        <v>41927</v>
      </c>
      <c r="D90" s="1266">
        <v>42231</v>
      </c>
      <c r="E90" s="1261">
        <v>5000</v>
      </c>
      <c r="F90" s="1262">
        <v>500</v>
      </c>
      <c r="G90" s="1263">
        <v>3500</v>
      </c>
      <c r="H90" s="1264">
        <v>250</v>
      </c>
      <c r="I90" s="1263">
        <v>1750</v>
      </c>
      <c r="J90" s="1265"/>
      <c r="K90" s="1257">
        <v>262</v>
      </c>
      <c r="L90" s="1258">
        <f t="shared" ref="L90:L91" si="34">F90+H90+J90</f>
        <v>750</v>
      </c>
      <c r="M90" s="1259">
        <f t="shared" ref="M90:M91" si="35">G90+I90+K90</f>
        <v>5512</v>
      </c>
      <c r="N90" s="1260">
        <v>42020</v>
      </c>
      <c r="O90" t="s">
        <v>666</v>
      </c>
    </row>
    <row r="91" spans="1:15" x14ac:dyDescent="0.25">
      <c r="A91" s="298" t="s">
        <v>1354</v>
      </c>
      <c r="B91" s="298" t="s">
        <v>514</v>
      </c>
      <c r="C91" s="1218">
        <v>41768</v>
      </c>
      <c r="D91" s="299">
        <v>42072</v>
      </c>
      <c r="E91" s="1255">
        <v>10000</v>
      </c>
      <c r="F91" s="1254">
        <v>1300</v>
      </c>
      <c r="G91" s="1255">
        <v>7722</v>
      </c>
      <c r="H91" s="1254">
        <v>500</v>
      </c>
      <c r="I91" s="1255">
        <v>4827</v>
      </c>
      <c r="J91" s="1256">
        <v>200</v>
      </c>
      <c r="K91" s="1257">
        <v>627</v>
      </c>
      <c r="L91" s="1258">
        <f t="shared" si="34"/>
        <v>2000</v>
      </c>
      <c r="M91" s="1259">
        <f t="shared" si="35"/>
        <v>13176</v>
      </c>
      <c r="N91" s="1260">
        <v>42229</v>
      </c>
      <c r="O91" t="s">
        <v>666</v>
      </c>
    </row>
    <row r="92" spans="1:15" x14ac:dyDescent="0.25">
      <c r="A92" s="298" t="s">
        <v>1838</v>
      </c>
      <c r="B92" s="298" t="s">
        <v>1705</v>
      </c>
      <c r="C92" s="1218">
        <v>42048</v>
      </c>
      <c r="D92" s="299">
        <v>42168</v>
      </c>
      <c r="E92" s="1255">
        <v>8000</v>
      </c>
      <c r="F92" s="1254"/>
      <c r="G92" s="1255">
        <v>2740</v>
      </c>
      <c r="H92" s="1254"/>
      <c r="I92" s="1255">
        <v>1060</v>
      </c>
      <c r="J92" s="1256"/>
      <c r="K92" s="1267"/>
      <c r="L92" s="1258">
        <f t="shared" ref="L92:M95" si="36">F92+H92+J92</f>
        <v>0</v>
      </c>
      <c r="M92" s="1259">
        <f t="shared" si="36"/>
        <v>3800</v>
      </c>
      <c r="N92" s="1260">
        <v>42168</v>
      </c>
      <c r="O92" t="s">
        <v>666</v>
      </c>
    </row>
    <row r="93" spans="1:15" x14ac:dyDescent="0.25">
      <c r="A93" s="298" t="s">
        <v>1552</v>
      </c>
      <c r="B93" s="298" t="s">
        <v>461</v>
      </c>
      <c r="C93" s="1218">
        <v>41725</v>
      </c>
      <c r="D93" s="299">
        <v>42031</v>
      </c>
      <c r="E93" s="1263">
        <v>25000</v>
      </c>
      <c r="F93" s="1262"/>
      <c r="G93" s="1225">
        <v>25000</v>
      </c>
      <c r="H93" s="1262">
        <v>1750</v>
      </c>
      <c r="I93" s="1261">
        <v>2000</v>
      </c>
      <c r="J93" s="1269">
        <v>479</v>
      </c>
      <c r="K93" s="1257">
        <v>1350</v>
      </c>
      <c r="L93" s="1258">
        <f t="shared" si="36"/>
        <v>2229</v>
      </c>
      <c r="M93" s="1259">
        <f t="shared" si="36"/>
        <v>28350</v>
      </c>
      <c r="N93" s="1260">
        <v>42023</v>
      </c>
      <c r="O93" t="s">
        <v>666</v>
      </c>
    </row>
    <row r="94" spans="1:15" x14ac:dyDescent="0.25">
      <c r="A94" s="298" t="s">
        <v>1854</v>
      </c>
      <c r="B94" s="298" t="s">
        <v>1855</v>
      </c>
      <c r="C94" s="1218">
        <v>41907</v>
      </c>
      <c r="D94" s="299">
        <v>42190</v>
      </c>
      <c r="E94" s="1263">
        <v>50000</v>
      </c>
      <c r="F94" s="1262"/>
      <c r="G94" s="1225">
        <v>50000</v>
      </c>
      <c r="H94" s="1262">
        <v>6296</v>
      </c>
      <c r="I94" s="1261">
        <v>21204</v>
      </c>
      <c r="J94" s="1269">
        <v>1704</v>
      </c>
      <c r="K94" s="1257">
        <v>3560</v>
      </c>
      <c r="L94" s="1258">
        <f t="shared" si="36"/>
        <v>8000</v>
      </c>
      <c r="M94" s="1259">
        <f t="shared" si="36"/>
        <v>74764</v>
      </c>
      <c r="N94" s="1260">
        <v>41985</v>
      </c>
      <c r="O94" t="s">
        <v>666</v>
      </c>
    </row>
    <row r="95" spans="1:15" x14ac:dyDescent="0.25">
      <c r="A95" s="575" t="s">
        <v>1549</v>
      </c>
      <c r="B95" s="298" t="s">
        <v>1387</v>
      </c>
      <c r="C95" s="1218">
        <v>41870</v>
      </c>
      <c r="D95" s="260">
        <v>42023</v>
      </c>
      <c r="E95" s="1263">
        <v>3000</v>
      </c>
      <c r="F95" s="1264"/>
      <c r="G95" s="1263">
        <v>3000</v>
      </c>
      <c r="H95" s="1264"/>
      <c r="I95" s="1263">
        <v>450</v>
      </c>
      <c r="J95" s="1265"/>
      <c r="K95" s="1257">
        <v>172</v>
      </c>
      <c r="L95" s="1258">
        <f t="shared" si="36"/>
        <v>0</v>
      </c>
      <c r="M95" s="1259">
        <f t="shared" si="36"/>
        <v>3622</v>
      </c>
      <c r="N95" s="1260" t="s">
        <v>479</v>
      </c>
      <c r="O95" t="s">
        <v>666</v>
      </c>
    </row>
    <row r="96" spans="1:15" x14ac:dyDescent="0.25">
      <c r="A96" s="575" t="s">
        <v>1309</v>
      </c>
      <c r="B96" s="298" t="s">
        <v>1310</v>
      </c>
      <c r="C96" s="1218">
        <v>41913</v>
      </c>
      <c r="D96" s="299">
        <v>42095</v>
      </c>
      <c r="E96" s="1255">
        <v>6000</v>
      </c>
      <c r="F96" s="1254">
        <v>1410</v>
      </c>
      <c r="G96" s="1255">
        <v>3385</v>
      </c>
      <c r="H96" s="1254">
        <v>1320</v>
      </c>
      <c r="I96" s="1255">
        <v>169</v>
      </c>
      <c r="J96" s="1256">
        <v>270</v>
      </c>
      <c r="K96" s="1257">
        <v>177</v>
      </c>
      <c r="L96" s="1258">
        <f t="shared" ref="L96:L104" si="37">F96+H96+J96</f>
        <v>3000</v>
      </c>
      <c r="M96" s="1259">
        <f t="shared" ref="M96:M104" si="38">G96+I96+K96</f>
        <v>3731</v>
      </c>
      <c r="N96" s="1260">
        <v>42206</v>
      </c>
      <c r="O96" t="s">
        <v>666</v>
      </c>
    </row>
    <row r="97" spans="1:15" x14ac:dyDescent="0.25">
      <c r="A97" s="575" t="s">
        <v>1366</v>
      </c>
      <c r="B97" s="298" t="s">
        <v>1367</v>
      </c>
      <c r="C97" s="1218">
        <v>41914</v>
      </c>
      <c r="D97" s="1266">
        <v>42218</v>
      </c>
      <c r="E97" s="1261">
        <v>30000</v>
      </c>
      <c r="F97" s="1262">
        <v>28000</v>
      </c>
      <c r="G97" s="1263">
        <v>3000</v>
      </c>
      <c r="H97" s="1264"/>
      <c r="I97" s="1263">
        <v>7000</v>
      </c>
      <c r="J97" s="1265"/>
      <c r="K97" s="1257">
        <v>500</v>
      </c>
      <c r="L97" s="1258">
        <f t="shared" si="37"/>
        <v>28000</v>
      </c>
      <c r="M97" s="1259">
        <f t="shared" si="38"/>
        <v>10500</v>
      </c>
      <c r="N97" s="1260">
        <v>42061</v>
      </c>
      <c r="O97" t="s">
        <v>666</v>
      </c>
    </row>
    <row r="98" spans="1:15" x14ac:dyDescent="0.25">
      <c r="A98" s="575" t="s">
        <v>1811</v>
      </c>
      <c r="B98" s="298" t="s">
        <v>1012</v>
      </c>
      <c r="C98" s="1218">
        <v>42150</v>
      </c>
      <c r="D98" s="1266">
        <v>42242</v>
      </c>
      <c r="E98" s="1261">
        <v>15000</v>
      </c>
      <c r="F98" s="1262"/>
      <c r="G98" s="1263">
        <v>15000</v>
      </c>
      <c r="H98" s="1264"/>
      <c r="I98" s="1263">
        <v>750</v>
      </c>
      <c r="J98" s="1265"/>
      <c r="K98" s="1257"/>
      <c r="L98" s="1258">
        <f t="shared" si="37"/>
        <v>0</v>
      </c>
      <c r="M98" s="1259">
        <f t="shared" si="38"/>
        <v>15750</v>
      </c>
      <c r="N98" s="1260" t="s">
        <v>854</v>
      </c>
      <c r="O98" t="s">
        <v>666</v>
      </c>
    </row>
    <row r="99" spans="1:15" x14ac:dyDescent="0.25">
      <c r="A99" s="575" t="s">
        <v>1677</v>
      </c>
      <c r="B99" s="298" t="s">
        <v>1676</v>
      </c>
      <c r="C99" s="1218">
        <v>41960</v>
      </c>
      <c r="D99" s="299">
        <v>42138</v>
      </c>
      <c r="E99" s="1255">
        <v>10000</v>
      </c>
      <c r="F99" s="1254">
        <v>2425</v>
      </c>
      <c r="G99" s="1255">
        <v>7575</v>
      </c>
      <c r="H99" s="1254">
        <v>2258</v>
      </c>
      <c r="I99" s="1255"/>
      <c r="J99" s="1256">
        <v>317</v>
      </c>
      <c r="K99" s="1257"/>
      <c r="L99" s="1258">
        <f t="shared" si="37"/>
        <v>5000</v>
      </c>
      <c r="M99" s="1259">
        <f t="shared" si="38"/>
        <v>7575</v>
      </c>
      <c r="N99" s="1260">
        <v>42226</v>
      </c>
      <c r="O99" t="s">
        <v>666</v>
      </c>
    </row>
    <row r="100" spans="1:15" x14ac:dyDescent="0.25">
      <c r="A100" s="575" t="s">
        <v>562</v>
      </c>
      <c r="B100" s="298" t="s">
        <v>563</v>
      </c>
      <c r="C100" s="1218">
        <v>41845</v>
      </c>
      <c r="D100" s="299">
        <v>42149</v>
      </c>
      <c r="E100" s="1255">
        <v>8000</v>
      </c>
      <c r="F100" s="1254"/>
      <c r="G100" s="1255">
        <v>8000</v>
      </c>
      <c r="H100" s="1254"/>
      <c r="I100" s="1255">
        <v>5200</v>
      </c>
      <c r="J100" s="1256"/>
      <c r="K100" s="1257">
        <v>660</v>
      </c>
      <c r="L100" s="1258">
        <f t="shared" si="37"/>
        <v>0</v>
      </c>
      <c r="M100" s="1259">
        <f t="shared" si="38"/>
        <v>13860</v>
      </c>
      <c r="N100" s="1260">
        <v>41845</v>
      </c>
      <c r="O100" t="s">
        <v>666</v>
      </c>
    </row>
    <row r="101" spans="1:15" x14ac:dyDescent="0.25">
      <c r="A101" s="575" t="s">
        <v>1680</v>
      </c>
      <c r="B101" s="298" t="s">
        <v>1478</v>
      </c>
      <c r="C101" s="1218">
        <v>42367</v>
      </c>
      <c r="D101" s="1266">
        <v>42184</v>
      </c>
      <c r="E101" s="1261">
        <v>3000</v>
      </c>
      <c r="F101" s="1262">
        <v>50</v>
      </c>
      <c r="G101" s="1263">
        <v>2350</v>
      </c>
      <c r="H101" s="1264">
        <v>200</v>
      </c>
      <c r="I101" s="1263">
        <v>735</v>
      </c>
      <c r="J101" s="1265">
        <v>100</v>
      </c>
      <c r="K101" s="1257">
        <v>154</v>
      </c>
      <c r="L101" s="1258">
        <f t="shared" si="37"/>
        <v>350</v>
      </c>
      <c r="M101" s="1259">
        <f t="shared" si="38"/>
        <v>3239</v>
      </c>
      <c r="N101" s="1260">
        <v>42157</v>
      </c>
      <c r="O101" t="s">
        <v>666</v>
      </c>
    </row>
    <row r="102" spans="1:15" x14ac:dyDescent="0.25">
      <c r="A102" s="575" t="s">
        <v>522</v>
      </c>
      <c r="B102" s="298" t="s">
        <v>444</v>
      </c>
      <c r="C102" s="1218">
        <v>41912</v>
      </c>
      <c r="D102" s="299">
        <v>42093</v>
      </c>
      <c r="E102" s="1255">
        <v>6000</v>
      </c>
      <c r="F102" s="1254">
        <v>3776</v>
      </c>
      <c r="G102" s="1255">
        <v>734</v>
      </c>
      <c r="H102" s="1254">
        <v>475</v>
      </c>
      <c r="I102" s="1255">
        <v>146</v>
      </c>
      <c r="J102" s="1256">
        <v>249</v>
      </c>
      <c r="K102" s="1257">
        <v>44</v>
      </c>
      <c r="L102" s="1258">
        <f t="shared" si="37"/>
        <v>4500</v>
      </c>
      <c r="M102" s="1259">
        <f t="shared" si="38"/>
        <v>924</v>
      </c>
      <c r="N102" s="1260">
        <v>42110</v>
      </c>
      <c r="O102" t="s">
        <v>666</v>
      </c>
    </row>
    <row r="103" spans="1:15" x14ac:dyDescent="0.25">
      <c r="A103" s="575" t="s">
        <v>1553</v>
      </c>
      <c r="B103" s="298" t="s">
        <v>1554</v>
      </c>
      <c r="C103" s="1218">
        <v>41865</v>
      </c>
      <c r="D103" s="299">
        <v>42169</v>
      </c>
      <c r="E103" s="1255">
        <v>25000</v>
      </c>
      <c r="F103" s="1254"/>
      <c r="G103" s="1255">
        <v>25000</v>
      </c>
      <c r="H103" s="1254">
        <v>1250</v>
      </c>
      <c r="I103" s="1255">
        <v>1250</v>
      </c>
      <c r="J103" s="1256"/>
      <c r="K103" s="1257">
        <v>1312</v>
      </c>
      <c r="L103" s="1258">
        <f t="shared" si="37"/>
        <v>1250</v>
      </c>
      <c r="M103" s="1259">
        <f t="shared" si="38"/>
        <v>27562</v>
      </c>
      <c r="N103" s="1260">
        <v>42205</v>
      </c>
      <c r="O103" t="s">
        <v>666</v>
      </c>
    </row>
    <row r="104" spans="1:15" x14ac:dyDescent="0.25">
      <c r="A104" s="575" t="s">
        <v>1355</v>
      </c>
      <c r="B104" s="298" t="s">
        <v>721</v>
      </c>
      <c r="C104" s="1218">
        <v>41968</v>
      </c>
      <c r="D104" s="299">
        <v>42119</v>
      </c>
      <c r="E104" s="1255">
        <v>20000</v>
      </c>
      <c r="F104" s="1254">
        <v>8000</v>
      </c>
      <c r="G104" s="1255">
        <v>8000</v>
      </c>
      <c r="H104" s="1254">
        <v>2000</v>
      </c>
      <c r="I104" s="1255">
        <v>3600</v>
      </c>
      <c r="J104" s="1256">
        <v>83</v>
      </c>
      <c r="K104" s="1257">
        <v>1500</v>
      </c>
      <c r="L104" s="1258">
        <f t="shared" si="37"/>
        <v>10083</v>
      </c>
      <c r="M104" s="1259">
        <f t="shared" si="38"/>
        <v>13100</v>
      </c>
      <c r="N104" s="1260">
        <v>42045</v>
      </c>
      <c r="O104" t="s">
        <v>666</v>
      </c>
    </row>
    <row r="105" spans="1:15" x14ac:dyDescent="0.25">
      <c r="A105" s="575" t="s">
        <v>1683</v>
      </c>
      <c r="B105" s="298" t="s">
        <v>1144</v>
      </c>
      <c r="C105" s="1218">
        <v>41948</v>
      </c>
      <c r="D105" s="299">
        <v>42068</v>
      </c>
      <c r="E105" s="1255">
        <v>5000</v>
      </c>
      <c r="F105" s="1254">
        <v>3050</v>
      </c>
      <c r="G105" s="1255">
        <v>1950</v>
      </c>
      <c r="H105" s="1254">
        <v>1500</v>
      </c>
      <c r="I105" s="1255">
        <v>390</v>
      </c>
      <c r="J105" s="1256">
        <v>450</v>
      </c>
      <c r="K105" s="1257">
        <v>117</v>
      </c>
      <c r="L105" s="1258">
        <f t="shared" ref="L105:L106" si="39">F105+H105+J105</f>
        <v>5000</v>
      </c>
      <c r="M105" s="1259">
        <f t="shared" ref="M105:M106" si="40">G105+I105+K105</f>
        <v>2457</v>
      </c>
      <c r="N105" s="1260">
        <v>42128</v>
      </c>
      <c r="O105" t="s">
        <v>666</v>
      </c>
    </row>
    <row r="106" spans="1:15" x14ac:dyDescent="0.25">
      <c r="A106" s="575" t="s">
        <v>1685</v>
      </c>
      <c r="B106" s="298" t="s">
        <v>398</v>
      </c>
      <c r="C106" s="1218">
        <v>42039</v>
      </c>
      <c r="D106" s="299">
        <v>42128</v>
      </c>
      <c r="E106" s="1255">
        <v>15000</v>
      </c>
      <c r="F106" s="1254"/>
      <c r="G106" s="1255">
        <v>15000</v>
      </c>
      <c r="H106" s="1254">
        <v>1475</v>
      </c>
      <c r="I106" s="1255">
        <v>3025</v>
      </c>
      <c r="J106" s="1256">
        <v>575</v>
      </c>
      <c r="K106" s="1257">
        <v>901</v>
      </c>
      <c r="L106" s="1258">
        <f t="shared" si="39"/>
        <v>2050</v>
      </c>
      <c r="M106" s="1259">
        <f t="shared" si="40"/>
        <v>18926</v>
      </c>
      <c r="N106" s="1260">
        <v>42112</v>
      </c>
      <c r="O106" t="s">
        <v>666</v>
      </c>
    </row>
    <row r="107" spans="1:15" x14ac:dyDescent="0.25">
      <c r="A107" s="575" t="s">
        <v>1472</v>
      </c>
      <c r="B107" s="298" t="s">
        <v>1709</v>
      </c>
      <c r="C107" s="1218">
        <v>41716</v>
      </c>
      <c r="D107" s="299">
        <v>42022</v>
      </c>
      <c r="E107" s="1263">
        <v>20000</v>
      </c>
      <c r="F107" s="1264">
        <v>5054</v>
      </c>
      <c r="G107" s="1263">
        <v>9046</v>
      </c>
      <c r="H107" s="1264">
        <v>5535</v>
      </c>
      <c r="I107" s="1263">
        <v>1809</v>
      </c>
      <c r="J107" s="1265">
        <v>1411</v>
      </c>
      <c r="K107" s="1257">
        <v>1121</v>
      </c>
      <c r="L107" s="1258">
        <f>F107+H107+J107</f>
        <v>12000</v>
      </c>
      <c r="M107" s="1259">
        <f>G107+I107+K107</f>
        <v>11976</v>
      </c>
      <c r="N107" s="1260">
        <v>42124</v>
      </c>
      <c r="O107" t="s">
        <v>666</v>
      </c>
    </row>
    <row r="108" spans="1:15" x14ac:dyDescent="0.25">
      <c r="A108" s="575" t="s">
        <v>1195</v>
      </c>
      <c r="B108" s="298" t="s">
        <v>1008</v>
      </c>
      <c r="C108" s="1218">
        <v>41927</v>
      </c>
      <c r="D108" s="299">
        <v>42050</v>
      </c>
      <c r="E108" s="1255">
        <v>15000</v>
      </c>
      <c r="F108" s="1254">
        <v>1704</v>
      </c>
      <c r="G108" s="1255">
        <v>10721</v>
      </c>
      <c r="H108" s="1254">
        <v>621</v>
      </c>
      <c r="I108" s="1255">
        <v>1608</v>
      </c>
      <c r="J108" s="1256">
        <v>675</v>
      </c>
      <c r="K108" s="1257">
        <v>616</v>
      </c>
      <c r="L108" s="1258">
        <f t="shared" ref="L108:L111" si="41">F108+H108+J108</f>
        <v>3000</v>
      </c>
      <c r="M108" s="1259">
        <f t="shared" ref="M108:M111" si="42">G108+I108+K108</f>
        <v>12945</v>
      </c>
      <c r="N108" s="1260">
        <v>42135</v>
      </c>
      <c r="O108" t="s">
        <v>666</v>
      </c>
    </row>
    <row r="109" spans="1:15" x14ac:dyDescent="0.25">
      <c r="A109" s="575" t="s">
        <v>802</v>
      </c>
      <c r="B109" s="298" t="s">
        <v>1478</v>
      </c>
      <c r="C109" s="1218">
        <v>42034</v>
      </c>
      <c r="D109" s="1266">
        <v>42215</v>
      </c>
      <c r="E109" s="1261">
        <v>4500</v>
      </c>
      <c r="F109" s="1262"/>
      <c r="G109" s="1263">
        <v>4500</v>
      </c>
      <c r="H109" s="1264"/>
      <c r="I109" s="1263">
        <v>1575</v>
      </c>
      <c r="J109" s="1265"/>
      <c r="K109" s="1257">
        <v>303</v>
      </c>
      <c r="L109" s="1258">
        <f t="shared" si="41"/>
        <v>0</v>
      </c>
      <c r="M109" s="1259">
        <f t="shared" si="42"/>
        <v>6378</v>
      </c>
      <c r="N109" s="1260" t="s">
        <v>76</v>
      </c>
      <c r="O109" t="s">
        <v>666</v>
      </c>
    </row>
    <row r="110" spans="1:15" x14ac:dyDescent="0.25">
      <c r="A110" s="575" t="s">
        <v>1168</v>
      </c>
      <c r="B110" s="298" t="s">
        <v>461</v>
      </c>
      <c r="C110" s="1218">
        <v>41753</v>
      </c>
      <c r="D110" s="1266">
        <v>42059</v>
      </c>
      <c r="E110" s="1261">
        <v>20000</v>
      </c>
      <c r="F110" s="1262"/>
      <c r="G110" s="1263">
        <v>20000</v>
      </c>
      <c r="H110" s="1264">
        <v>3500</v>
      </c>
      <c r="I110" s="1263">
        <v>12500</v>
      </c>
      <c r="J110" s="1265">
        <v>500</v>
      </c>
      <c r="K110" s="1257">
        <v>1625</v>
      </c>
      <c r="L110" s="1258">
        <f t="shared" si="41"/>
        <v>4000</v>
      </c>
      <c r="M110" s="1259">
        <f t="shared" si="42"/>
        <v>34125</v>
      </c>
      <c r="N110" s="1260">
        <v>42215</v>
      </c>
      <c r="O110" t="s">
        <v>666</v>
      </c>
    </row>
    <row r="111" spans="1:15" x14ac:dyDescent="0.25">
      <c r="A111" s="575" t="s">
        <v>1560</v>
      </c>
      <c r="B111" s="298" t="s">
        <v>719</v>
      </c>
      <c r="C111" s="1218">
        <v>41920</v>
      </c>
      <c r="D111" s="299">
        <v>42102</v>
      </c>
      <c r="E111" s="1255">
        <v>10000</v>
      </c>
      <c r="F111" s="1254">
        <v>400</v>
      </c>
      <c r="G111" s="1255">
        <v>6200</v>
      </c>
      <c r="H111" s="1254">
        <v>400</v>
      </c>
      <c r="I111" s="1255">
        <v>1600</v>
      </c>
      <c r="J111" s="1256">
        <v>200</v>
      </c>
      <c r="K111" s="1257">
        <v>390</v>
      </c>
      <c r="L111" s="1258">
        <f t="shared" si="41"/>
        <v>1000</v>
      </c>
      <c r="M111" s="1259">
        <f t="shared" si="42"/>
        <v>8190</v>
      </c>
      <c r="N111" s="1260">
        <v>42180</v>
      </c>
      <c r="O111" t="s">
        <v>666</v>
      </c>
    </row>
    <row r="112" spans="1:15" x14ac:dyDescent="0.25">
      <c r="A112" s="575" t="s">
        <v>1243</v>
      </c>
      <c r="B112" s="298" t="s">
        <v>750</v>
      </c>
      <c r="C112" s="1218">
        <v>41832</v>
      </c>
      <c r="D112" s="299">
        <v>42136</v>
      </c>
      <c r="E112" s="1255">
        <v>14500</v>
      </c>
      <c r="F112" s="1254">
        <v>1500</v>
      </c>
      <c r="G112" s="1255">
        <v>13000</v>
      </c>
      <c r="H112" s="1254">
        <v>500</v>
      </c>
      <c r="I112" s="1255">
        <v>1577</v>
      </c>
      <c r="J112" s="1256">
        <v>500</v>
      </c>
      <c r="K112" s="1257">
        <v>728</v>
      </c>
      <c r="L112" s="1258">
        <f t="shared" ref="L112" si="43">F112+H112+J112</f>
        <v>2500</v>
      </c>
      <c r="M112" s="1259">
        <f t="shared" ref="M112" si="44">G112+I112+K112</f>
        <v>15305</v>
      </c>
      <c r="N112" s="1260">
        <v>42234</v>
      </c>
      <c r="O112" t="s">
        <v>666</v>
      </c>
    </row>
    <row r="113" spans="1:15" x14ac:dyDescent="0.25">
      <c r="A113" s="575" t="s">
        <v>1856</v>
      </c>
      <c r="B113" s="298" t="s">
        <v>14</v>
      </c>
      <c r="C113" s="1218">
        <v>41955</v>
      </c>
      <c r="D113" s="299">
        <v>42047</v>
      </c>
      <c r="E113" s="1255">
        <v>17000</v>
      </c>
      <c r="F113" s="1254">
        <v>15635</v>
      </c>
      <c r="G113" s="1255">
        <v>1365</v>
      </c>
      <c r="H113" s="1254">
        <v>1275</v>
      </c>
      <c r="I113" s="1255">
        <v>409</v>
      </c>
      <c r="J113" s="1256">
        <v>90</v>
      </c>
      <c r="K113" s="1257">
        <v>88</v>
      </c>
      <c r="L113" s="1258">
        <f t="shared" ref="L113:M116" si="45">F113+H113+J113</f>
        <v>17000</v>
      </c>
      <c r="M113" s="1259">
        <f t="shared" si="45"/>
        <v>1862</v>
      </c>
      <c r="N113" s="1260">
        <v>42062</v>
      </c>
      <c r="O113" t="s">
        <v>666</v>
      </c>
    </row>
    <row r="114" spans="1:15" x14ac:dyDescent="0.25">
      <c r="A114" s="575" t="s">
        <v>869</v>
      </c>
      <c r="B114" s="298" t="s">
        <v>870</v>
      </c>
      <c r="C114" s="1218">
        <v>42040</v>
      </c>
      <c r="D114" s="299">
        <v>42099</v>
      </c>
      <c r="E114" s="1255">
        <v>200000</v>
      </c>
      <c r="F114" s="1254"/>
      <c r="G114" s="1255">
        <v>100000</v>
      </c>
      <c r="H114" s="1254">
        <v>5000</v>
      </c>
      <c r="I114" s="1255">
        <v>20000</v>
      </c>
      <c r="J114" s="1256">
        <v>1250</v>
      </c>
      <c r="K114" s="1257">
        <v>6000</v>
      </c>
      <c r="L114" s="1258">
        <f t="shared" si="45"/>
        <v>6250</v>
      </c>
      <c r="M114" s="1259">
        <f t="shared" si="45"/>
        <v>126000</v>
      </c>
      <c r="N114" s="1260">
        <v>42149</v>
      </c>
      <c r="O114" t="s">
        <v>666</v>
      </c>
    </row>
    <row r="115" spans="1:15" x14ac:dyDescent="0.25">
      <c r="A115" s="575" t="s">
        <v>1567</v>
      </c>
      <c r="B115" s="298" t="s">
        <v>945</v>
      </c>
      <c r="C115" s="1218">
        <v>41919</v>
      </c>
      <c r="D115" s="299">
        <v>42223</v>
      </c>
      <c r="E115" s="1255">
        <v>8000</v>
      </c>
      <c r="F115" s="1254"/>
      <c r="G115" s="1255">
        <v>8000</v>
      </c>
      <c r="H115" s="1254"/>
      <c r="I115" s="1255">
        <v>4000</v>
      </c>
      <c r="J115" s="1256"/>
      <c r="K115" s="1257">
        <v>600</v>
      </c>
      <c r="L115" s="1258">
        <f t="shared" si="45"/>
        <v>0</v>
      </c>
      <c r="M115" s="1259">
        <f t="shared" si="45"/>
        <v>12600</v>
      </c>
      <c r="N115" s="1260" t="s">
        <v>1858</v>
      </c>
      <c r="O115" t="s">
        <v>666</v>
      </c>
    </row>
    <row r="116" spans="1:15" x14ac:dyDescent="0.25">
      <c r="A116" s="575" t="s">
        <v>1024</v>
      </c>
      <c r="B116" s="298" t="s">
        <v>655</v>
      </c>
      <c r="C116" s="1218">
        <v>41745</v>
      </c>
      <c r="D116" s="299">
        <v>41686</v>
      </c>
      <c r="E116" s="1255">
        <v>5000</v>
      </c>
      <c r="F116" s="1254">
        <v>200</v>
      </c>
      <c r="G116" s="1255">
        <v>2250</v>
      </c>
      <c r="H116" s="1254">
        <v>100</v>
      </c>
      <c r="I116" s="1255">
        <v>2059</v>
      </c>
      <c r="J116" s="1256"/>
      <c r="K116" s="1257">
        <v>494</v>
      </c>
      <c r="L116" s="1258">
        <f t="shared" si="45"/>
        <v>300</v>
      </c>
      <c r="M116" s="1259">
        <f t="shared" si="45"/>
        <v>4803</v>
      </c>
      <c r="N116" s="1260">
        <v>42208</v>
      </c>
      <c r="O116" t="s">
        <v>666</v>
      </c>
    </row>
    <row r="117" spans="1:15" x14ac:dyDescent="0.25">
      <c r="A117" s="575" t="s">
        <v>1248</v>
      </c>
      <c r="B117" s="298" t="s">
        <v>1478</v>
      </c>
      <c r="C117" s="1218">
        <v>41821</v>
      </c>
      <c r="D117" s="299">
        <v>42125</v>
      </c>
      <c r="E117" s="1255">
        <v>8500</v>
      </c>
      <c r="F117" s="1254"/>
      <c r="G117" s="1255">
        <v>5850</v>
      </c>
      <c r="H117" s="1254">
        <v>2390</v>
      </c>
      <c r="I117" s="1255">
        <v>1424</v>
      </c>
      <c r="J117" s="1256">
        <v>410</v>
      </c>
      <c r="K117" s="1257">
        <v>363</v>
      </c>
      <c r="L117" s="1258">
        <f t="shared" ref="L117:L120" si="46">F117+H117+J117</f>
        <v>2800</v>
      </c>
      <c r="M117" s="1259">
        <f t="shared" ref="M117:M120" si="47">G117+I117+K117</f>
        <v>7637</v>
      </c>
      <c r="N117" s="1260">
        <v>42185</v>
      </c>
      <c r="O117" t="s">
        <v>666</v>
      </c>
    </row>
    <row r="118" spans="1:15" x14ac:dyDescent="0.25">
      <c r="A118" s="298" t="s">
        <v>1859</v>
      </c>
      <c r="B118" s="298" t="s">
        <v>1454</v>
      </c>
      <c r="C118" s="1218">
        <v>41894</v>
      </c>
      <c r="D118" s="299">
        <v>42016</v>
      </c>
      <c r="E118" s="1255">
        <v>450000</v>
      </c>
      <c r="F118" s="1254"/>
      <c r="G118" s="1255">
        <v>450000</v>
      </c>
      <c r="H118" s="1254"/>
      <c r="I118" s="1255">
        <v>247500</v>
      </c>
      <c r="J118" s="1256"/>
      <c r="K118" s="1257">
        <v>34875</v>
      </c>
      <c r="L118" s="1258">
        <f t="shared" ref="L118" si="48">F118+H118+J118</f>
        <v>0</v>
      </c>
      <c r="M118" s="1259">
        <f t="shared" ref="M118" si="49">G118+I118+K118</f>
        <v>732375</v>
      </c>
      <c r="N118" s="1260" t="s">
        <v>76</v>
      </c>
      <c r="O118" t="s">
        <v>666</v>
      </c>
    </row>
    <row r="119" spans="1:15" x14ac:dyDescent="0.25">
      <c r="A119" s="298" t="s">
        <v>1690</v>
      </c>
      <c r="B119" s="298" t="s">
        <v>668</v>
      </c>
      <c r="C119" s="1218">
        <v>42174</v>
      </c>
      <c r="D119" s="1266">
        <v>42235</v>
      </c>
      <c r="E119" s="1261">
        <v>7500</v>
      </c>
      <c r="F119" s="1262"/>
      <c r="G119" s="1263">
        <v>7500</v>
      </c>
      <c r="H119" s="1264"/>
      <c r="I119" s="1263">
        <v>750</v>
      </c>
      <c r="J119" s="1265"/>
      <c r="K119" s="1257"/>
      <c r="L119" s="1258">
        <f t="shared" si="46"/>
        <v>0</v>
      </c>
      <c r="M119" s="1259">
        <f t="shared" si="47"/>
        <v>8250</v>
      </c>
      <c r="N119" s="1260" t="s">
        <v>551</v>
      </c>
      <c r="O119" t="s">
        <v>666</v>
      </c>
    </row>
    <row r="120" spans="1:15" x14ac:dyDescent="0.25">
      <c r="A120" s="298" t="s">
        <v>806</v>
      </c>
      <c r="B120" s="298" t="s">
        <v>807</v>
      </c>
      <c r="C120" s="1218">
        <v>41780</v>
      </c>
      <c r="D120" s="299">
        <v>42084</v>
      </c>
      <c r="E120" s="1255">
        <v>10000</v>
      </c>
      <c r="F120" s="1254"/>
      <c r="G120" s="1255">
        <v>10000</v>
      </c>
      <c r="H120" s="1254"/>
      <c r="I120" s="1255">
        <v>7500</v>
      </c>
      <c r="J120" s="1256"/>
      <c r="K120" s="1257">
        <v>875</v>
      </c>
      <c r="L120" s="1258">
        <f t="shared" si="46"/>
        <v>0</v>
      </c>
      <c r="M120" s="1259">
        <f t="shared" si="47"/>
        <v>18375</v>
      </c>
      <c r="N120" s="1260" t="s">
        <v>76</v>
      </c>
      <c r="O120" t="s">
        <v>666</v>
      </c>
    </row>
    <row r="121" spans="1:15" x14ac:dyDescent="0.25">
      <c r="A121" s="298" t="s">
        <v>1857</v>
      </c>
      <c r="B121" s="298" t="s">
        <v>461</v>
      </c>
      <c r="C121" s="1218">
        <v>42058</v>
      </c>
      <c r="D121" s="299">
        <v>42117</v>
      </c>
      <c r="E121" s="1255">
        <v>5000</v>
      </c>
      <c r="F121" s="1254"/>
      <c r="G121" s="1255">
        <v>5000</v>
      </c>
      <c r="H121" s="1254"/>
      <c r="I121" s="1255">
        <v>1500</v>
      </c>
      <c r="J121" s="1256"/>
      <c r="K121" s="1257">
        <v>325</v>
      </c>
      <c r="L121" s="1258">
        <f t="shared" ref="L121" si="50">F121+H121+J121</f>
        <v>0</v>
      </c>
      <c r="M121" s="1259">
        <f t="shared" ref="M121" si="51">G121+I121+K121</f>
        <v>6825</v>
      </c>
      <c r="N121" s="1260" t="s">
        <v>76</v>
      </c>
      <c r="O121" t="s">
        <v>666</v>
      </c>
    </row>
    <row r="122" spans="1:15" x14ac:dyDescent="0.25">
      <c r="A122" s="298" t="s">
        <v>1327</v>
      </c>
      <c r="B122" s="298" t="s">
        <v>719</v>
      </c>
      <c r="C122" s="260">
        <v>41844</v>
      </c>
      <c r="D122" s="299">
        <v>42028</v>
      </c>
      <c r="E122" s="1261">
        <v>6000</v>
      </c>
      <c r="F122" s="1262"/>
      <c r="G122" s="1225">
        <v>5200</v>
      </c>
      <c r="H122" s="1264">
        <v>800</v>
      </c>
      <c r="I122" s="1263">
        <v>260</v>
      </c>
      <c r="J122" s="1265">
        <v>200</v>
      </c>
      <c r="K122" s="1257">
        <v>270</v>
      </c>
      <c r="L122" s="1258">
        <f>F122+H122+J122</f>
        <v>1000</v>
      </c>
      <c r="M122" s="1259">
        <f>G122+I122+K122</f>
        <v>5730</v>
      </c>
      <c r="N122" s="1260">
        <v>42208</v>
      </c>
      <c r="O122" t="s">
        <v>666</v>
      </c>
    </row>
    <row r="123" spans="1:15" x14ac:dyDescent="0.25">
      <c r="A123" s="575" t="s">
        <v>469</v>
      </c>
      <c r="B123" s="298" t="s">
        <v>524</v>
      </c>
      <c r="C123" s="1218">
        <v>41901</v>
      </c>
      <c r="D123" s="1266">
        <v>41839</v>
      </c>
      <c r="E123" s="1261">
        <v>10000</v>
      </c>
      <c r="F123" s="1262">
        <v>526</v>
      </c>
      <c r="G123" s="1263">
        <v>7959</v>
      </c>
      <c r="H123" s="1264">
        <v>1000</v>
      </c>
      <c r="I123" s="1263">
        <v>397</v>
      </c>
      <c r="J123" s="1265">
        <v>474</v>
      </c>
      <c r="K123" s="1257">
        <v>417</v>
      </c>
      <c r="L123" s="1258">
        <f t="shared" ref="L123:L127" si="52">F123+H123+J123</f>
        <v>2000</v>
      </c>
      <c r="M123" s="1259">
        <f t="shared" ref="M123:M127" si="53">G123+I123+K123</f>
        <v>8773</v>
      </c>
      <c r="N123" s="1260">
        <v>42214</v>
      </c>
      <c r="O123" t="s">
        <v>666</v>
      </c>
    </row>
    <row r="124" spans="1:15" x14ac:dyDescent="0.25">
      <c r="A124" s="298" t="s">
        <v>1431</v>
      </c>
      <c r="B124" s="298" t="s">
        <v>1432</v>
      </c>
      <c r="C124" s="1218">
        <v>42024</v>
      </c>
      <c r="D124" s="299">
        <v>42205</v>
      </c>
      <c r="E124" s="1255">
        <v>26000</v>
      </c>
      <c r="F124" s="1254">
        <v>1960</v>
      </c>
      <c r="G124" s="1255">
        <v>3555</v>
      </c>
      <c r="H124" s="1254">
        <v>550</v>
      </c>
      <c r="I124" s="1255">
        <v>1415</v>
      </c>
      <c r="J124" s="1256"/>
      <c r="K124" s="1257">
        <v>937</v>
      </c>
      <c r="L124" s="1258">
        <f t="shared" si="52"/>
        <v>2510</v>
      </c>
      <c r="M124" s="1259">
        <f t="shared" si="53"/>
        <v>5907</v>
      </c>
      <c r="N124" s="1260">
        <v>42240</v>
      </c>
      <c r="O124" t="s">
        <v>666</v>
      </c>
    </row>
    <row r="125" spans="1:15" x14ac:dyDescent="0.25">
      <c r="A125" s="298" t="s">
        <v>1370</v>
      </c>
      <c r="B125" s="298" t="s">
        <v>1371</v>
      </c>
      <c r="C125" s="1218">
        <v>41825</v>
      </c>
      <c r="D125" s="299">
        <v>42129</v>
      </c>
      <c r="E125" s="1255">
        <v>5500</v>
      </c>
      <c r="F125" s="1254"/>
      <c r="G125" s="1255">
        <v>5500</v>
      </c>
      <c r="H125" s="1254"/>
      <c r="I125" s="1255">
        <v>3575</v>
      </c>
      <c r="J125" s="1256"/>
      <c r="K125" s="1257">
        <v>453</v>
      </c>
      <c r="L125" s="1258">
        <f t="shared" si="52"/>
        <v>0</v>
      </c>
      <c r="M125" s="1259">
        <f t="shared" si="53"/>
        <v>9528</v>
      </c>
      <c r="N125" s="1260" t="s">
        <v>76</v>
      </c>
      <c r="O125" t="s">
        <v>666</v>
      </c>
    </row>
    <row r="126" spans="1:15" x14ac:dyDescent="0.25">
      <c r="A126" s="298" t="s">
        <v>1320</v>
      </c>
      <c r="B126" s="298" t="s">
        <v>669</v>
      </c>
      <c r="C126" s="1218">
        <v>41894</v>
      </c>
      <c r="D126" s="299">
        <v>42197</v>
      </c>
      <c r="E126" s="1255">
        <v>20000</v>
      </c>
      <c r="F126" s="1254"/>
      <c r="G126" s="1255">
        <v>18000</v>
      </c>
      <c r="H126" s="1254">
        <v>2550</v>
      </c>
      <c r="I126" s="1255">
        <v>7350</v>
      </c>
      <c r="J126" s="1256">
        <v>450</v>
      </c>
      <c r="K126" s="1257">
        <v>1267</v>
      </c>
      <c r="L126" s="1258">
        <f t="shared" si="52"/>
        <v>3000</v>
      </c>
      <c r="M126" s="1259">
        <f t="shared" si="53"/>
        <v>26617</v>
      </c>
      <c r="N126" s="1260">
        <v>42006</v>
      </c>
      <c r="O126" t="s">
        <v>666</v>
      </c>
    </row>
    <row r="127" spans="1:15" x14ac:dyDescent="0.25">
      <c r="A127" s="298" t="s">
        <v>772</v>
      </c>
      <c r="B127" s="298" t="s">
        <v>669</v>
      </c>
      <c r="C127" s="1218">
        <v>41855</v>
      </c>
      <c r="D127" s="299">
        <v>42159</v>
      </c>
      <c r="E127" s="1268">
        <v>3000</v>
      </c>
      <c r="F127" s="1254">
        <v>800</v>
      </c>
      <c r="G127" s="1268">
        <v>1000</v>
      </c>
      <c r="H127" s="1254">
        <v>200</v>
      </c>
      <c r="I127" s="1255">
        <v>1100</v>
      </c>
      <c r="J127" s="1256"/>
      <c r="K127" s="1257">
        <v>105</v>
      </c>
      <c r="L127" s="1258">
        <f t="shared" si="52"/>
        <v>1000</v>
      </c>
      <c r="M127" s="1259">
        <f t="shared" si="53"/>
        <v>2205</v>
      </c>
      <c r="N127" s="1260">
        <v>42200</v>
      </c>
      <c r="O127" t="s">
        <v>666</v>
      </c>
    </row>
    <row r="128" spans="1:15" x14ac:dyDescent="0.25">
      <c r="A128" s="298" t="s">
        <v>1711</v>
      </c>
      <c r="B128" s="298" t="s">
        <v>1712</v>
      </c>
      <c r="C128" s="1218">
        <v>41701</v>
      </c>
      <c r="D128" s="299">
        <v>42007</v>
      </c>
      <c r="E128" s="1271">
        <v>40000</v>
      </c>
      <c r="F128" s="1264">
        <v>5506</v>
      </c>
      <c r="G128" s="1263">
        <v>24439</v>
      </c>
      <c r="H128" s="1264">
        <v>2994</v>
      </c>
      <c r="I128" s="1263">
        <v>6109</v>
      </c>
      <c r="J128" s="1265">
        <v>500</v>
      </c>
      <c r="K128" s="1257">
        <v>3827</v>
      </c>
      <c r="L128" s="1258">
        <f t="shared" ref="L128:M130" si="54">F128+H128+J128</f>
        <v>9000</v>
      </c>
      <c r="M128" s="1259">
        <f t="shared" si="54"/>
        <v>34375</v>
      </c>
      <c r="N128" s="1260">
        <v>42066</v>
      </c>
      <c r="O128" t="s">
        <v>666</v>
      </c>
    </row>
    <row r="129" spans="1:15" x14ac:dyDescent="0.25">
      <c r="A129" s="298" t="s">
        <v>1200</v>
      </c>
      <c r="B129" s="298" t="s">
        <v>1713</v>
      </c>
      <c r="C129" s="1218">
        <v>41845</v>
      </c>
      <c r="D129" s="299">
        <v>42029</v>
      </c>
      <c r="E129" s="1263">
        <v>20000</v>
      </c>
      <c r="F129" s="1264"/>
      <c r="G129" s="1263">
        <v>20000</v>
      </c>
      <c r="H129" s="1264"/>
      <c r="I129" s="1263">
        <v>9000</v>
      </c>
      <c r="J129" s="1265"/>
      <c r="K129" s="1257">
        <v>6000</v>
      </c>
      <c r="L129" s="1258">
        <f t="shared" si="54"/>
        <v>0</v>
      </c>
      <c r="M129" s="1259">
        <f t="shared" si="54"/>
        <v>35000</v>
      </c>
      <c r="N129" s="1260" t="s">
        <v>859</v>
      </c>
      <c r="O129" t="s">
        <v>666</v>
      </c>
    </row>
    <row r="130" spans="1:15" x14ac:dyDescent="0.25">
      <c r="A130" s="298" t="s">
        <v>1860</v>
      </c>
      <c r="B130" s="298" t="s">
        <v>1861</v>
      </c>
      <c r="C130" s="1218">
        <v>41709</v>
      </c>
      <c r="D130" s="299">
        <v>42015</v>
      </c>
      <c r="E130" s="1263">
        <v>46500</v>
      </c>
      <c r="F130" s="1264">
        <v>1465</v>
      </c>
      <c r="G130" s="1263">
        <v>37241</v>
      </c>
      <c r="H130" s="1264">
        <v>7830</v>
      </c>
      <c r="I130" s="1263">
        <v>7448</v>
      </c>
      <c r="J130" s="1265">
        <v>705</v>
      </c>
      <c r="K130" s="1257">
        <v>2234</v>
      </c>
      <c r="L130" s="1258">
        <f t="shared" si="54"/>
        <v>10000</v>
      </c>
      <c r="M130" s="1259">
        <f t="shared" si="54"/>
        <v>46923</v>
      </c>
      <c r="N130" s="1260">
        <v>42115</v>
      </c>
      <c r="O130" t="s">
        <v>666</v>
      </c>
    </row>
    <row r="131" spans="1:15" x14ac:dyDescent="0.25">
      <c r="A131" s="298" t="s">
        <v>1251</v>
      </c>
      <c r="B131" s="298" t="s">
        <v>668</v>
      </c>
      <c r="C131" s="1218">
        <v>41808</v>
      </c>
      <c r="D131" s="299">
        <v>42112</v>
      </c>
      <c r="E131" s="1255">
        <v>11000</v>
      </c>
      <c r="F131" s="1254"/>
      <c r="G131" s="1255">
        <v>11000</v>
      </c>
      <c r="H131" s="1254"/>
      <c r="I131" s="1255">
        <v>7700</v>
      </c>
      <c r="J131" s="1256"/>
      <c r="K131" s="1257">
        <v>935</v>
      </c>
      <c r="L131" s="1258">
        <f t="shared" ref="L131:L135" si="55">F131+H131+J131</f>
        <v>0</v>
      </c>
      <c r="M131" s="1259">
        <f t="shared" ref="M131:M135" si="56">G131+I131+K131</f>
        <v>19635</v>
      </c>
      <c r="N131" s="1260" t="s">
        <v>76</v>
      </c>
      <c r="O131" t="s">
        <v>666</v>
      </c>
    </row>
    <row r="132" spans="1:15" x14ac:dyDescent="0.25">
      <c r="A132" s="298" t="s">
        <v>1025</v>
      </c>
      <c r="B132" s="298" t="s">
        <v>1026</v>
      </c>
      <c r="C132" s="1218">
        <v>41768</v>
      </c>
      <c r="D132" s="299">
        <v>42072</v>
      </c>
      <c r="E132" s="1255">
        <v>15000</v>
      </c>
      <c r="F132" s="1254"/>
      <c r="G132" s="1255">
        <v>15000</v>
      </c>
      <c r="H132" s="1254">
        <v>2100</v>
      </c>
      <c r="I132" s="1255">
        <v>8400</v>
      </c>
      <c r="J132" s="1256">
        <v>200</v>
      </c>
      <c r="K132" s="1257">
        <v>1170</v>
      </c>
      <c r="L132" s="1258">
        <f t="shared" si="55"/>
        <v>2300</v>
      </c>
      <c r="M132" s="1259">
        <f t="shared" si="56"/>
        <v>24570</v>
      </c>
      <c r="N132" s="1260" t="s">
        <v>1819</v>
      </c>
      <c r="O132" t="s">
        <v>666</v>
      </c>
    </row>
    <row r="133" spans="1:15" x14ac:dyDescent="0.25">
      <c r="A133" s="298" t="s">
        <v>1077</v>
      </c>
      <c r="B133" s="298" t="s">
        <v>1076</v>
      </c>
      <c r="C133" s="1218">
        <v>41887</v>
      </c>
      <c r="D133" s="299">
        <v>42068</v>
      </c>
      <c r="E133" s="1255">
        <v>10000</v>
      </c>
      <c r="F133" s="1254">
        <v>200</v>
      </c>
      <c r="G133" s="1255">
        <v>8000</v>
      </c>
      <c r="H133" s="1254">
        <v>820</v>
      </c>
      <c r="I133" s="1255">
        <v>4000</v>
      </c>
      <c r="J133" s="1256">
        <v>66</v>
      </c>
      <c r="K133" s="1257">
        <v>600</v>
      </c>
      <c r="L133" s="1258">
        <f t="shared" si="55"/>
        <v>1086</v>
      </c>
      <c r="M133" s="1259">
        <f t="shared" si="56"/>
        <v>12600</v>
      </c>
      <c r="N133" s="1260">
        <v>42135</v>
      </c>
      <c r="O133" t="s">
        <v>666</v>
      </c>
    </row>
    <row r="134" spans="1:15" x14ac:dyDescent="0.25">
      <c r="A134" s="298" t="s">
        <v>1028</v>
      </c>
      <c r="B134" s="298" t="s">
        <v>1029</v>
      </c>
      <c r="C134" s="1218">
        <v>42058</v>
      </c>
      <c r="D134" s="1266">
        <v>42239</v>
      </c>
      <c r="E134" s="1261">
        <v>25000</v>
      </c>
      <c r="F134" s="1262">
        <v>3188</v>
      </c>
      <c r="G134" s="1263">
        <v>21812</v>
      </c>
      <c r="H134" s="1264">
        <v>3750</v>
      </c>
      <c r="I134" s="1263">
        <v>8750</v>
      </c>
      <c r="J134" s="1265">
        <v>562</v>
      </c>
      <c r="K134" s="1257">
        <v>1528</v>
      </c>
      <c r="L134" s="1258">
        <f t="shared" si="55"/>
        <v>7500</v>
      </c>
      <c r="M134" s="1259">
        <f t="shared" si="56"/>
        <v>32090</v>
      </c>
      <c r="N134" s="1260">
        <v>42161</v>
      </c>
      <c r="O134" t="s">
        <v>666</v>
      </c>
    </row>
    <row r="135" spans="1:15" ht="15.75" thickBot="1" x14ac:dyDescent="0.3">
      <c r="A135" s="707" t="s">
        <v>1577</v>
      </c>
      <c r="B135" s="707" t="s">
        <v>1144</v>
      </c>
      <c r="C135" s="1272">
        <v>41851</v>
      </c>
      <c r="D135" s="708">
        <v>42155</v>
      </c>
      <c r="E135" s="1255">
        <v>20000</v>
      </c>
      <c r="F135" s="1254"/>
      <c r="G135" s="1255">
        <v>20000</v>
      </c>
      <c r="H135" s="1254">
        <v>2000</v>
      </c>
      <c r="I135" s="1255">
        <v>14000</v>
      </c>
      <c r="J135" s="1256">
        <v>1000</v>
      </c>
      <c r="K135" s="1257">
        <v>1700</v>
      </c>
      <c r="L135" s="1258">
        <f t="shared" si="55"/>
        <v>3000</v>
      </c>
      <c r="M135" s="1259">
        <f t="shared" si="56"/>
        <v>35700</v>
      </c>
      <c r="N135" s="1260">
        <v>42213</v>
      </c>
      <c r="O135" t="s">
        <v>666</v>
      </c>
    </row>
    <row r="136" spans="1:15" ht="15.75" thickBot="1" x14ac:dyDescent="0.3">
      <c r="A136" s="1142"/>
      <c r="B136" s="1142"/>
      <c r="C136" s="1203"/>
      <c r="D136" s="1204"/>
      <c r="E136" s="1196">
        <f t="shared" ref="E136:M136" si="57">SUM(E8:E135)</f>
        <v>2774400</v>
      </c>
      <c r="F136" s="1195">
        <f t="shared" si="57"/>
        <v>176479</v>
      </c>
      <c r="G136" s="1196">
        <f t="shared" si="57"/>
        <v>2205756</v>
      </c>
      <c r="H136" s="1195">
        <f t="shared" si="57"/>
        <v>149670</v>
      </c>
      <c r="I136" s="1196">
        <f t="shared" si="57"/>
        <v>989058</v>
      </c>
      <c r="J136" s="1195">
        <f t="shared" si="57"/>
        <v>28787</v>
      </c>
      <c r="K136" s="1196">
        <f t="shared" si="57"/>
        <v>181535</v>
      </c>
      <c r="L136" s="1195">
        <f t="shared" si="57"/>
        <v>339936</v>
      </c>
      <c r="M136" s="1197">
        <f t="shared" si="57"/>
        <v>3376349</v>
      </c>
    </row>
    <row r="137" spans="1:15" x14ac:dyDescent="0.25">
      <c r="A137" s="1113" t="s">
        <v>1871</v>
      </c>
      <c r="B137" s="1113"/>
      <c r="C137" s="1114"/>
      <c r="D137" s="1114"/>
    </row>
  </sheetData>
  <sortState ref="A10:N164">
    <sortCondition ref="A9"/>
  </sortState>
  <mergeCells count="7">
    <mergeCell ref="A1:N1"/>
    <mergeCell ref="A2:N2"/>
    <mergeCell ref="A5:A7"/>
    <mergeCell ref="B5:B7"/>
    <mergeCell ref="C5:C7"/>
    <mergeCell ref="D5:D7"/>
    <mergeCell ref="G5:M5"/>
  </mergeCells>
  <pageMargins left="0.7" right="0.7" top="0.75" bottom="0.75" header="0.3" footer="0.3"/>
  <pageSetup paperSize="5" orientation="landscape" horizontalDpi="4294967294" verticalDpi="0" copies="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122"/>
  <sheetViews>
    <sheetView workbookViewId="0">
      <selection activeCell="F128" sqref="F128"/>
    </sheetView>
  </sheetViews>
  <sheetFormatPr defaultRowHeight="15" x14ac:dyDescent="0.25"/>
  <cols>
    <col min="1" max="1" width="18.5703125" customWidth="1"/>
    <col min="2" max="2" width="17" customWidth="1"/>
    <col min="3" max="3" width="7.85546875" customWidth="1"/>
    <col min="4" max="4" width="7.5703125" style="351" customWidth="1"/>
    <col min="5" max="5" width="11.85546875" customWidth="1"/>
    <col min="6" max="6" width="10.85546875" customWidth="1"/>
    <col min="7" max="7" width="11.5703125" customWidth="1"/>
    <col min="8" max="8" width="10.5703125" customWidth="1"/>
    <col min="9" max="9" width="11.140625" customWidth="1"/>
    <col min="10" max="10" width="10.28515625" customWidth="1"/>
    <col min="11" max="11" width="10.42578125" customWidth="1"/>
    <col min="12" max="12" width="10.28515625" customWidth="1"/>
    <col min="13" max="13" width="11.5703125" customWidth="1"/>
    <col min="14" max="14" width="10.85546875" customWidth="1"/>
  </cols>
  <sheetData>
    <row r="1" spans="1:15" x14ac:dyDescent="0.25">
      <c r="A1" s="1340" t="s">
        <v>87</v>
      </c>
      <c r="B1" s="1340"/>
      <c r="C1" s="1340"/>
      <c r="D1" s="1340"/>
      <c r="E1" s="1340"/>
      <c r="F1" s="1340"/>
      <c r="G1" s="1340"/>
      <c r="H1" s="1340"/>
      <c r="I1" s="1340"/>
      <c r="J1" s="1340"/>
      <c r="K1" s="1340"/>
      <c r="L1" s="1340"/>
      <c r="M1" s="1340"/>
      <c r="N1" s="1340"/>
    </row>
    <row r="2" spans="1:15" x14ac:dyDescent="0.25">
      <c r="A2" s="1341" t="s">
        <v>1864</v>
      </c>
      <c r="B2" s="1341"/>
      <c r="C2" s="1341"/>
      <c r="D2" s="1341"/>
      <c r="E2" s="1341"/>
      <c r="F2" s="1341"/>
      <c r="G2" s="1341"/>
      <c r="H2" s="1341"/>
      <c r="I2" s="1341"/>
      <c r="J2" s="1341"/>
      <c r="K2" s="1341"/>
      <c r="L2" s="1341"/>
      <c r="M2" s="1341"/>
      <c r="N2" s="1341"/>
    </row>
    <row r="3" spans="1:15" x14ac:dyDescent="0.25">
      <c r="A3" s="230"/>
      <c r="B3" s="230"/>
      <c r="C3" s="230"/>
      <c r="D3" s="1179"/>
      <c r="E3" s="230"/>
      <c r="F3" s="230"/>
      <c r="G3" s="230"/>
      <c r="H3" s="230"/>
      <c r="I3" s="230"/>
      <c r="J3" s="230"/>
      <c r="K3" s="230"/>
      <c r="L3" s="230"/>
      <c r="M3" s="230"/>
      <c r="N3" s="230"/>
    </row>
    <row r="4" spans="1:15" ht="15.75" thickBot="1" x14ac:dyDescent="0.3">
      <c r="A4" s="177" t="s">
        <v>1390</v>
      </c>
      <c r="B4" s="177"/>
      <c r="C4" s="177" t="s">
        <v>1383</v>
      </c>
      <c r="D4" s="177"/>
      <c r="E4" s="1069"/>
      <c r="F4" s="177"/>
      <c r="G4" s="177"/>
      <c r="H4" s="177"/>
      <c r="I4" s="177"/>
      <c r="J4" s="177"/>
      <c r="K4" s="177"/>
      <c r="L4" s="177"/>
      <c r="M4" s="177"/>
      <c r="N4" s="229"/>
    </row>
    <row r="5" spans="1:15" ht="15.75" thickBot="1" x14ac:dyDescent="0.3">
      <c r="A5" s="1345" t="s">
        <v>2</v>
      </c>
      <c r="B5" s="1350" t="s">
        <v>3</v>
      </c>
      <c r="C5" s="1353" t="s">
        <v>139</v>
      </c>
      <c r="D5" s="1345" t="s">
        <v>92</v>
      </c>
      <c r="E5" s="1187"/>
      <c r="F5" s="1190"/>
      <c r="G5" s="1348" t="s">
        <v>1865</v>
      </c>
      <c r="H5" s="1348"/>
      <c r="I5" s="1348"/>
      <c r="J5" s="1348"/>
      <c r="K5" s="1348"/>
      <c r="L5" s="1348"/>
      <c r="M5" s="1349"/>
      <c r="N5" s="1184"/>
    </row>
    <row r="6" spans="1:15" ht="15.75" thickBot="1" x14ac:dyDescent="0.3">
      <c r="A6" s="1346"/>
      <c r="B6" s="1351"/>
      <c r="C6" s="1354"/>
      <c r="D6" s="1346"/>
      <c r="E6" s="1188" t="s">
        <v>406</v>
      </c>
      <c r="F6" s="1191" t="s">
        <v>454</v>
      </c>
      <c r="G6" s="1180" t="s">
        <v>6</v>
      </c>
      <c r="H6" s="1057" t="s">
        <v>455</v>
      </c>
      <c r="I6" s="1054" t="s">
        <v>19</v>
      </c>
      <c r="J6" s="1194" t="s">
        <v>456</v>
      </c>
      <c r="K6" s="1054" t="s">
        <v>80</v>
      </c>
      <c r="L6" s="1194" t="s">
        <v>457</v>
      </c>
      <c r="M6" s="1054" t="s">
        <v>400</v>
      </c>
      <c r="N6" s="1185" t="s">
        <v>79</v>
      </c>
    </row>
    <row r="7" spans="1:15" ht="15.75" thickBot="1" x14ac:dyDescent="0.3">
      <c r="A7" s="1347"/>
      <c r="B7" s="1352"/>
      <c r="C7" s="1355"/>
      <c r="D7" s="1347"/>
      <c r="E7" s="1189"/>
      <c r="F7" s="1192" t="s">
        <v>438</v>
      </c>
      <c r="G7" s="1193"/>
      <c r="H7" s="1065" t="s">
        <v>438</v>
      </c>
      <c r="I7" s="1065"/>
      <c r="J7" s="1058" t="s">
        <v>438</v>
      </c>
      <c r="K7" s="1065"/>
      <c r="L7" s="1058" t="s">
        <v>452</v>
      </c>
      <c r="M7" s="1054"/>
      <c r="N7" s="1186"/>
    </row>
    <row r="8" spans="1:15" x14ac:dyDescent="0.25">
      <c r="A8" s="1275" t="s">
        <v>689</v>
      </c>
      <c r="B8" s="1276" t="s">
        <v>557</v>
      </c>
      <c r="C8" s="822">
        <v>41366</v>
      </c>
      <c r="D8" s="1277">
        <v>41672</v>
      </c>
      <c r="E8" s="1278">
        <v>6000</v>
      </c>
      <c r="F8" s="1258">
        <v>250</v>
      </c>
      <c r="G8" s="1279">
        <v>2400</v>
      </c>
      <c r="H8" s="1258">
        <v>50</v>
      </c>
      <c r="I8" s="1263">
        <v>2302</v>
      </c>
      <c r="J8" s="1265"/>
      <c r="K8" s="1257">
        <v>344</v>
      </c>
      <c r="L8" s="1264">
        <f t="shared" ref="L8:L41" si="0">F8+H8+J8</f>
        <v>300</v>
      </c>
      <c r="M8" s="1270">
        <f t="shared" ref="M8:M41" si="1">G8+I8+K8</f>
        <v>5046</v>
      </c>
      <c r="N8" s="1280">
        <v>42172</v>
      </c>
      <c r="O8" t="s">
        <v>666</v>
      </c>
    </row>
    <row r="9" spans="1:15" x14ac:dyDescent="0.25">
      <c r="A9" s="1281" t="s">
        <v>1255</v>
      </c>
      <c r="B9" s="1282" t="s">
        <v>755</v>
      </c>
      <c r="C9" s="822">
        <v>41467</v>
      </c>
      <c r="D9" s="348">
        <v>41771</v>
      </c>
      <c r="E9" s="1278">
        <v>7000</v>
      </c>
      <c r="F9" s="1258"/>
      <c r="G9" s="1279">
        <v>1950</v>
      </c>
      <c r="H9" s="1258"/>
      <c r="I9" s="1263">
        <v>1560</v>
      </c>
      <c r="J9" s="1265"/>
      <c r="K9" s="1257">
        <v>536</v>
      </c>
      <c r="L9" s="1264">
        <f t="shared" si="0"/>
        <v>0</v>
      </c>
      <c r="M9" s="1270">
        <f t="shared" si="1"/>
        <v>4046</v>
      </c>
      <c r="N9" s="1280">
        <v>41778</v>
      </c>
      <c r="O9" t="s">
        <v>666</v>
      </c>
    </row>
    <row r="10" spans="1:15" x14ac:dyDescent="0.25">
      <c r="A10" s="1281" t="s">
        <v>1606</v>
      </c>
      <c r="B10" s="1282" t="s">
        <v>1607</v>
      </c>
      <c r="C10" s="822">
        <v>41716</v>
      </c>
      <c r="D10" s="348">
        <v>41838</v>
      </c>
      <c r="E10" s="1278">
        <v>5000</v>
      </c>
      <c r="F10" s="1258"/>
      <c r="G10" s="1279">
        <v>4000</v>
      </c>
      <c r="H10" s="1258"/>
      <c r="I10" s="1263">
        <v>4000</v>
      </c>
      <c r="J10" s="1265"/>
      <c r="K10" s="1257">
        <v>850</v>
      </c>
      <c r="L10" s="1264">
        <f t="shared" si="0"/>
        <v>0</v>
      </c>
      <c r="M10" s="1270">
        <f t="shared" si="1"/>
        <v>8850</v>
      </c>
      <c r="N10" s="1280">
        <v>41750</v>
      </c>
      <c r="O10" t="s">
        <v>666</v>
      </c>
    </row>
    <row r="11" spans="1:15" x14ac:dyDescent="0.25">
      <c r="A11" s="1281" t="s">
        <v>1234</v>
      </c>
      <c r="B11" s="1282" t="s">
        <v>925</v>
      </c>
      <c r="C11" s="822">
        <v>41452</v>
      </c>
      <c r="D11" s="348">
        <v>41756</v>
      </c>
      <c r="E11" s="1278">
        <v>15000</v>
      </c>
      <c r="F11" s="1258"/>
      <c r="G11" s="1279">
        <v>14500</v>
      </c>
      <c r="H11" s="1258"/>
      <c r="I11" s="1263">
        <v>26025</v>
      </c>
      <c r="J11" s="1265"/>
      <c r="K11" s="1257">
        <v>3051</v>
      </c>
      <c r="L11" s="1264">
        <f t="shared" si="0"/>
        <v>0</v>
      </c>
      <c r="M11" s="1270">
        <f t="shared" si="1"/>
        <v>43576</v>
      </c>
      <c r="N11" s="1280">
        <v>41891</v>
      </c>
      <c r="O11" t="s">
        <v>666</v>
      </c>
    </row>
    <row r="12" spans="1:15" x14ac:dyDescent="0.25">
      <c r="A12" s="1281" t="s">
        <v>740</v>
      </c>
      <c r="B12" s="1282" t="s">
        <v>1047</v>
      </c>
      <c r="C12" s="822">
        <v>41415</v>
      </c>
      <c r="D12" s="299">
        <v>41719</v>
      </c>
      <c r="E12" s="1278">
        <v>8500</v>
      </c>
      <c r="F12" s="1258">
        <v>100</v>
      </c>
      <c r="G12" s="1279">
        <v>5856</v>
      </c>
      <c r="H12" s="1258">
        <v>100</v>
      </c>
      <c r="I12" s="1263">
        <v>3048</v>
      </c>
      <c r="J12" s="1265"/>
      <c r="K12" s="1257">
        <v>374</v>
      </c>
      <c r="L12" s="1264">
        <f t="shared" si="0"/>
        <v>200</v>
      </c>
      <c r="M12" s="1270">
        <f t="shared" si="1"/>
        <v>9278</v>
      </c>
      <c r="N12" s="1280">
        <v>42196</v>
      </c>
      <c r="O12" t="s">
        <v>666</v>
      </c>
    </row>
    <row r="13" spans="1:15" x14ac:dyDescent="0.25">
      <c r="A13" s="1281" t="s">
        <v>926</v>
      </c>
      <c r="B13" s="1283" t="s">
        <v>701</v>
      </c>
      <c r="C13" s="822">
        <v>41529</v>
      </c>
      <c r="D13" s="299">
        <v>41832</v>
      </c>
      <c r="E13" s="1284">
        <v>50000</v>
      </c>
      <c r="F13" s="1258"/>
      <c r="G13" s="1279">
        <v>20000</v>
      </c>
      <c r="H13" s="1258"/>
      <c r="I13" s="1263">
        <v>28000</v>
      </c>
      <c r="J13" s="1265"/>
      <c r="K13" s="1257">
        <v>2300</v>
      </c>
      <c r="L13" s="1264">
        <f t="shared" si="0"/>
        <v>0</v>
      </c>
      <c r="M13" s="1270">
        <f t="shared" si="1"/>
        <v>50300</v>
      </c>
      <c r="N13" s="1280">
        <v>41767</v>
      </c>
      <c r="O13" t="s">
        <v>666</v>
      </c>
    </row>
    <row r="14" spans="1:15" x14ac:dyDescent="0.25">
      <c r="A14" s="1281" t="s">
        <v>926</v>
      </c>
      <c r="B14" s="1283" t="s">
        <v>701</v>
      </c>
      <c r="C14" s="822">
        <v>41593</v>
      </c>
      <c r="D14" s="299">
        <v>41744</v>
      </c>
      <c r="E14" s="1278">
        <v>25000</v>
      </c>
      <c r="F14" s="1258"/>
      <c r="G14" s="1279">
        <v>15750</v>
      </c>
      <c r="H14" s="1258"/>
      <c r="I14" s="1263">
        <v>18300</v>
      </c>
      <c r="J14" s="1265"/>
      <c r="K14" s="1257">
        <v>1252</v>
      </c>
      <c r="L14" s="1264">
        <f t="shared" si="0"/>
        <v>0</v>
      </c>
      <c r="M14" s="1270">
        <f t="shared" si="1"/>
        <v>35302</v>
      </c>
      <c r="N14" s="1280">
        <v>41984</v>
      </c>
      <c r="O14" t="s">
        <v>666</v>
      </c>
    </row>
    <row r="15" spans="1:15" x14ac:dyDescent="0.25">
      <c r="A15" s="1281" t="s">
        <v>1065</v>
      </c>
      <c r="B15" s="1282" t="s">
        <v>1385</v>
      </c>
      <c r="C15" s="822">
        <v>41621</v>
      </c>
      <c r="D15" s="299">
        <v>41923</v>
      </c>
      <c r="E15" s="1285">
        <v>8000</v>
      </c>
      <c r="F15" s="1286"/>
      <c r="G15" s="1279">
        <v>7100</v>
      </c>
      <c r="H15" s="1258"/>
      <c r="I15" s="1263">
        <v>5665</v>
      </c>
      <c r="J15" s="1265"/>
      <c r="K15" s="1257">
        <v>1488</v>
      </c>
      <c r="L15" s="1264">
        <f t="shared" si="0"/>
        <v>0</v>
      </c>
      <c r="M15" s="1270">
        <f t="shared" si="1"/>
        <v>14253</v>
      </c>
      <c r="N15" s="1280">
        <v>41821</v>
      </c>
      <c r="O15" t="s">
        <v>666</v>
      </c>
    </row>
    <row r="16" spans="1:15" x14ac:dyDescent="0.25">
      <c r="A16" s="1281" t="s">
        <v>1254</v>
      </c>
      <c r="B16" s="1282" t="s">
        <v>1384</v>
      </c>
      <c r="C16" s="822">
        <v>41477</v>
      </c>
      <c r="D16" s="299">
        <v>41661</v>
      </c>
      <c r="E16" s="1278">
        <v>5000</v>
      </c>
      <c r="F16" s="1258"/>
      <c r="G16" s="1279">
        <v>3850</v>
      </c>
      <c r="H16" s="1258"/>
      <c r="I16" s="1263">
        <v>3500</v>
      </c>
      <c r="J16" s="1265"/>
      <c r="K16" s="1257">
        <v>1425</v>
      </c>
      <c r="L16" s="1264">
        <f t="shared" si="0"/>
        <v>0</v>
      </c>
      <c r="M16" s="1270">
        <f t="shared" si="1"/>
        <v>8775</v>
      </c>
      <c r="N16" s="1280">
        <v>42063</v>
      </c>
      <c r="O16" t="s">
        <v>666</v>
      </c>
    </row>
    <row r="17" spans="1:15" x14ac:dyDescent="0.25">
      <c r="A17" s="1281" t="s">
        <v>1296</v>
      </c>
      <c r="B17" s="1282" t="s">
        <v>839</v>
      </c>
      <c r="C17" s="822">
        <v>41745</v>
      </c>
      <c r="D17" s="348">
        <v>41928</v>
      </c>
      <c r="E17" s="1278">
        <v>6000</v>
      </c>
      <c r="F17" s="1286"/>
      <c r="G17" s="1279">
        <v>1073</v>
      </c>
      <c r="H17" s="1258"/>
      <c r="I17" s="1263">
        <v>1625</v>
      </c>
      <c r="J17" s="1265"/>
      <c r="K17" s="1257">
        <v>563</v>
      </c>
      <c r="L17" s="1264">
        <f t="shared" si="0"/>
        <v>0</v>
      </c>
      <c r="M17" s="1270">
        <f t="shared" si="1"/>
        <v>3261</v>
      </c>
      <c r="N17" s="1280">
        <v>42114</v>
      </c>
      <c r="O17" t="s">
        <v>666</v>
      </c>
    </row>
    <row r="18" spans="1:15" x14ac:dyDescent="0.25">
      <c r="A18" s="1281" t="s">
        <v>1580</v>
      </c>
      <c r="B18" s="1282" t="s">
        <v>1605</v>
      </c>
      <c r="C18" s="822">
        <v>41843</v>
      </c>
      <c r="D18" s="348">
        <v>41935</v>
      </c>
      <c r="E18" s="1278">
        <v>5000</v>
      </c>
      <c r="F18" s="1286"/>
      <c r="G18" s="1279">
        <v>3430</v>
      </c>
      <c r="H18" s="1258"/>
      <c r="I18" s="1263">
        <v>1615</v>
      </c>
      <c r="J18" s="1265"/>
      <c r="K18" s="1257">
        <v>875</v>
      </c>
      <c r="L18" s="1264">
        <f t="shared" si="0"/>
        <v>0</v>
      </c>
      <c r="M18" s="1270">
        <f t="shared" si="1"/>
        <v>5920</v>
      </c>
      <c r="N18" s="1280">
        <v>41982</v>
      </c>
      <c r="O18" t="s">
        <v>666</v>
      </c>
    </row>
    <row r="19" spans="1:15" x14ac:dyDescent="0.25">
      <c r="A19" s="1281" t="s">
        <v>840</v>
      </c>
      <c r="B19" s="1282" t="s">
        <v>796</v>
      </c>
      <c r="C19" s="822">
        <v>41806</v>
      </c>
      <c r="D19" s="299">
        <v>41989</v>
      </c>
      <c r="E19" s="1278">
        <v>50000</v>
      </c>
      <c r="F19" s="1286">
        <v>100</v>
      </c>
      <c r="G19" s="1279">
        <v>34150</v>
      </c>
      <c r="H19" s="1258">
        <v>50</v>
      </c>
      <c r="I19" s="1263">
        <v>18537</v>
      </c>
      <c r="J19" s="1265"/>
      <c r="K19" s="1257">
        <v>4563</v>
      </c>
      <c r="L19" s="1264">
        <f t="shared" si="0"/>
        <v>150</v>
      </c>
      <c r="M19" s="1270">
        <f t="shared" si="1"/>
        <v>57250</v>
      </c>
      <c r="N19" s="1280">
        <v>42222</v>
      </c>
      <c r="O19" t="s">
        <v>666</v>
      </c>
    </row>
    <row r="20" spans="1:15" x14ac:dyDescent="0.25">
      <c r="A20" s="1281" t="s">
        <v>1376</v>
      </c>
      <c r="B20" s="1282" t="s">
        <v>1377</v>
      </c>
      <c r="C20" s="822">
        <v>41816</v>
      </c>
      <c r="D20" s="299">
        <v>41969</v>
      </c>
      <c r="E20" s="1278">
        <v>12000</v>
      </c>
      <c r="F20" s="1286">
        <v>160</v>
      </c>
      <c r="G20" s="1279">
        <v>3910</v>
      </c>
      <c r="H20" s="1258">
        <v>160</v>
      </c>
      <c r="I20" s="1263">
        <v>624</v>
      </c>
      <c r="J20" s="1265">
        <v>80</v>
      </c>
      <c r="K20" s="1257">
        <v>416</v>
      </c>
      <c r="L20" s="1264">
        <f t="shared" si="0"/>
        <v>400</v>
      </c>
      <c r="M20" s="1270">
        <f t="shared" si="1"/>
        <v>4950</v>
      </c>
      <c r="N20" s="1280">
        <v>42240</v>
      </c>
      <c r="O20" t="s">
        <v>666</v>
      </c>
    </row>
    <row r="21" spans="1:15" x14ac:dyDescent="0.25">
      <c r="A21" s="1281" t="s">
        <v>853</v>
      </c>
      <c r="B21" s="1282" t="s">
        <v>511</v>
      </c>
      <c r="C21" s="822">
        <v>41534</v>
      </c>
      <c r="D21" s="299">
        <v>41776</v>
      </c>
      <c r="E21" s="1285">
        <v>30000</v>
      </c>
      <c r="F21" s="1286">
        <v>350</v>
      </c>
      <c r="G21" s="1279">
        <v>16450</v>
      </c>
      <c r="H21" s="1258">
        <v>250</v>
      </c>
      <c r="I21" s="1263">
        <v>11060</v>
      </c>
      <c r="J21" s="1265"/>
      <c r="K21" s="1257">
        <v>3652</v>
      </c>
      <c r="L21" s="1264">
        <f t="shared" si="0"/>
        <v>600</v>
      </c>
      <c r="M21" s="1270">
        <f t="shared" si="1"/>
        <v>31162</v>
      </c>
      <c r="N21" s="1280">
        <v>42212</v>
      </c>
      <c r="O21" t="s">
        <v>666</v>
      </c>
    </row>
    <row r="22" spans="1:15" x14ac:dyDescent="0.25">
      <c r="A22" s="1281" t="s">
        <v>1397</v>
      </c>
      <c r="B22" s="1282" t="s">
        <v>1398</v>
      </c>
      <c r="C22" s="822">
        <v>41647</v>
      </c>
      <c r="D22" s="299">
        <v>41828</v>
      </c>
      <c r="E22" s="1285">
        <v>21000</v>
      </c>
      <c r="F22" s="1286"/>
      <c r="G22" s="1279">
        <v>2000</v>
      </c>
      <c r="H22" s="1258"/>
      <c r="I22" s="1263">
        <v>1500</v>
      </c>
      <c r="J22" s="1265"/>
      <c r="K22" s="1257">
        <v>473</v>
      </c>
      <c r="L22" s="1264">
        <f t="shared" si="0"/>
        <v>0</v>
      </c>
      <c r="M22" s="1270">
        <f t="shared" si="1"/>
        <v>3973</v>
      </c>
      <c r="N22" s="1280">
        <v>42201</v>
      </c>
      <c r="O22" t="s">
        <v>666</v>
      </c>
    </row>
    <row r="23" spans="1:15" x14ac:dyDescent="0.25">
      <c r="A23" s="1281" t="s">
        <v>716</v>
      </c>
      <c r="B23" s="1282" t="s">
        <v>1454</v>
      </c>
      <c r="C23" s="822">
        <v>41739</v>
      </c>
      <c r="D23" s="299">
        <v>41861</v>
      </c>
      <c r="E23" s="1285">
        <v>15000</v>
      </c>
      <c r="F23" s="1286"/>
      <c r="G23" s="1279">
        <v>8600</v>
      </c>
      <c r="H23" s="1258"/>
      <c r="I23" s="1263">
        <v>1720</v>
      </c>
      <c r="J23" s="1265"/>
      <c r="K23" s="1257">
        <v>516</v>
      </c>
      <c r="L23" s="1264">
        <f t="shared" si="0"/>
        <v>0</v>
      </c>
      <c r="M23" s="1270">
        <f t="shared" si="1"/>
        <v>10836</v>
      </c>
      <c r="N23" s="1280">
        <v>42167</v>
      </c>
      <c r="O23" t="s">
        <v>666</v>
      </c>
    </row>
    <row r="24" spans="1:15" x14ac:dyDescent="0.25">
      <c r="A24" s="1281" t="s">
        <v>534</v>
      </c>
      <c r="B24" s="1282" t="s">
        <v>535</v>
      </c>
      <c r="C24" s="822">
        <v>41517</v>
      </c>
      <c r="D24" s="299">
        <v>41820</v>
      </c>
      <c r="E24" s="1285">
        <v>35000</v>
      </c>
      <c r="F24" s="1286">
        <v>24</v>
      </c>
      <c r="G24" s="1279">
        <v>13150</v>
      </c>
      <c r="H24" s="1258">
        <v>1976</v>
      </c>
      <c r="I24" s="1263">
        <v>657</v>
      </c>
      <c r="J24" s="1265"/>
      <c r="K24" s="1257">
        <v>690</v>
      </c>
      <c r="L24" s="1264">
        <f t="shared" si="0"/>
        <v>2000</v>
      </c>
      <c r="M24" s="1270">
        <f t="shared" si="1"/>
        <v>14497</v>
      </c>
      <c r="N24" s="1280">
        <v>42186</v>
      </c>
      <c r="O24" t="s">
        <v>666</v>
      </c>
    </row>
    <row r="25" spans="1:15" x14ac:dyDescent="0.25">
      <c r="A25" s="1281" t="s">
        <v>1274</v>
      </c>
      <c r="B25" s="1282" t="s">
        <v>1275</v>
      </c>
      <c r="C25" s="822">
        <v>41520</v>
      </c>
      <c r="D25" s="299">
        <v>41823</v>
      </c>
      <c r="E25" s="1285">
        <v>21000</v>
      </c>
      <c r="F25" s="1286">
        <v>300</v>
      </c>
      <c r="G25" s="1279">
        <v>1550</v>
      </c>
      <c r="H25" s="1258"/>
      <c r="I25" s="1263">
        <v>310</v>
      </c>
      <c r="J25" s="1265"/>
      <c r="K25" s="1257">
        <v>93</v>
      </c>
      <c r="L25" s="1264">
        <f t="shared" si="0"/>
        <v>300</v>
      </c>
      <c r="M25" s="1270">
        <f t="shared" si="1"/>
        <v>1953</v>
      </c>
      <c r="N25" s="1280">
        <v>41927</v>
      </c>
      <c r="O25" t="s">
        <v>666</v>
      </c>
    </row>
    <row r="26" spans="1:15" x14ac:dyDescent="0.25">
      <c r="A26" s="1281" t="s">
        <v>1597</v>
      </c>
      <c r="B26" s="1282" t="s">
        <v>1448</v>
      </c>
      <c r="C26" s="822">
        <v>41709</v>
      </c>
      <c r="D26" s="299">
        <v>41893</v>
      </c>
      <c r="E26" s="1278">
        <v>6000</v>
      </c>
      <c r="F26" s="1286"/>
      <c r="G26" s="1279">
        <v>4890</v>
      </c>
      <c r="H26" s="1258"/>
      <c r="I26" s="1263">
        <v>3510</v>
      </c>
      <c r="J26" s="1265"/>
      <c r="K26" s="1257">
        <v>875</v>
      </c>
      <c r="L26" s="1264">
        <f t="shared" si="0"/>
        <v>0</v>
      </c>
      <c r="M26" s="1270">
        <f t="shared" si="1"/>
        <v>9275</v>
      </c>
      <c r="N26" s="1280">
        <v>42063</v>
      </c>
      <c r="O26" t="s">
        <v>666</v>
      </c>
    </row>
    <row r="27" spans="1:15" x14ac:dyDescent="0.25">
      <c r="A27" s="1287" t="s">
        <v>950</v>
      </c>
      <c r="B27" s="1276" t="s">
        <v>461</v>
      </c>
      <c r="C27" s="822">
        <v>41334</v>
      </c>
      <c r="D27" s="1277">
        <v>41640</v>
      </c>
      <c r="E27" s="1278">
        <v>16000</v>
      </c>
      <c r="F27" s="1286">
        <v>670</v>
      </c>
      <c r="G27" s="1279">
        <v>11138</v>
      </c>
      <c r="H27" s="1286">
        <v>6166</v>
      </c>
      <c r="I27" s="1261">
        <v>3341</v>
      </c>
      <c r="J27" s="1265">
        <v>664</v>
      </c>
      <c r="K27" s="1257">
        <v>723</v>
      </c>
      <c r="L27" s="1264">
        <f t="shared" si="0"/>
        <v>7500</v>
      </c>
      <c r="M27" s="1270">
        <f t="shared" si="1"/>
        <v>15202</v>
      </c>
      <c r="N27" s="1280">
        <v>42017</v>
      </c>
      <c r="O27" t="s">
        <v>666</v>
      </c>
    </row>
    <row r="28" spans="1:15" x14ac:dyDescent="0.25">
      <c r="A28" s="1281" t="s">
        <v>1458</v>
      </c>
      <c r="B28" s="1282" t="s">
        <v>1459</v>
      </c>
      <c r="C28" s="822">
        <v>41806</v>
      </c>
      <c r="D28" s="299">
        <v>41990</v>
      </c>
      <c r="E28" s="1284">
        <v>4000</v>
      </c>
      <c r="F28" s="1286">
        <v>1405</v>
      </c>
      <c r="G28" s="1264">
        <v>1811</v>
      </c>
      <c r="H28" s="1258">
        <v>360</v>
      </c>
      <c r="I28" s="1263">
        <v>452</v>
      </c>
      <c r="J28" s="1265">
        <v>235</v>
      </c>
      <c r="K28" s="1257">
        <v>675</v>
      </c>
      <c r="L28" s="1264">
        <f t="shared" si="0"/>
        <v>2000</v>
      </c>
      <c r="M28" s="1270">
        <f t="shared" si="1"/>
        <v>2938</v>
      </c>
      <c r="N28" s="1280">
        <v>42040</v>
      </c>
      <c r="O28" t="s">
        <v>666</v>
      </c>
    </row>
    <row r="29" spans="1:15" x14ac:dyDescent="0.25">
      <c r="A29" s="1281" t="s">
        <v>1477</v>
      </c>
      <c r="B29" s="1282" t="s">
        <v>1478</v>
      </c>
      <c r="C29" s="822">
        <v>41842</v>
      </c>
      <c r="D29" s="299">
        <v>41994</v>
      </c>
      <c r="E29" s="1278">
        <v>5000</v>
      </c>
      <c r="F29" s="1286"/>
      <c r="G29" s="1279">
        <v>2650</v>
      </c>
      <c r="H29" s="1258"/>
      <c r="I29" s="1263">
        <v>1060</v>
      </c>
      <c r="J29" s="1265"/>
      <c r="K29" s="1257">
        <v>185</v>
      </c>
      <c r="L29" s="1264">
        <f t="shared" si="0"/>
        <v>0</v>
      </c>
      <c r="M29" s="1270">
        <f t="shared" si="1"/>
        <v>3895</v>
      </c>
      <c r="N29" s="1280">
        <v>41949</v>
      </c>
      <c r="O29" t="s">
        <v>666</v>
      </c>
    </row>
    <row r="30" spans="1:15" x14ac:dyDescent="0.25">
      <c r="A30" s="1281" t="s">
        <v>844</v>
      </c>
      <c r="B30" s="1282" t="s">
        <v>1396</v>
      </c>
      <c r="C30" s="822">
        <v>41764</v>
      </c>
      <c r="D30" s="299">
        <v>41887</v>
      </c>
      <c r="E30" s="1278">
        <v>4000</v>
      </c>
      <c r="F30" s="1258">
        <v>100</v>
      </c>
      <c r="G30" s="1279">
        <v>1150</v>
      </c>
      <c r="H30" s="1258"/>
      <c r="I30" s="1263">
        <v>630</v>
      </c>
      <c r="J30" s="1265"/>
      <c r="K30" s="1257">
        <v>441</v>
      </c>
      <c r="L30" s="1264">
        <f t="shared" si="0"/>
        <v>100</v>
      </c>
      <c r="M30" s="1270">
        <f t="shared" si="1"/>
        <v>2221</v>
      </c>
      <c r="N30" s="1280">
        <v>42165</v>
      </c>
      <c r="O30" t="s">
        <v>666</v>
      </c>
    </row>
    <row r="31" spans="1:15" x14ac:dyDescent="0.25">
      <c r="A31" s="1281" t="s">
        <v>1272</v>
      </c>
      <c r="B31" s="1282" t="s">
        <v>836</v>
      </c>
      <c r="C31" s="822">
        <v>41477</v>
      </c>
      <c r="D31" s="299">
        <v>41661</v>
      </c>
      <c r="E31" s="1285">
        <v>3500</v>
      </c>
      <c r="F31" s="1286">
        <v>800</v>
      </c>
      <c r="G31" s="1279">
        <v>800</v>
      </c>
      <c r="H31" s="1258">
        <v>200</v>
      </c>
      <c r="I31" s="1263">
        <v>720</v>
      </c>
      <c r="J31" s="1265"/>
      <c r="K31" s="1257">
        <v>180</v>
      </c>
      <c r="L31" s="1264">
        <f t="shared" si="0"/>
        <v>1000</v>
      </c>
      <c r="M31" s="1270">
        <f t="shared" si="1"/>
        <v>1700</v>
      </c>
      <c r="N31" s="1280">
        <v>41685</v>
      </c>
      <c r="O31" t="s">
        <v>666</v>
      </c>
    </row>
    <row r="32" spans="1:15" x14ac:dyDescent="0.25">
      <c r="A32" s="1281" t="s">
        <v>1238</v>
      </c>
      <c r="B32" s="1282" t="s">
        <v>1239</v>
      </c>
      <c r="C32" s="822">
        <v>41435</v>
      </c>
      <c r="D32" s="299">
        <v>41739</v>
      </c>
      <c r="E32" s="1278">
        <v>7000</v>
      </c>
      <c r="F32" s="1258">
        <v>800</v>
      </c>
      <c r="G32" s="1279">
        <v>4200</v>
      </c>
      <c r="H32" s="1258">
        <v>200</v>
      </c>
      <c r="I32" s="1263">
        <v>3631</v>
      </c>
      <c r="J32" s="1265">
        <v>200</v>
      </c>
      <c r="K32" s="1257">
        <v>520</v>
      </c>
      <c r="L32" s="1264">
        <f t="shared" si="0"/>
        <v>1200</v>
      </c>
      <c r="M32" s="1270">
        <f t="shared" si="1"/>
        <v>8351</v>
      </c>
      <c r="N32" s="1280">
        <v>42227</v>
      </c>
      <c r="O32" t="s">
        <v>666</v>
      </c>
    </row>
    <row r="33" spans="1:15" x14ac:dyDescent="0.25">
      <c r="A33" s="1281" t="s">
        <v>513</v>
      </c>
      <c r="B33" s="1282" t="s">
        <v>1342</v>
      </c>
      <c r="C33" s="822">
        <v>41596</v>
      </c>
      <c r="D33" s="299">
        <v>41808</v>
      </c>
      <c r="E33" s="1278">
        <v>6000</v>
      </c>
      <c r="F33" s="1258"/>
      <c r="G33" s="1279">
        <v>1880</v>
      </c>
      <c r="H33" s="1258">
        <v>1490</v>
      </c>
      <c r="I33" s="1263">
        <v>846</v>
      </c>
      <c r="J33" s="1265">
        <v>10</v>
      </c>
      <c r="K33" s="1257">
        <v>495</v>
      </c>
      <c r="L33" s="1264">
        <f t="shared" si="0"/>
        <v>1500</v>
      </c>
      <c r="M33" s="1270">
        <f t="shared" si="1"/>
        <v>3221</v>
      </c>
      <c r="N33" s="1280">
        <v>41957</v>
      </c>
      <c r="O33" t="s">
        <v>666</v>
      </c>
    </row>
    <row r="34" spans="1:15" x14ac:dyDescent="0.25">
      <c r="A34" s="1281" t="s">
        <v>1480</v>
      </c>
      <c r="B34" s="1283" t="s">
        <v>719</v>
      </c>
      <c r="C34" s="822">
        <v>41690</v>
      </c>
      <c r="D34" s="299">
        <v>41993</v>
      </c>
      <c r="E34" s="1278">
        <v>5000</v>
      </c>
      <c r="F34" s="1258">
        <v>300</v>
      </c>
      <c r="G34" s="1279">
        <v>4450</v>
      </c>
      <c r="H34" s="1258">
        <v>100</v>
      </c>
      <c r="I34" s="1263">
        <v>1780</v>
      </c>
      <c r="J34" s="1265"/>
      <c r="K34" s="1257">
        <v>311</v>
      </c>
      <c r="L34" s="1264">
        <f t="shared" si="0"/>
        <v>400</v>
      </c>
      <c r="M34" s="1270">
        <f t="shared" si="1"/>
        <v>6541</v>
      </c>
      <c r="N34" s="1280">
        <v>41844</v>
      </c>
      <c r="O34" t="s">
        <v>666</v>
      </c>
    </row>
    <row r="35" spans="1:15" x14ac:dyDescent="0.25">
      <c r="A35" s="1281" t="s">
        <v>424</v>
      </c>
      <c r="B35" s="1283" t="s">
        <v>13</v>
      </c>
      <c r="C35" s="822">
        <v>41509</v>
      </c>
      <c r="D35" s="299">
        <v>41693</v>
      </c>
      <c r="E35" s="1278">
        <v>10500</v>
      </c>
      <c r="F35" s="1258">
        <v>5000</v>
      </c>
      <c r="G35" s="1279">
        <v>5500</v>
      </c>
      <c r="H35" s="1258">
        <v>4000</v>
      </c>
      <c r="I35" s="1263">
        <v>8075</v>
      </c>
      <c r="J35" s="1265">
        <v>1000</v>
      </c>
      <c r="K35" s="1257">
        <v>2078</v>
      </c>
      <c r="L35" s="1264">
        <f t="shared" si="0"/>
        <v>10000</v>
      </c>
      <c r="M35" s="1270">
        <f t="shared" si="1"/>
        <v>15653</v>
      </c>
      <c r="N35" s="1280">
        <v>42196</v>
      </c>
      <c r="O35" t="s">
        <v>666</v>
      </c>
    </row>
    <row r="36" spans="1:15" x14ac:dyDescent="0.25">
      <c r="A36" s="1281" t="s">
        <v>1186</v>
      </c>
      <c r="B36" s="1282" t="s">
        <v>882</v>
      </c>
      <c r="C36" s="822">
        <v>41676</v>
      </c>
      <c r="D36" s="299">
        <v>41979</v>
      </c>
      <c r="E36" s="1278">
        <v>20000</v>
      </c>
      <c r="F36" s="1258">
        <v>500</v>
      </c>
      <c r="G36" s="1279">
        <v>19500</v>
      </c>
      <c r="H36" s="1258">
        <v>1300</v>
      </c>
      <c r="I36" s="1263">
        <v>5800</v>
      </c>
      <c r="J36" s="1265">
        <v>200</v>
      </c>
      <c r="K36" s="1257">
        <v>1760</v>
      </c>
      <c r="L36" s="1264">
        <f t="shared" si="0"/>
        <v>2000</v>
      </c>
      <c r="M36" s="1270">
        <f t="shared" si="1"/>
        <v>27060</v>
      </c>
      <c r="N36" s="1280">
        <v>42154</v>
      </c>
      <c r="O36" t="s">
        <v>666</v>
      </c>
    </row>
    <row r="37" spans="1:15" x14ac:dyDescent="0.25">
      <c r="A37" s="1281" t="s">
        <v>1340</v>
      </c>
      <c r="B37" s="1282" t="s">
        <v>1341</v>
      </c>
      <c r="C37" s="822">
        <v>41566</v>
      </c>
      <c r="D37" s="299">
        <v>41870</v>
      </c>
      <c r="E37" s="1278">
        <v>22000</v>
      </c>
      <c r="F37" s="1258">
        <v>7000</v>
      </c>
      <c r="G37" s="1279">
        <v>15000</v>
      </c>
      <c r="H37" s="1258">
        <v>10000</v>
      </c>
      <c r="I37" s="1263">
        <v>6326</v>
      </c>
      <c r="J37" s="1265">
        <v>1000</v>
      </c>
      <c r="K37" s="1257">
        <v>2229</v>
      </c>
      <c r="L37" s="1264">
        <f t="shared" si="0"/>
        <v>18000</v>
      </c>
      <c r="M37" s="1270">
        <f t="shared" si="1"/>
        <v>23555</v>
      </c>
      <c r="N37" s="1280">
        <v>42219</v>
      </c>
      <c r="O37" t="s">
        <v>666</v>
      </c>
    </row>
    <row r="38" spans="1:15" x14ac:dyDescent="0.25">
      <c r="A38" s="1281" t="s">
        <v>1343</v>
      </c>
      <c r="B38" s="1282" t="s">
        <v>461</v>
      </c>
      <c r="C38" s="822">
        <v>41599</v>
      </c>
      <c r="D38" s="299">
        <v>41903</v>
      </c>
      <c r="E38" s="1278">
        <v>25000</v>
      </c>
      <c r="F38" s="1258"/>
      <c r="G38" s="1279">
        <v>25000</v>
      </c>
      <c r="H38" s="1258"/>
      <c r="I38" s="1263">
        <v>26250</v>
      </c>
      <c r="J38" s="1265"/>
      <c r="K38" s="1257">
        <v>2562</v>
      </c>
      <c r="L38" s="1264">
        <f t="shared" si="0"/>
        <v>0</v>
      </c>
      <c r="M38" s="1270">
        <f t="shared" si="1"/>
        <v>53812</v>
      </c>
      <c r="N38" s="1280" t="s">
        <v>76</v>
      </c>
      <c r="O38" t="s">
        <v>666</v>
      </c>
    </row>
    <row r="39" spans="1:15" x14ac:dyDescent="0.25">
      <c r="A39" s="1289" t="s">
        <v>1343</v>
      </c>
      <c r="B39" s="1282" t="s">
        <v>461</v>
      </c>
      <c r="C39" s="822">
        <v>41617</v>
      </c>
      <c r="D39" s="299">
        <v>41679</v>
      </c>
      <c r="E39" s="1278">
        <v>5000</v>
      </c>
      <c r="F39" s="1258"/>
      <c r="G39" s="1279">
        <v>5000</v>
      </c>
      <c r="H39" s="1258"/>
      <c r="I39" s="1263">
        <v>5000</v>
      </c>
      <c r="J39" s="1265"/>
      <c r="K39" s="1257">
        <v>500</v>
      </c>
      <c r="L39" s="1264">
        <f t="shared" si="0"/>
        <v>0</v>
      </c>
      <c r="M39" s="1270">
        <f t="shared" si="1"/>
        <v>10500</v>
      </c>
      <c r="N39" s="1280" t="s">
        <v>76</v>
      </c>
      <c r="O39" t="s">
        <v>666</v>
      </c>
    </row>
    <row r="40" spans="1:15" x14ac:dyDescent="0.25">
      <c r="A40" s="1289" t="s">
        <v>1270</v>
      </c>
      <c r="B40" s="1282" t="s">
        <v>1271</v>
      </c>
      <c r="C40" s="822">
        <v>41731</v>
      </c>
      <c r="D40" s="299">
        <v>41914</v>
      </c>
      <c r="E40" s="1278">
        <v>17500</v>
      </c>
      <c r="F40" s="1258"/>
      <c r="G40" s="1279">
        <v>11450</v>
      </c>
      <c r="H40" s="1258"/>
      <c r="I40" s="1263">
        <v>4915</v>
      </c>
      <c r="J40" s="1265"/>
      <c r="K40" s="1257">
        <v>826</v>
      </c>
      <c r="L40" s="1264">
        <f t="shared" si="0"/>
        <v>0</v>
      </c>
      <c r="M40" s="1270">
        <f t="shared" si="1"/>
        <v>17191</v>
      </c>
      <c r="N40" s="1280">
        <v>42176</v>
      </c>
      <c r="O40" t="s">
        <v>666</v>
      </c>
    </row>
    <row r="41" spans="1:15" x14ac:dyDescent="0.25">
      <c r="A41" s="1281" t="s">
        <v>1360</v>
      </c>
      <c r="B41" s="1282" t="s">
        <v>1361</v>
      </c>
      <c r="C41" s="822">
        <v>41606</v>
      </c>
      <c r="D41" s="299">
        <v>41910</v>
      </c>
      <c r="E41" s="1278">
        <v>30000</v>
      </c>
      <c r="F41" s="1258"/>
      <c r="G41" s="1279">
        <v>15000</v>
      </c>
      <c r="H41" s="1258"/>
      <c r="I41" s="1263">
        <v>12750</v>
      </c>
      <c r="J41" s="1265"/>
      <c r="K41" s="1257">
        <v>2397</v>
      </c>
      <c r="L41" s="1264">
        <f t="shared" si="0"/>
        <v>0</v>
      </c>
      <c r="M41" s="1270">
        <f t="shared" si="1"/>
        <v>30147</v>
      </c>
      <c r="N41" s="1280">
        <v>42028</v>
      </c>
      <c r="O41" t="s">
        <v>666</v>
      </c>
    </row>
    <row r="42" spans="1:15" x14ac:dyDescent="0.25">
      <c r="A42" s="1281" t="s">
        <v>1514</v>
      </c>
      <c r="B42" s="1282" t="s">
        <v>428</v>
      </c>
      <c r="C42" s="822" t="s">
        <v>1515</v>
      </c>
      <c r="D42" s="299">
        <v>41959</v>
      </c>
      <c r="E42" s="1278">
        <v>35000</v>
      </c>
      <c r="F42" s="1258"/>
      <c r="G42" s="1279">
        <v>35000</v>
      </c>
      <c r="H42" s="1258">
        <v>4000</v>
      </c>
      <c r="I42" s="1263">
        <v>20500</v>
      </c>
      <c r="J42" s="1265">
        <v>1000</v>
      </c>
      <c r="K42" s="1257">
        <v>5799</v>
      </c>
      <c r="L42" s="1264"/>
      <c r="M42" s="1270">
        <f t="shared" ref="M42:M89" si="2">G42+I42+K42</f>
        <v>61299</v>
      </c>
      <c r="N42" s="1280">
        <v>42117</v>
      </c>
      <c r="O42" t="s">
        <v>666</v>
      </c>
    </row>
    <row r="43" spans="1:15" ht="15.75" customHeight="1" x14ac:dyDescent="0.25">
      <c r="A43" s="1281" t="s">
        <v>1031</v>
      </c>
      <c r="B43" s="1282" t="s">
        <v>683</v>
      </c>
      <c r="C43" s="822">
        <v>41405</v>
      </c>
      <c r="D43" s="299">
        <v>41709</v>
      </c>
      <c r="E43" s="1278">
        <v>9500</v>
      </c>
      <c r="F43" s="1258"/>
      <c r="G43" s="1279">
        <v>9500</v>
      </c>
      <c r="H43" s="1258"/>
      <c r="I43" s="1263">
        <v>12825</v>
      </c>
      <c r="J43" s="1265"/>
      <c r="K43" s="1257">
        <v>1116</v>
      </c>
      <c r="L43" s="1264">
        <f>F43+H43+J43</f>
        <v>0</v>
      </c>
      <c r="M43" s="1270">
        <f t="shared" si="2"/>
        <v>23441</v>
      </c>
      <c r="N43" s="1280" t="s">
        <v>76</v>
      </c>
      <c r="O43" t="s">
        <v>666</v>
      </c>
    </row>
    <row r="44" spans="1:15" x14ac:dyDescent="0.25">
      <c r="A44" s="1281" t="s">
        <v>491</v>
      </c>
      <c r="B44" s="1282" t="s">
        <v>8</v>
      </c>
      <c r="C44" s="822">
        <v>41659</v>
      </c>
      <c r="D44" s="299">
        <v>41779</v>
      </c>
      <c r="E44" s="1278">
        <v>3400</v>
      </c>
      <c r="F44" s="1258">
        <v>150</v>
      </c>
      <c r="G44" s="1279">
        <v>2070</v>
      </c>
      <c r="H44" s="1258">
        <v>30</v>
      </c>
      <c r="I44" s="1263">
        <v>1448</v>
      </c>
      <c r="J44" s="1265"/>
      <c r="K44" s="1257">
        <v>713</v>
      </c>
      <c r="L44" s="1264">
        <f>F44+H44+J44</f>
        <v>180</v>
      </c>
      <c r="M44" s="1270">
        <f t="shared" si="2"/>
        <v>4231</v>
      </c>
      <c r="N44" s="1280">
        <v>42231</v>
      </c>
      <c r="O44" t="s">
        <v>666</v>
      </c>
    </row>
    <row r="45" spans="1:15" x14ac:dyDescent="0.25">
      <c r="A45" s="1289" t="s">
        <v>647</v>
      </c>
      <c r="B45" s="1282" t="s">
        <v>544</v>
      </c>
      <c r="C45" s="822">
        <v>41520</v>
      </c>
      <c r="D45" s="299">
        <v>41823</v>
      </c>
      <c r="E45" s="1278">
        <v>40000</v>
      </c>
      <c r="F45" s="1258">
        <v>400</v>
      </c>
      <c r="G45" s="1279">
        <v>25460</v>
      </c>
      <c r="H45" s="1258">
        <v>400</v>
      </c>
      <c r="I45" s="1263">
        <v>23995</v>
      </c>
      <c r="J45" s="1265">
        <v>200</v>
      </c>
      <c r="K45" s="1257">
        <v>4215</v>
      </c>
      <c r="L45" s="1264">
        <f>F45+H45+J45</f>
        <v>1000</v>
      </c>
      <c r="M45" s="1270">
        <f t="shared" si="2"/>
        <v>53670</v>
      </c>
      <c r="N45" s="1280">
        <v>42176</v>
      </c>
      <c r="O45" t="s">
        <v>666</v>
      </c>
    </row>
    <row r="46" spans="1:15" x14ac:dyDescent="0.25">
      <c r="A46" s="1289" t="s">
        <v>1063</v>
      </c>
      <c r="B46" s="1282" t="s">
        <v>461</v>
      </c>
      <c r="C46" s="822">
        <v>41457</v>
      </c>
      <c r="D46" s="348">
        <v>41641</v>
      </c>
      <c r="E46" s="1278">
        <v>25000</v>
      </c>
      <c r="F46" s="1258">
        <v>400</v>
      </c>
      <c r="G46" s="1279">
        <v>14237</v>
      </c>
      <c r="H46" s="1258">
        <v>400</v>
      </c>
      <c r="I46" s="1263">
        <v>7222</v>
      </c>
      <c r="J46" s="1265">
        <v>200</v>
      </c>
      <c r="K46" s="1257">
        <v>2669</v>
      </c>
      <c r="L46" s="1264">
        <f>F46+H46+J46</f>
        <v>1000</v>
      </c>
      <c r="M46" s="1270">
        <f t="shared" si="2"/>
        <v>24128</v>
      </c>
      <c r="N46" s="1280">
        <v>42156</v>
      </c>
      <c r="O46" t="s">
        <v>666</v>
      </c>
    </row>
    <row r="47" spans="1:15" x14ac:dyDescent="0.25">
      <c r="A47" s="1289" t="s">
        <v>1866</v>
      </c>
      <c r="B47" s="1282" t="s">
        <v>836</v>
      </c>
      <c r="C47" s="822">
        <v>41929</v>
      </c>
      <c r="D47" s="348">
        <v>41958</v>
      </c>
      <c r="E47" s="1278">
        <v>7000</v>
      </c>
      <c r="F47" s="1258"/>
      <c r="G47" s="1279">
        <v>7000</v>
      </c>
      <c r="H47" s="1258">
        <v>800</v>
      </c>
      <c r="I47" s="1263">
        <v>2700</v>
      </c>
      <c r="J47" s="1265">
        <v>200</v>
      </c>
      <c r="K47" s="1257">
        <v>525</v>
      </c>
      <c r="L47" s="1264">
        <f>F47+H47+J47</f>
        <v>1000</v>
      </c>
      <c r="M47" s="1270">
        <f t="shared" si="2"/>
        <v>10225</v>
      </c>
      <c r="N47" s="1280">
        <v>42240</v>
      </c>
      <c r="O47" t="s">
        <v>666</v>
      </c>
    </row>
    <row r="48" spans="1:15" x14ac:dyDescent="0.25">
      <c r="A48" s="1289" t="s">
        <v>1867</v>
      </c>
      <c r="B48" s="1282" t="s">
        <v>495</v>
      </c>
      <c r="C48" s="822">
        <v>41879</v>
      </c>
      <c r="D48" s="348">
        <v>41910</v>
      </c>
      <c r="E48" s="1278">
        <v>8000</v>
      </c>
      <c r="F48" s="1258"/>
      <c r="G48" s="1279">
        <v>6000</v>
      </c>
      <c r="H48" s="1258"/>
      <c r="I48" s="1263">
        <v>1800</v>
      </c>
      <c r="J48" s="1265"/>
      <c r="K48" s="1257">
        <v>390</v>
      </c>
      <c r="L48" s="1264"/>
      <c r="M48" s="1270">
        <f t="shared" si="2"/>
        <v>8190</v>
      </c>
      <c r="N48" s="1280">
        <v>42037</v>
      </c>
      <c r="O48" t="s">
        <v>666</v>
      </c>
    </row>
    <row r="49" spans="1:15" x14ac:dyDescent="0.25">
      <c r="A49" s="1281" t="s">
        <v>1277</v>
      </c>
      <c r="B49" s="1282" t="s">
        <v>532</v>
      </c>
      <c r="C49" s="822">
        <v>41503</v>
      </c>
      <c r="D49" s="299">
        <v>41805</v>
      </c>
      <c r="E49" s="1278">
        <v>24000</v>
      </c>
      <c r="F49" s="1258">
        <v>1500</v>
      </c>
      <c r="G49" s="1279">
        <v>19000</v>
      </c>
      <c r="H49" s="1258">
        <v>2000</v>
      </c>
      <c r="I49" s="1263">
        <v>12095</v>
      </c>
      <c r="J49" s="1264">
        <v>500</v>
      </c>
      <c r="K49" s="1270">
        <v>3109</v>
      </c>
      <c r="L49" s="1264">
        <f t="shared" ref="L49:L89" si="3">F49+H49+J49</f>
        <v>4000</v>
      </c>
      <c r="M49" s="1270">
        <f t="shared" si="2"/>
        <v>34204</v>
      </c>
      <c r="N49" s="1288">
        <v>42170</v>
      </c>
      <c r="O49" t="s">
        <v>666</v>
      </c>
    </row>
    <row r="50" spans="1:15" x14ac:dyDescent="0.25">
      <c r="A50" s="1289" t="s">
        <v>26</v>
      </c>
      <c r="B50" s="1282" t="s">
        <v>858</v>
      </c>
      <c r="C50" s="822">
        <v>41547</v>
      </c>
      <c r="D50" s="299">
        <v>41850</v>
      </c>
      <c r="E50" s="1278">
        <v>10000</v>
      </c>
      <c r="F50" s="1258">
        <v>1500</v>
      </c>
      <c r="G50" s="1279">
        <v>7000</v>
      </c>
      <c r="H50" s="1258">
        <v>2000</v>
      </c>
      <c r="I50" s="1263">
        <v>4725</v>
      </c>
      <c r="J50" s="1265">
        <v>500</v>
      </c>
      <c r="K50" s="1257">
        <v>1604</v>
      </c>
      <c r="L50" s="1264">
        <f t="shared" si="3"/>
        <v>4000</v>
      </c>
      <c r="M50" s="1270">
        <f t="shared" si="2"/>
        <v>13329</v>
      </c>
      <c r="N50" s="1280">
        <v>42189</v>
      </c>
      <c r="O50" t="s">
        <v>666</v>
      </c>
    </row>
    <row r="51" spans="1:15" x14ac:dyDescent="0.25">
      <c r="A51" s="1281" t="s">
        <v>1388</v>
      </c>
      <c r="B51" s="1282" t="s">
        <v>1387</v>
      </c>
      <c r="C51" s="258">
        <v>41359</v>
      </c>
      <c r="D51" s="299">
        <v>41665</v>
      </c>
      <c r="E51" s="1278">
        <v>21000</v>
      </c>
      <c r="F51" s="1258">
        <v>726</v>
      </c>
      <c r="G51" s="1279">
        <v>12119</v>
      </c>
      <c r="H51" s="1258">
        <v>1000</v>
      </c>
      <c r="I51" s="1263">
        <v>4087</v>
      </c>
      <c r="J51" s="1265">
        <v>274</v>
      </c>
      <c r="K51" s="1257">
        <v>810</v>
      </c>
      <c r="L51" s="1264">
        <f t="shared" si="3"/>
        <v>2000</v>
      </c>
      <c r="M51" s="1270">
        <f t="shared" si="2"/>
        <v>17016</v>
      </c>
      <c r="N51" s="1280">
        <v>42177</v>
      </c>
      <c r="O51" t="s">
        <v>666</v>
      </c>
    </row>
    <row r="52" spans="1:15" x14ac:dyDescent="0.25">
      <c r="A52" s="1281" t="s">
        <v>1069</v>
      </c>
      <c r="B52" s="1282" t="s">
        <v>748</v>
      </c>
      <c r="C52" s="822">
        <v>41605</v>
      </c>
      <c r="D52" s="299">
        <v>41878</v>
      </c>
      <c r="E52" s="1278">
        <v>7000</v>
      </c>
      <c r="F52" s="1258">
        <v>500</v>
      </c>
      <c r="G52" s="1279">
        <v>765</v>
      </c>
      <c r="H52" s="1258"/>
      <c r="I52" s="1263">
        <v>114</v>
      </c>
      <c r="J52" s="1265"/>
      <c r="K52" s="1257">
        <v>43</v>
      </c>
      <c r="L52" s="1264">
        <f t="shared" si="3"/>
        <v>500</v>
      </c>
      <c r="M52" s="1270">
        <f t="shared" si="2"/>
        <v>922</v>
      </c>
      <c r="N52" s="1280">
        <v>42147</v>
      </c>
      <c r="O52" t="s">
        <v>666</v>
      </c>
    </row>
    <row r="53" spans="1:15" x14ac:dyDescent="0.25">
      <c r="A53" s="1281" t="s">
        <v>1362</v>
      </c>
      <c r="B53" s="1282" t="s">
        <v>1363</v>
      </c>
      <c r="C53" s="822">
        <v>41628</v>
      </c>
      <c r="D53" s="299">
        <v>41932</v>
      </c>
      <c r="E53" s="1278">
        <v>35000</v>
      </c>
      <c r="F53" s="1258">
        <v>1000</v>
      </c>
      <c r="G53" s="1279">
        <v>26250</v>
      </c>
      <c r="H53" s="1258">
        <v>500</v>
      </c>
      <c r="I53" s="1263">
        <v>16824</v>
      </c>
      <c r="J53" s="1265">
        <v>500</v>
      </c>
      <c r="K53" s="1257">
        <v>3857</v>
      </c>
      <c r="L53" s="1264">
        <f t="shared" si="3"/>
        <v>2000</v>
      </c>
      <c r="M53" s="1270">
        <f t="shared" si="2"/>
        <v>46931</v>
      </c>
      <c r="N53" s="1280">
        <v>42226</v>
      </c>
      <c r="O53" t="s">
        <v>666</v>
      </c>
    </row>
    <row r="54" spans="1:15" x14ac:dyDescent="0.25">
      <c r="A54" s="1281" t="s">
        <v>725</v>
      </c>
      <c r="B54" s="1282" t="s">
        <v>461</v>
      </c>
      <c r="C54" s="822">
        <v>41557</v>
      </c>
      <c r="D54" s="299">
        <v>41861</v>
      </c>
      <c r="E54" s="1278">
        <v>5000</v>
      </c>
      <c r="F54" s="1258">
        <v>1000</v>
      </c>
      <c r="G54" s="1279">
        <v>6311</v>
      </c>
      <c r="H54" s="1258">
        <v>500</v>
      </c>
      <c r="I54" s="1263">
        <v>1645</v>
      </c>
      <c r="J54" s="1265">
        <v>397</v>
      </c>
      <c r="K54" s="1257">
        <v>517</v>
      </c>
      <c r="L54" s="1264">
        <f t="shared" si="3"/>
        <v>1897</v>
      </c>
      <c r="M54" s="1270">
        <f t="shared" si="2"/>
        <v>8473</v>
      </c>
      <c r="N54" s="1280">
        <v>42191</v>
      </c>
      <c r="O54" t="s">
        <v>666</v>
      </c>
    </row>
    <row r="55" spans="1:15" x14ac:dyDescent="0.25">
      <c r="A55" s="1281" t="s">
        <v>1599</v>
      </c>
      <c r="B55" s="1282" t="s">
        <v>655</v>
      </c>
      <c r="C55" s="822">
        <v>41815</v>
      </c>
      <c r="D55" s="299">
        <v>41937</v>
      </c>
      <c r="E55" s="1278">
        <v>5000</v>
      </c>
      <c r="F55" s="1258">
        <v>250</v>
      </c>
      <c r="G55" s="1279">
        <v>3700</v>
      </c>
      <c r="H55" s="1258">
        <v>50</v>
      </c>
      <c r="I55" s="1263">
        <v>677</v>
      </c>
      <c r="J55" s="1265"/>
      <c r="K55" s="1257">
        <v>217</v>
      </c>
      <c r="L55" s="1264">
        <f t="shared" si="3"/>
        <v>300</v>
      </c>
      <c r="M55" s="1270">
        <f t="shared" si="2"/>
        <v>4594</v>
      </c>
      <c r="N55" s="1280">
        <v>42227</v>
      </c>
      <c r="O55" t="s">
        <v>666</v>
      </c>
    </row>
    <row r="56" spans="1:15" x14ac:dyDescent="0.25">
      <c r="A56" s="1281" t="s">
        <v>1035</v>
      </c>
      <c r="B56" s="1282" t="s">
        <v>668</v>
      </c>
      <c r="C56" s="822">
        <v>41844</v>
      </c>
      <c r="D56" s="299">
        <v>41936</v>
      </c>
      <c r="E56" s="1278">
        <v>6000</v>
      </c>
      <c r="F56" s="1286"/>
      <c r="G56" s="1279">
        <v>3500</v>
      </c>
      <c r="H56" s="1286"/>
      <c r="I56" s="1261">
        <v>1110</v>
      </c>
      <c r="J56" s="1265"/>
      <c r="K56" s="1257">
        <v>502</v>
      </c>
      <c r="L56" s="1264">
        <f t="shared" si="3"/>
        <v>0</v>
      </c>
      <c r="M56" s="1270">
        <f t="shared" si="2"/>
        <v>5112</v>
      </c>
      <c r="N56" s="1280">
        <v>42079</v>
      </c>
      <c r="O56" t="s">
        <v>666</v>
      </c>
    </row>
    <row r="57" spans="1:15" x14ac:dyDescent="0.25">
      <c r="A57" s="1281" t="s">
        <v>1279</v>
      </c>
      <c r="B57" s="1282" t="s">
        <v>1280</v>
      </c>
      <c r="C57" s="822">
        <v>41745</v>
      </c>
      <c r="D57" s="299">
        <v>41686</v>
      </c>
      <c r="E57" s="1278">
        <v>35000</v>
      </c>
      <c r="F57" s="1286">
        <v>1500</v>
      </c>
      <c r="G57" s="1279">
        <v>29025</v>
      </c>
      <c r="H57" s="1286">
        <v>500</v>
      </c>
      <c r="I57" s="1261">
        <v>3604</v>
      </c>
      <c r="J57" s="1265"/>
      <c r="K57" s="1257">
        <v>3850</v>
      </c>
      <c r="L57" s="1264">
        <f t="shared" si="3"/>
        <v>2000</v>
      </c>
      <c r="M57" s="1270">
        <f t="shared" si="2"/>
        <v>36479</v>
      </c>
      <c r="N57" s="1280">
        <v>42236</v>
      </c>
      <c r="O57" t="s">
        <v>666</v>
      </c>
    </row>
    <row r="58" spans="1:15" x14ac:dyDescent="0.25">
      <c r="A58" s="1281" t="s">
        <v>829</v>
      </c>
      <c r="B58" s="1282" t="s">
        <v>678</v>
      </c>
      <c r="C58" s="822">
        <v>41503</v>
      </c>
      <c r="D58" s="348">
        <v>41744</v>
      </c>
      <c r="E58" s="1278">
        <v>7500</v>
      </c>
      <c r="F58" s="1286"/>
      <c r="G58" s="1279">
        <v>3100</v>
      </c>
      <c r="H58" s="1286">
        <v>800</v>
      </c>
      <c r="I58" s="1261">
        <v>1885</v>
      </c>
      <c r="J58" s="1265">
        <v>200</v>
      </c>
      <c r="K58" s="1257">
        <v>923</v>
      </c>
      <c r="L58" s="1264">
        <f t="shared" si="3"/>
        <v>1000</v>
      </c>
      <c r="M58" s="1270">
        <f t="shared" si="2"/>
        <v>5908</v>
      </c>
      <c r="N58" s="1280">
        <v>42231</v>
      </c>
      <c r="O58" t="s">
        <v>666</v>
      </c>
    </row>
    <row r="59" spans="1:15" x14ac:dyDescent="0.25">
      <c r="A59" s="1281" t="s">
        <v>717</v>
      </c>
      <c r="B59" s="1282" t="s">
        <v>694</v>
      </c>
      <c r="C59" s="822">
        <v>41663</v>
      </c>
      <c r="D59" s="348">
        <v>41967</v>
      </c>
      <c r="E59" s="1278">
        <v>60000</v>
      </c>
      <c r="F59" s="1258">
        <v>100</v>
      </c>
      <c r="G59" s="1279">
        <v>30480</v>
      </c>
      <c r="H59" s="1258">
        <v>100</v>
      </c>
      <c r="I59" s="1263">
        <v>21354</v>
      </c>
      <c r="J59" s="1265">
        <v>50</v>
      </c>
      <c r="K59" s="1257">
        <v>2725</v>
      </c>
      <c r="L59" s="1264">
        <f t="shared" si="3"/>
        <v>250</v>
      </c>
      <c r="M59" s="1270">
        <f t="shared" si="2"/>
        <v>54559</v>
      </c>
      <c r="N59" s="1280">
        <v>42228</v>
      </c>
      <c r="O59" t="s">
        <v>666</v>
      </c>
    </row>
    <row r="60" spans="1:15" x14ac:dyDescent="0.25">
      <c r="A60" s="1281" t="s">
        <v>1528</v>
      </c>
      <c r="B60" s="1282" t="s">
        <v>719</v>
      </c>
      <c r="C60" s="822">
        <v>41803</v>
      </c>
      <c r="D60" s="299">
        <v>41986</v>
      </c>
      <c r="E60" s="1278">
        <v>5000</v>
      </c>
      <c r="F60" s="1258">
        <v>1000</v>
      </c>
      <c r="G60" s="1279">
        <v>4000</v>
      </c>
      <c r="H60" s="1258">
        <v>500</v>
      </c>
      <c r="I60" s="1263">
        <v>325</v>
      </c>
      <c r="J60" s="1265"/>
      <c r="K60" s="1257">
        <v>225</v>
      </c>
      <c r="L60" s="1264">
        <f t="shared" si="3"/>
        <v>1500</v>
      </c>
      <c r="M60" s="1270">
        <f t="shared" si="2"/>
        <v>4550</v>
      </c>
      <c r="N60" s="1280">
        <v>42213</v>
      </c>
      <c r="O60" t="s">
        <v>666</v>
      </c>
    </row>
    <row r="61" spans="1:15" x14ac:dyDescent="0.25">
      <c r="A61" s="1281" t="s">
        <v>516</v>
      </c>
      <c r="B61" s="1282" t="s">
        <v>517</v>
      </c>
      <c r="C61" s="822">
        <v>41365</v>
      </c>
      <c r="D61" s="299">
        <v>41671</v>
      </c>
      <c r="E61" s="1278">
        <v>7000</v>
      </c>
      <c r="F61" s="1258">
        <v>1000</v>
      </c>
      <c r="G61" s="1279">
        <v>2700</v>
      </c>
      <c r="H61" s="1258">
        <v>1000</v>
      </c>
      <c r="I61" s="1263">
        <v>3110</v>
      </c>
      <c r="J61" s="1265"/>
      <c r="K61" s="1257">
        <v>1117</v>
      </c>
      <c r="L61" s="1264">
        <f t="shared" si="3"/>
        <v>2000</v>
      </c>
      <c r="M61" s="1270">
        <f t="shared" si="2"/>
        <v>6927</v>
      </c>
      <c r="N61" s="1280">
        <v>42196</v>
      </c>
      <c r="O61" t="s">
        <v>666</v>
      </c>
    </row>
    <row r="62" spans="1:15" x14ac:dyDescent="0.25">
      <c r="A62" s="1281" t="s">
        <v>1304</v>
      </c>
      <c r="B62" s="1282" t="s">
        <v>1305</v>
      </c>
      <c r="C62" s="822">
        <v>41806</v>
      </c>
      <c r="D62" s="299">
        <v>41989</v>
      </c>
      <c r="E62" s="1278">
        <v>4000</v>
      </c>
      <c r="F62" s="1258">
        <v>200</v>
      </c>
      <c r="G62" s="1279">
        <v>2660</v>
      </c>
      <c r="H62" s="1258">
        <v>200</v>
      </c>
      <c r="I62" s="1263">
        <v>575</v>
      </c>
      <c r="J62" s="1265"/>
      <c r="K62" s="1257">
        <v>522</v>
      </c>
      <c r="L62" s="1264">
        <f t="shared" si="3"/>
        <v>400</v>
      </c>
      <c r="M62" s="1270">
        <f t="shared" si="2"/>
        <v>3757</v>
      </c>
      <c r="N62" s="1280">
        <v>42189</v>
      </c>
      <c r="O62" t="s">
        <v>666</v>
      </c>
    </row>
    <row r="63" spans="1:15" x14ac:dyDescent="0.25">
      <c r="A63" s="1281" t="s">
        <v>1364</v>
      </c>
      <c r="B63" s="1282" t="s">
        <v>1164</v>
      </c>
      <c r="C63" s="822">
        <v>41578</v>
      </c>
      <c r="D63" s="299">
        <v>41729</v>
      </c>
      <c r="E63" s="1278">
        <v>5000</v>
      </c>
      <c r="F63" s="1258">
        <v>200</v>
      </c>
      <c r="G63" s="1279">
        <v>3540</v>
      </c>
      <c r="H63" s="1258">
        <v>300</v>
      </c>
      <c r="I63" s="1263">
        <v>2111</v>
      </c>
      <c r="J63" s="1265"/>
      <c r="K63" s="1257">
        <v>2138</v>
      </c>
      <c r="L63" s="1264">
        <f t="shared" si="3"/>
        <v>500</v>
      </c>
      <c r="M63" s="1270">
        <f t="shared" si="2"/>
        <v>7789</v>
      </c>
      <c r="N63" s="1280">
        <v>42170</v>
      </c>
      <c r="O63" t="s">
        <v>666</v>
      </c>
    </row>
    <row r="64" spans="1:15" x14ac:dyDescent="0.25">
      <c r="A64" s="1281" t="s">
        <v>1600</v>
      </c>
      <c r="B64" s="1282" t="s">
        <v>870</v>
      </c>
      <c r="C64" s="822">
        <v>41844</v>
      </c>
      <c r="D64" s="299">
        <v>41997</v>
      </c>
      <c r="E64" s="1278">
        <v>5000</v>
      </c>
      <c r="F64" s="1258"/>
      <c r="G64" s="1279">
        <v>2850</v>
      </c>
      <c r="H64" s="1258"/>
      <c r="I64" s="1263">
        <v>2280</v>
      </c>
      <c r="J64" s="1265"/>
      <c r="K64" s="1257">
        <v>256</v>
      </c>
      <c r="L64" s="1264">
        <f t="shared" si="3"/>
        <v>0</v>
      </c>
      <c r="M64" s="1270">
        <f t="shared" si="2"/>
        <v>5386</v>
      </c>
      <c r="N64" s="1280">
        <v>41873</v>
      </c>
      <c r="O64" t="s">
        <v>666</v>
      </c>
    </row>
    <row r="65" spans="1:15" x14ac:dyDescent="0.25">
      <c r="A65" s="1281" t="s">
        <v>857</v>
      </c>
      <c r="B65" s="1282" t="s">
        <v>858</v>
      </c>
      <c r="C65" s="822">
        <v>41445</v>
      </c>
      <c r="D65" s="299">
        <v>41749</v>
      </c>
      <c r="E65" s="1278">
        <v>5000</v>
      </c>
      <c r="F65" s="1258"/>
      <c r="G65" s="1279">
        <v>900</v>
      </c>
      <c r="H65" s="1258">
        <v>150</v>
      </c>
      <c r="I65" s="1263">
        <v>630</v>
      </c>
      <c r="J65" s="1265">
        <v>50</v>
      </c>
      <c r="K65" s="1257">
        <v>680</v>
      </c>
      <c r="L65" s="1264">
        <f t="shared" si="3"/>
        <v>200</v>
      </c>
      <c r="M65" s="1270">
        <f t="shared" si="2"/>
        <v>2210</v>
      </c>
      <c r="N65" s="1280">
        <v>42073</v>
      </c>
      <c r="O65" t="s">
        <v>666</v>
      </c>
    </row>
    <row r="66" spans="1:15" x14ac:dyDescent="0.25">
      <c r="A66" s="1281" t="s">
        <v>811</v>
      </c>
      <c r="B66" s="1282" t="s">
        <v>812</v>
      </c>
      <c r="C66" s="822">
        <v>41457</v>
      </c>
      <c r="D66" s="299">
        <v>41700</v>
      </c>
      <c r="E66" s="1278">
        <v>15000</v>
      </c>
      <c r="F66" s="1258"/>
      <c r="G66" s="1279">
        <v>3000</v>
      </c>
      <c r="H66" s="1258"/>
      <c r="I66" s="1263">
        <v>5800</v>
      </c>
      <c r="J66" s="1265"/>
      <c r="K66" s="1257">
        <v>440</v>
      </c>
      <c r="L66" s="1264">
        <f t="shared" si="3"/>
        <v>0</v>
      </c>
      <c r="M66" s="1270">
        <f t="shared" si="2"/>
        <v>9240</v>
      </c>
      <c r="N66" s="1280">
        <v>42253</v>
      </c>
      <c r="O66" t="s">
        <v>666</v>
      </c>
    </row>
    <row r="67" spans="1:15" x14ac:dyDescent="0.25">
      <c r="A67" s="1289" t="s">
        <v>1534</v>
      </c>
      <c r="B67" s="1282" t="s">
        <v>669</v>
      </c>
      <c r="C67" s="822">
        <v>41857</v>
      </c>
      <c r="D67" s="299">
        <v>41949</v>
      </c>
      <c r="E67" s="1278">
        <v>8000</v>
      </c>
      <c r="F67" s="1258"/>
      <c r="G67" s="1279">
        <v>8000</v>
      </c>
      <c r="H67" s="1258">
        <v>800</v>
      </c>
      <c r="I67" s="1263">
        <v>1600</v>
      </c>
      <c r="J67" s="1265">
        <v>200</v>
      </c>
      <c r="K67" s="1257">
        <v>866</v>
      </c>
      <c r="L67" s="1264">
        <f t="shared" si="3"/>
        <v>1000</v>
      </c>
      <c r="M67" s="1270">
        <f t="shared" si="2"/>
        <v>10466</v>
      </c>
      <c r="N67" s="1280">
        <v>42206</v>
      </c>
      <c r="O67" t="s">
        <v>666</v>
      </c>
    </row>
    <row r="68" spans="1:15" x14ac:dyDescent="0.25">
      <c r="A68" s="1281" t="s">
        <v>1048</v>
      </c>
      <c r="B68" s="1282" t="s">
        <v>860</v>
      </c>
      <c r="C68" s="822">
        <v>41360</v>
      </c>
      <c r="D68" s="299">
        <v>41666</v>
      </c>
      <c r="E68" s="1278">
        <v>30000</v>
      </c>
      <c r="F68" s="1258">
        <v>120</v>
      </c>
      <c r="G68" s="1279">
        <v>2970</v>
      </c>
      <c r="H68" s="1258">
        <v>120</v>
      </c>
      <c r="I68" s="1263">
        <v>9458</v>
      </c>
      <c r="J68" s="1265">
        <v>60</v>
      </c>
      <c r="K68" s="1257">
        <v>3415</v>
      </c>
      <c r="L68" s="1264">
        <f t="shared" si="3"/>
        <v>300</v>
      </c>
      <c r="M68" s="1270">
        <f t="shared" si="2"/>
        <v>15843</v>
      </c>
      <c r="N68" s="1280">
        <v>42238</v>
      </c>
      <c r="O68" t="s">
        <v>666</v>
      </c>
    </row>
    <row r="69" spans="1:15" x14ac:dyDescent="0.25">
      <c r="A69" s="1281" t="s">
        <v>1869</v>
      </c>
      <c r="B69" s="1282" t="s">
        <v>694</v>
      </c>
      <c r="C69" s="822">
        <v>41443</v>
      </c>
      <c r="D69" s="299">
        <v>41747</v>
      </c>
      <c r="E69" s="1278">
        <v>19500</v>
      </c>
      <c r="F69" s="1258">
        <v>1500</v>
      </c>
      <c r="G69" s="1279">
        <v>10000</v>
      </c>
      <c r="H69" s="1258">
        <v>500</v>
      </c>
      <c r="I69" s="1263">
        <v>3750</v>
      </c>
      <c r="J69" s="1265"/>
      <c r="K69" s="1257">
        <v>1212</v>
      </c>
      <c r="L69" s="1264">
        <f t="shared" si="3"/>
        <v>2000</v>
      </c>
      <c r="M69" s="1270">
        <f t="shared" si="2"/>
        <v>14962</v>
      </c>
      <c r="N69" s="1280">
        <v>42242</v>
      </c>
      <c r="O69" t="s">
        <v>666</v>
      </c>
    </row>
    <row r="70" spans="1:15" x14ac:dyDescent="0.25">
      <c r="A70" s="1281" t="s">
        <v>484</v>
      </c>
      <c r="B70" s="1282" t="s">
        <v>485</v>
      </c>
      <c r="C70" s="822">
        <v>41405</v>
      </c>
      <c r="D70" s="299">
        <v>41709</v>
      </c>
      <c r="E70" s="1278">
        <v>15000</v>
      </c>
      <c r="F70" s="1258"/>
      <c r="G70" s="1279">
        <v>15000</v>
      </c>
      <c r="H70" s="1258"/>
      <c r="I70" s="1263">
        <v>16925</v>
      </c>
      <c r="J70" s="1265"/>
      <c r="K70" s="1257">
        <v>1621</v>
      </c>
      <c r="L70" s="1264">
        <f t="shared" si="3"/>
        <v>0</v>
      </c>
      <c r="M70" s="1270">
        <f t="shared" si="2"/>
        <v>33546</v>
      </c>
      <c r="N70" s="1280" t="s">
        <v>76</v>
      </c>
      <c r="O70" t="s">
        <v>666</v>
      </c>
    </row>
    <row r="71" spans="1:15" x14ac:dyDescent="0.25">
      <c r="A71" s="1289" t="s">
        <v>1189</v>
      </c>
      <c r="B71" s="1282" t="s">
        <v>1190</v>
      </c>
      <c r="C71" s="822">
        <v>41409</v>
      </c>
      <c r="D71" s="299">
        <v>41713</v>
      </c>
      <c r="E71" s="1278">
        <v>85000</v>
      </c>
      <c r="F71" s="1258"/>
      <c r="G71" s="1279">
        <v>76500</v>
      </c>
      <c r="H71" s="1258"/>
      <c r="I71" s="1263">
        <v>99275</v>
      </c>
      <c r="J71" s="1265"/>
      <c r="K71" s="1257">
        <v>15595</v>
      </c>
      <c r="L71" s="1264">
        <f t="shared" si="3"/>
        <v>0</v>
      </c>
      <c r="M71" s="1270">
        <f t="shared" si="2"/>
        <v>191370</v>
      </c>
      <c r="N71" s="1280">
        <v>41884</v>
      </c>
      <c r="O71" t="s">
        <v>666</v>
      </c>
    </row>
    <row r="72" spans="1:15" x14ac:dyDescent="0.25">
      <c r="A72" s="1289" t="s">
        <v>1467</v>
      </c>
      <c r="B72" s="1282" t="s">
        <v>1468</v>
      </c>
      <c r="C72" s="822">
        <v>41682</v>
      </c>
      <c r="D72" s="299">
        <v>41985</v>
      </c>
      <c r="E72" s="1278">
        <v>20000</v>
      </c>
      <c r="F72" s="1258"/>
      <c r="G72" s="1279">
        <v>14600</v>
      </c>
      <c r="H72" s="1258">
        <v>2000</v>
      </c>
      <c r="I72" s="1263">
        <v>5770</v>
      </c>
      <c r="J72" s="1265"/>
      <c r="K72" s="1257">
        <v>1018</v>
      </c>
      <c r="L72" s="1264">
        <f t="shared" si="3"/>
        <v>2000</v>
      </c>
      <c r="M72" s="1270">
        <f t="shared" si="2"/>
        <v>21388</v>
      </c>
      <c r="N72" s="1280">
        <v>42226</v>
      </c>
      <c r="O72" t="s">
        <v>666</v>
      </c>
    </row>
    <row r="73" spans="1:15" x14ac:dyDescent="0.25">
      <c r="A73" s="1289" t="s">
        <v>1282</v>
      </c>
      <c r="B73" s="1282" t="s">
        <v>542</v>
      </c>
      <c r="C73" s="822">
        <v>41494</v>
      </c>
      <c r="D73" s="299">
        <v>41798</v>
      </c>
      <c r="E73" s="1278">
        <v>30000</v>
      </c>
      <c r="F73" s="1258">
        <v>10000</v>
      </c>
      <c r="G73" s="1279">
        <v>12210</v>
      </c>
      <c r="H73" s="1258">
        <v>8000</v>
      </c>
      <c r="I73" s="1263">
        <v>8988</v>
      </c>
      <c r="J73" s="1265"/>
      <c r="K73" s="1257">
        <v>3508</v>
      </c>
      <c r="L73" s="1264">
        <f t="shared" si="3"/>
        <v>18000</v>
      </c>
      <c r="M73" s="1270">
        <f t="shared" si="2"/>
        <v>24706</v>
      </c>
      <c r="N73" s="1280">
        <v>42200</v>
      </c>
      <c r="O73" t="s">
        <v>666</v>
      </c>
    </row>
    <row r="74" spans="1:15" x14ac:dyDescent="0.25">
      <c r="A74" s="1289" t="s">
        <v>940</v>
      </c>
      <c r="B74" s="1282" t="s">
        <v>1144</v>
      </c>
      <c r="C74" s="822">
        <v>41455</v>
      </c>
      <c r="D74" s="299">
        <v>41759</v>
      </c>
      <c r="E74" s="1278">
        <v>12600</v>
      </c>
      <c r="F74" s="1258"/>
      <c r="G74" s="1279">
        <v>8299</v>
      </c>
      <c r="H74" s="1258"/>
      <c r="I74" s="1263">
        <v>11280</v>
      </c>
      <c r="J74" s="1265"/>
      <c r="K74" s="1257">
        <v>978</v>
      </c>
      <c r="L74" s="1264">
        <f t="shared" si="3"/>
        <v>0</v>
      </c>
      <c r="M74" s="1270">
        <f t="shared" si="2"/>
        <v>20557</v>
      </c>
      <c r="N74" s="1280">
        <v>41685</v>
      </c>
      <c r="O74" t="s">
        <v>666</v>
      </c>
    </row>
    <row r="75" spans="1:15" x14ac:dyDescent="0.25">
      <c r="A75" s="1289" t="s">
        <v>1226</v>
      </c>
      <c r="B75" s="1282" t="s">
        <v>1349</v>
      </c>
      <c r="C75" s="822">
        <v>41428</v>
      </c>
      <c r="D75" s="299">
        <v>41732</v>
      </c>
      <c r="E75" s="1278">
        <v>29000</v>
      </c>
      <c r="F75" s="1258"/>
      <c r="G75" s="1279">
        <v>29000</v>
      </c>
      <c r="H75" s="1258"/>
      <c r="I75" s="1263">
        <v>37700</v>
      </c>
      <c r="J75" s="1265"/>
      <c r="K75" s="1257">
        <v>3335</v>
      </c>
      <c r="L75" s="1264">
        <f t="shared" si="3"/>
        <v>0</v>
      </c>
      <c r="M75" s="1270">
        <f t="shared" si="2"/>
        <v>70035</v>
      </c>
      <c r="N75" s="1280" t="s">
        <v>76</v>
      </c>
      <c r="O75" t="s">
        <v>666</v>
      </c>
    </row>
    <row r="76" spans="1:15" x14ac:dyDescent="0.25">
      <c r="A76" s="1289" t="s">
        <v>1345</v>
      </c>
      <c r="B76" s="1282" t="s">
        <v>398</v>
      </c>
      <c r="C76" s="822">
        <v>41610</v>
      </c>
      <c r="D76" s="299">
        <v>41731</v>
      </c>
      <c r="E76" s="1278">
        <v>6000</v>
      </c>
      <c r="F76" s="1258"/>
      <c r="G76" s="1279">
        <v>5675</v>
      </c>
      <c r="H76" s="1258">
        <v>2360</v>
      </c>
      <c r="I76" s="1263">
        <v>4371</v>
      </c>
      <c r="J76" s="1264">
        <v>175</v>
      </c>
      <c r="K76" s="1270">
        <v>897</v>
      </c>
      <c r="L76" s="1264">
        <f t="shared" si="3"/>
        <v>2535</v>
      </c>
      <c r="M76" s="1270">
        <f t="shared" si="2"/>
        <v>10943</v>
      </c>
      <c r="N76" s="1288">
        <v>41820</v>
      </c>
      <c r="O76" t="s">
        <v>666</v>
      </c>
    </row>
    <row r="77" spans="1:15" x14ac:dyDescent="0.25">
      <c r="A77" s="1289" t="s">
        <v>1536</v>
      </c>
      <c r="B77" s="1282" t="s">
        <v>720</v>
      </c>
      <c r="C77" s="822">
        <v>41828</v>
      </c>
      <c r="D77" s="299">
        <v>41981</v>
      </c>
      <c r="E77" s="1278">
        <v>50000</v>
      </c>
      <c r="F77" s="1258"/>
      <c r="G77" s="1279">
        <v>50000</v>
      </c>
      <c r="H77" s="1258"/>
      <c r="I77" s="1263">
        <v>25000</v>
      </c>
      <c r="J77" s="1264"/>
      <c r="K77" s="1270">
        <v>3750</v>
      </c>
      <c r="L77" s="1264">
        <f t="shared" si="3"/>
        <v>0</v>
      </c>
      <c r="M77" s="1270">
        <f t="shared" si="2"/>
        <v>78750</v>
      </c>
      <c r="N77" s="1288">
        <v>41829</v>
      </c>
      <c r="O77" t="s">
        <v>666</v>
      </c>
    </row>
    <row r="78" spans="1:15" x14ac:dyDescent="0.25">
      <c r="A78" s="1289" t="s">
        <v>1171</v>
      </c>
      <c r="B78" s="1282" t="s">
        <v>1172</v>
      </c>
      <c r="C78" s="822">
        <v>41390</v>
      </c>
      <c r="D78" s="299">
        <v>41696</v>
      </c>
      <c r="E78" s="1278">
        <v>150000</v>
      </c>
      <c r="F78" s="1258"/>
      <c r="G78" s="1279">
        <v>150000</v>
      </c>
      <c r="H78" s="1258"/>
      <c r="I78" s="1263">
        <v>196000</v>
      </c>
      <c r="J78" s="1265"/>
      <c r="K78" s="1257">
        <v>17300</v>
      </c>
      <c r="L78" s="1264">
        <f t="shared" si="3"/>
        <v>0</v>
      </c>
      <c r="M78" s="1270">
        <f t="shared" si="2"/>
        <v>363300</v>
      </c>
      <c r="N78" s="1280">
        <v>41564</v>
      </c>
      <c r="O78" t="s">
        <v>666</v>
      </c>
    </row>
    <row r="79" spans="1:15" x14ac:dyDescent="0.25">
      <c r="A79" s="1289" t="s">
        <v>558</v>
      </c>
      <c r="B79" s="1282" t="s">
        <v>546</v>
      </c>
      <c r="C79" s="822">
        <v>41607</v>
      </c>
      <c r="D79" s="299">
        <v>41911</v>
      </c>
      <c r="E79" s="1278">
        <v>7000</v>
      </c>
      <c r="F79" s="1258">
        <v>3000</v>
      </c>
      <c r="G79" s="1279">
        <v>5000</v>
      </c>
      <c r="H79" s="1258">
        <v>6000</v>
      </c>
      <c r="I79" s="1263">
        <v>960</v>
      </c>
      <c r="J79" s="1265">
        <v>1000</v>
      </c>
      <c r="K79" s="1257">
        <v>560</v>
      </c>
      <c r="L79" s="1264">
        <f t="shared" si="3"/>
        <v>10000</v>
      </c>
      <c r="M79" s="1270">
        <f t="shared" si="2"/>
        <v>6520</v>
      </c>
      <c r="N79" s="1280">
        <v>42217</v>
      </c>
      <c r="O79" t="s">
        <v>666</v>
      </c>
    </row>
    <row r="80" spans="1:15" x14ac:dyDescent="0.25">
      <c r="A80" s="1289" t="s">
        <v>971</v>
      </c>
      <c r="B80" s="1282" t="s">
        <v>941</v>
      </c>
      <c r="C80" s="822">
        <v>41353</v>
      </c>
      <c r="D80" s="299">
        <v>41659</v>
      </c>
      <c r="E80" s="1278">
        <v>3000</v>
      </c>
      <c r="F80" s="1258">
        <v>400</v>
      </c>
      <c r="G80" s="1279">
        <v>1850</v>
      </c>
      <c r="H80" s="1258">
        <v>400</v>
      </c>
      <c r="I80" s="1263">
        <v>1309</v>
      </c>
      <c r="J80" s="1265">
        <v>200</v>
      </c>
      <c r="K80" s="1257">
        <v>420</v>
      </c>
      <c r="L80" s="1264">
        <f t="shared" si="3"/>
        <v>1000</v>
      </c>
      <c r="M80" s="1270">
        <f t="shared" si="2"/>
        <v>3579</v>
      </c>
      <c r="N80" s="1280">
        <v>42165</v>
      </c>
      <c r="O80" t="s">
        <v>666</v>
      </c>
    </row>
    <row r="81" spans="1:15" x14ac:dyDescent="0.25">
      <c r="A81" s="1289" t="s">
        <v>970</v>
      </c>
      <c r="B81" s="1282" t="s">
        <v>941</v>
      </c>
      <c r="C81" s="258">
        <v>41752</v>
      </c>
      <c r="D81" s="299">
        <v>41935</v>
      </c>
      <c r="E81" s="1285">
        <v>5500</v>
      </c>
      <c r="F81" s="1286">
        <v>50</v>
      </c>
      <c r="G81" s="1279">
        <v>2450</v>
      </c>
      <c r="H81" s="1286">
        <v>100</v>
      </c>
      <c r="I81" s="1261">
        <v>540</v>
      </c>
      <c r="J81" s="1265">
        <v>50</v>
      </c>
      <c r="K81" s="1257">
        <v>93</v>
      </c>
      <c r="L81" s="1264">
        <f t="shared" si="3"/>
        <v>200</v>
      </c>
      <c r="M81" s="1270">
        <f t="shared" si="2"/>
        <v>3083</v>
      </c>
      <c r="N81" s="1280">
        <v>42186</v>
      </c>
      <c r="O81" t="s">
        <v>666</v>
      </c>
    </row>
    <row r="82" spans="1:15" x14ac:dyDescent="0.25">
      <c r="A82" s="1289" t="s">
        <v>849</v>
      </c>
      <c r="B82" s="1282" t="s">
        <v>1342</v>
      </c>
      <c r="C82" s="822">
        <v>41561</v>
      </c>
      <c r="D82" s="299">
        <v>41865</v>
      </c>
      <c r="E82" s="1285">
        <v>200000</v>
      </c>
      <c r="F82" s="1286">
        <v>9000</v>
      </c>
      <c r="G82" s="1279">
        <v>183250</v>
      </c>
      <c r="H82" s="1286">
        <v>20000</v>
      </c>
      <c r="I82" s="1261">
        <v>180000</v>
      </c>
      <c r="J82" s="1265">
        <v>1000</v>
      </c>
      <c r="K82" s="1257">
        <v>18162</v>
      </c>
      <c r="L82" s="1264">
        <f t="shared" si="3"/>
        <v>30000</v>
      </c>
      <c r="M82" s="1270">
        <f t="shared" si="2"/>
        <v>381412</v>
      </c>
      <c r="N82" s="1280">
        <v>41709</v>
      </c>
      <c r="O82" t="s">
        <v>666</v>
      </c>
    </row>
    <row r="83" spans="1:15" x14ac:dyDescent="0.25">
      <c r="A83" s="1289" t="s">
        <v>1179</v>
      </c>
      <c r="B83" s="1282" t="s">
        <v>397</v>
      </c>
      <c r="C83" s="822">
        <v>41501</v>
      </c>
      <c r="D83" s="299">
        <v>41685</v>
      </c>
      <c r="E83" s="1285">
        <v>25000</v>
      </c>
      <c r="F83" s="1286"/>
      <c r="G83" s="1279">
        <v>13710</v>
      </c>
      <c r="H83" s="1286"/>
      <c r="I83" s="1261">
        <v>18049</v>
      </c>
      <c r="J83" s="1265"/>
      <c r="K83" s="1257">
        <v>2749</v>
      </c>
      <c r="L83" s="1264">
        <f t="shared" si="3"/>
        <v>0</v>
      </c>
      <c r="M83" s="1270">
        <f t="shared" si="2"/>
        <v>34508</v>
      </c>
      <c r="N83" s="1280">
        <v>41865</v>
      </c>
      <c r="O83" t="s">
        <v>666</v>
      </c>
    </row>
    <row r="84" spans="1:15" x14ac:dyDescent="0.25">
      <c r="A84" s="1289" t="s">
        <v>863</v>
      </c>
      <c r="B84" s="1282" t="s">
        <v>1261</v>
      </c>
      <c r="C84" s="822">
        <v>41470</v>
      </c>
      <c r="D84" s="299">
        <v>41774</v>
      </c>
      <c r="E84" s="1285">
        <v>14000</v>
      </c>
      <c r="F84" s="1286">
        <v>400</v>
      </c>
      <c r="G84" s="1279">
        <v>8878</v>
      </c>
      <c r="H84" s="1286">
        <v>400</v>
      </c>
      <c r="I84" s="1261">
        <v>8105</v>
      </c>
      <c r="J84" s="1265">
        <v>200</v>
      </c>
      <c r="K84" s="1257">
        <v>805</v>
      </c>
      <c r="L84" s="1264">
        <f t="shared" si="3"/>
        <v>1000</v>
      </c>
      <c r="M84" s="1270">
        <f t="shared" si="2"/>
        <v>17788</v>
      </c>
      <c r="N84" s="1280">
        <v>42166</v>
      </c>
      <c r="O84" t="s">
        <v>666</v>
      </c>
    </row>
    <row r="85" spans="1:15" x14ac:dyDescent="0.25">
      <c r="A85" s="1289" t="s">
        <v>1348</v>
      </c>
      <c r="B85" s="1282" t="s">
        <v>398</v>
      </c>
      <c r="C85" s="822">
        <v>41585</v>
      </c>
      <c r="D85" s="299">
        <v>41889</v>
      </c>
      <c r="E85" s="1285">
        <v>10000</v>
      </c>
      <c r="F85" s="1286">
        <v>200</v>
      </c>
      <c r="G85" s="1279">
        <v>4325</v>
      </c>
      <c r="H85" s="1286">
        <v>600</v>
      </c>
      <c r="I85" s="1261">
        <v>2236</v>
      </c>
      <c r="J85" s="1265">
        <v>100</v>
      </c>
      <c r="K85" s="1257">
        <v>429</v>
      </c>
      <c r="L85" s="1264">
        <f t="shared" si="3"/>
        <v>900</v>
      </c>
      <c r="M85" s="1270">
        <f t="shared" si="2"/>
        <v>6990</v>
      </c>
      <c r="N85" s="1280">
        <v>42180</v>
      </c>
      <c r="O85" t="s">
        <v>666</v>
      </c>
    </row>
    <row r="86" spans="1:15" x14ac:dyDescent="0.25">
      <c r="A86" s="1289" t="s">
        <v>1469</v>
      </c>
      <c r="B86" s="1282" t="s">
        <v>1470</v>
      </c>
      <c r="C86" s="822">
        <v>41683</v>
      </c>
      <c r="D86" s="299">
        <v>41986</v>
      </c>
      <c r="E86" s="1285">
        <v>40000</v>
      </c>
      <c r="F86" s="1286"/>
      <c r="G86" s="1279">
        <v>40000</v>
      </c>
      <c r="H86" s="1286"/>
      <c r="I86" s="1261">
        <v>36000</v>
      </c>
      <c r="J86" s="1265"/>
      <c r="K86" s="1257">
        <v>3800</v>
      </c>
      <c r="L86" s="1264">
        <f t="shared" si="3"/>
        <v>0</v>
      </c>
      <c r="M86" s="1270">
        <f t="shared" si="2"/>
        <v>79800</v>
      </c>
      <c r="N86" s="1280" t="s">
        <v>76</v>
      </c>
      <c r="O86" t="s">
        <v>666</v>
      </c>
    </row>
    <row r="87" spans="1:15" x14ac:dyDescent="0.25">
      <c r="A87" s="1289" t="s">
        <v>1403</v>
      </c>
      <c r="B87" s="1282" t="s">
        <v>1404</v>
      </c>
      <c r="C87" s="822">
        <v>41908</v>
      </c>
      <c r="D87" s="299">
        <v>41999</v>
      </c>
      <c r="E87" s="1285">
        <v>10000</v>
      </c>
      <c r="F87" s="1286"/>
      <c r="G87" s="1279">
        <v>10000</v>
      </c>
      <c r="H87" s="1286"/>
      <c r="I87" s="1261">
        <v>4500</v>
      </c>
      <c r="J87" s="1265">
        <v>500</v>
      </c>
      <c r="K87" s="1257">
        <v>725</v>
      </c>
      <c r="L87" s="1264">
        <f t="shared" si="3"/>
        <v>500</v>
      </c>
      <c r="M87" s="1270">
        <f t="shared" si="2"/>
        <v>15225</v>
      </c>
      <c r="N87" s="1280" t="s">
        <v>884</v>
      </c>
      <c r="O87" t="s">
        <v>666</v>
      </c>
    </row>
    <row r="88" spans="1:15" x14ac:dyDescent="0.25">
      <c r="A88" s="1289" t="s">
        <v>1351</v>
      </c>
      <c r="B88" s="1282" t="s">
        <v>571</v>
      </c>
      <c r="C88" s="822">
        <v>41697</v>
      </c>
      <c r="D88" s="299">
        <v>41846</v>
      </c>
      <c r="E88" s="1278">
        <v>6000</v>
      </c>
      <c r="F88" s="1258"/>
      <c r="G88" s="1279">
        <v>6000</v>
      </c>
      <c r="H88" s="1258"/>
      <c r="I88" s="1263">
        <v>5400</v>
      </c>
      <c r="J88" s="1264"/>
      <c r="K88" s="1270">
        <v>570</v>
      </c>
      <c r="L88" s="1264">
        <f t="shared" si="3"/>
        <v>0</v>
      </c>
      <c r="M88" s="1270">
        <f t="shared" si="2"/>
        <v>11970</v>
      </c>
      <c r="N88" s="1288" t="s">
        <v>76</v>
      </c>
      <c r="O88" t="s">
        <v>666</v>
      </c>
    </row>
    <row r="89" spans="1:15" x14ac:dyDescent="0.25">
      <c r="A89" s="1281" t="s">
        <v>1546</v>
      </c>
      <c r="B89" s="1282" t="s">
        <v>550</v>
      </c>
      <c r="C89" s="822">
        <v>41604</v>
      </c>
      <c r="D89" s="299">
        <v>41785</v>
      </c>
      <c r="E89" s="1278">
        <v>8000</v>
      </c>
      <c r="F89" s="1258"/>
      <c r="G89" s="1279">
        <v>8000</v>
      </c>
      <c r="H89" s="1258"/>
      <c r="I89" s="1263">
        <v>2400</v>
      </c>
      <c r="J89" s="1265"/>
      <c r="K89" s="1257">
        <v>222</v>
      </c>
      <c r="L89" s="1264">
        <f t="shared" si="3"/>
        <v>0</v>
      </c>
      <c r="M89" s="1270">
        <f t="shared" si="2"/>
        <v>10622</v>
      </c>
      <c r="N89" s="1280" t="s">
        <v>884</v>
      </c>
      <c r="O89" t="s">
        <v>666</v>
      </c>
    </row>
    <row r="90" spans="1:15" x14ac:dyDescent="0.25">
      <c r="A90" s="1289" t="s">
        <v>1870</v>
      </c>
      <c r="B90" s="1282" t="s">
        <v>882</v>
      </c>
      <c r="C90" s="822">
        <v>41773</v>
      </c>
      <c r="D90" s="299">
        <v>41865</v>
      </c>
      <c r="E90" s="1278">
        <v>7000</v>
      </c>
      <c r="F90" s="1258"/>
      <c r="G90" s="1279">
        <v>7000</v>
      </c>
      <c r="H90" s="1258"/>
      <c r="I90" s="1263">
        <v>1050</v>
      </c>
      <c r="J90" s="1265"/>
      <c r="K90" s="1257"/>
      <c r="L90" s="1264">
        <f t="shared" ref="L90" si="4">F90+H90+J90</f>
        <v>0</v>
      </c>
      <c r="M90" s="1270">
        <f t="shared" ref="M90" si="5">G90+I90+K90</f>
        <v>8050</v>
      </c>
      <c r="N90" s="1280" t="s">
        <v>884</v>
      </c>
      <c r="O90" t="s">
        <v>666</v>
      </c>
    </row>
    <row r="91" spans="1:15" x14ac:dyDescent="0.25">
      <c r="A91" s="1289" t="s">
        <v>1174</v>
      </c>
      <c r="B91" s="1282" t="s">
        <v>945</v>
      </c>
      <c r="C91" s="822">
        <v>41611</v>
      </c>
      <c r="D91" s="299">
        <v>41823</v>
      </c>
      <c r="E91" s="1278">
        <v>4000</v>
      </c>
      <c r="F91" s="1258"/>
      <c r="G91" s="1279">
        <v>3200</v>
      </c>
      <c r="H91" s="1258">
        <v>842</v>
      </c>
      <c r="I91" s="1263">
        <v>1238</v>
      </c>
      <c r="J91" s="1265">
        <v>158</v>
      </c>
      <c r="K91" s="1257">
        <v>221</v>
      </c>
      <c r="L91" s="1264">
        <f t="shared" ref="L91:L108" si="6">F91+H91+J91</f>
        <v>1000</v>
      </c>
      <c r="M91" s="1270">
        <f t="shared" ref="M91:M108" si="7">G91+I91+K91</f>
        <v>4659</v>
      </c>
      <c r="N91" s="1280">
        <v>42052</v>
      </c>
      <c r="O91" t="s">
        <v>666</v>
      </c>
    </row>
    <row r="92" spans="1:15" x14ac:dyDescent="0.25">
      <c r="A92" s="1289" t="s">
        <v>528</v>
      </c>
      <c r="B92" s="1283" t="s">
        <v>492</v>
      </c>
      <c r="C92" s="822">
        <v>41571</v>
      </c>
      <c r="D92" s="299">
        <v>41753</v>
      </c>
      <c r="E92" s="1278">
        <v>4500</v>
      </c>
      <c r="F92" s="1258">
        <v>80</v>
      </c>
      <c r="G92" s="1279">
        <v>2610</v>
      </c>
      <c r="H92" s="1258">
        <v>20</v>
      </c>
      <c r="I92" s="1263">
        <v>261</v>
      </c>
      <c r="J92" s="1264"/>
      <c r="K92" s="1270">
        <v>600</v>
      </c>
      <c r="L92" s="1264">
        <f t="shared" si="6"/>
        <v>100</v>
      </c>
      <c r="M92" s="1270">
        <f t="shared" si="7"/>
        <v>3471</v>
      </c>
      <c r="N92" s="1288">
        <v>42172</v>
      </c>
      <c r="O92" t="s">
        <v>666</v>
      </c>
    </row>
    <row r="93" spans="1:15" x14ac:dyDescent="0.25">
      <c r="A93" s="1281" t="s">
        <v>71</v>
      </c>
      <c r="B93" s="1282" t="s">
        <v>13</v>
      </c>
      <c r="C93" s="822">
        <v>41627</v>
      </c>
      <c r="D93" s="299">
        <v>41809</v>
      </c>
      <c r="E93" s="1278">
        <v>6000</v>
      </c>
      <c r="F93" s="1258">
        <v>70</v>
      </c>
      <c r="G93" s="1279">
        <v>2940</v>
      </c>
      <c r="H93" s="1258">
        <v>20</v>
      </c>
      <c r="I93" s="1263">
        <v>1050</v>
      </c>
      <c r="J93" s="1264"/>
      <c r="K93" s="1270">
        <v>199</v>
      </c>
      <c r="L93" s="1264">
        <f t="shared" si="6"/>
        <v>90</v>
      </c>
      <c r="M93" s="1270">
        <f t="shared" si="7"/>
        <v>4189</v>
      </c>
      <c r="N93" s="1288">
        <v>42173</v>
      </c>
      <c r="O93" t="s">
        <v>666</v>
      </c>
    </row>
    <row r="94" spans="1:15" x14ac:dyDescent="0.25">
      <c r="A94" s="1281" t="s">
        <v>1052</v>
      </c>
      <c r="B94" s="1282" t="s">
        <v>669</v>
      </c>
      <c r="C94" s="822">
        <v>41744</v>
      </c>
      <c r="D94" s="299">
        <v>41865</v>
      </c>
      <c r="E94" s="1278">
        <v>10000</v>
      </c>
      <c r="F94" s="1258">
        <v>260</v>
      </c>
      <c r="G94" s="1279">
        <v>4565</v>
      </c>
      <c r="H94" s="1258">
        <v>250</v>
      </c>
      <c r="I94" s="1258">
        <v>2357</v>
      </c>
      <c r="J94" s="1265">
        <v>110</v>
      </c>
      <c r="K94" s="1290">
        <v>1012</v>
      </c>
      <c r="L94" s="1264">
        <f t="shared" si="6"/>
        <v>620</v>
      </c>
      <c r="M94" s="1270">
        <f t="shared" si="7"/>
        <v>7934</v>
      </c>
      <c r="N94" s="1291">
        <v>42237</v>
      </c>
      <c r="O94" t="s">
        <v>666</v>
      </c>
    </row>
    <row r="95" spans="1:15" x14ac:dyDescent="0.25">
      <c r="A95" s="1289" t="s">
        <v>1011</v>
      </c>
      <c r="B95" s="1282" t="s">
        <v>1012</v>
      </c>
      <c r="C95" s="822">
        <v>41499</v>
      </c>
      <c r="D95" s="299">
        <v>41803</v>
      </c>
      <c r="E95" s="1278">
        <v>25000</v>
      </c>
      <c r="F95" s="1258"/>
      <c r="G95" s="1279">
        <v>12475</v>
      </c>
      <c r="H95" s="1258">
        <v>1000</v>
      </c>
      <c r="I95" s="1258">
        <v>6730</v>
      </c>
      <c r="J95" s="1265">
        <v>800</v>
      </c>
      <c r="K95" s="1290">
        <v>712</v>
      </c>
      <c r="L95" s="1264">
        <f t="shared" si="6"/>
        <v>1800</v>
      </c>
      <c r="M95" s="1270">
        <f t="shared" si="7"/>
        <v>19917</v>
      </c>
      <c r="N95" s="1291">
        <v>42216</v>
      </c>
      <c r="O95" t="s">
        <v>666</v>
      </c>
    </row>
    <row r="96" spans="1:15" x14ac:dyDescent="0.25">
      <c r="A96" s="1289" t="s">
        <v>1196</v>
      </c>
      <c r="B96" s="1282" t="s">
        <v>514</v>
      </c>
      <c r="C96" s="822">
        <v>41431</v>
      </c>
      <c r="D96" s="299">
        <v>41676</v>
      </c>
      <c r="E96" s="1292">
        <v>15000</v>
      </c>
      <c r="F96" s="1286">
        <v>200</v>
      </c>
      <c r="G96" s="1264">
        <v>12987</v>
      </c>
      <c r="H96" s="1258">
        <v>100</v>
      </c>
      <c r="I96" s="1258">
        <v>9469</v>
      </c>
      <c r="J96" s="1265"/>
      <c r="K96" s="1290">
        <v>1122</v>
      </c>
      <c r="L96" s="1264">
        <f t="shared" si="6"/>
        <v>300</v>
      </c>
      <c r="M96" s="1270">
        <f t="shared" si="7"/>
        <v>23578</v>
      </c>
      <c r="N96" s="1291">
        <v>42009</v>
      </c>
      <c r="O96" t="s">
        <v>666</v>
      </c>
    </row>
    <row r="97" spans="1:15" x14ac:dyDescent="0.25">
      <c r="A97" s="1289" t="s">
        <v>1313</v>
      </c>
      <c r="B97" s="1282" t="s">
        <v>669</v>
      </c>
      <c r="C97" s="822">
        <v>41555</v>
      </c>
      <c r="D97" s="299">
        <v>41647</v>
      </c>
      <c r="E97" s="1292">
        <v>6000</v>
      </c>
      <c r="F97" s="1286"/>
      <c r="G97" s="1264">
        <v>3000</v>
      </c>
      <c r="H97" s="1286"/>
      <c r="I97" s="1286">
        <v>2400</v>
      </c>
      <c r="J97" s="1265"/>
      <c r="K97" s="1290">
        <v>513</v>
      </c>
      <c r="L97" s="1264">
        <f t="shared" si="6"/>
        <v>0</v>
      </c>
      <c r="M97" s="1270">
        <f t="shared" si="7"/>
        <v>5913</v>
      </c>
      <c r="N97" s="1291">
        <v>41821</v>
      </c>
      <c r="O97" t="s">
        <v>666</v>
      </c>
    </row>
    <row r="98" spans="1:15" x14ac:dyDescent="0.25">
      <c r="A98" s="1281" t="s">
        <v>1413</v>
      </c>
      <c r="B98" s="1282" t="s">
        <v>461</v>
      </c>
      <c r="C98" s="822">
        <v>41642</v>
      </c>
      <c r="D98" s="299">
        <v>41946</v>
      </c>
      <c r="E98" s="1284">
        <v>17000</v>
      </c>
      <c r="F98" s="1258"/>
      <c r="G98" s="1264">
        <v>17000</v>
      </c>
      <c r="H98" s="1258"/>
      <c r="I98" s="1258">
        <v>11787</v>
      </c>
      <c r="J98" s="1264"/>
      <c r="K98" s="1293">
        <v>2593</v>
      </c>
      <c r="L98" s="1264">
        <f t="shared" si="6"/>
        <v>0</v>
      </c>
      <c r="M98" s="1270">
        <f t="shared" si="7"/>
        <v>31380</v>
      </c>
      <c r="N98" s="1294">
        <v>41828</v>
      </c>
      <c r="O98" t="s">
        <v>666</v>
      </c>
    </row>
    <row r="99" spans="1:15" x14ac:dyDescent="0.25">
      <c r="A99" s="1281" t="s">
        <v>832</v>
      </c>
      <c r="B99" s="1282" t="s">
        <v>669</v>
      </c>
      <c r="C99" s="822">
        <v>41682</v>
      </c>
      <c r="D99" s="299">
        <v>41771</v>
      </c>
      <c r="E99" s="1284">
        <v>213500</v>
      </c>
      <c r="F99" s="1258"/>
      <c r="G99" s="1264">
        <v>213500</v>
      </c>
      <c r="H99" s="1258"/>
      <c r="I99" s="1258">
        <v>32025</v>
      </c>
      <c r="J99" s="1265"/>
      <c r="K99" s="1290"/>
      <c r="L99" s="1264">
        <f t="shared" si="6"/>
        <v>0</v>
      </c>
      <c r="M99" s="1270">
        <f t="shared" si="7"/>
        <v>245525</v>
      </c>
      <c r="N99" s="1291">
        <v>41942</v>
      </c>
      <c r="O99" t="s">
        <v>666</v>
      </c>
    </row>
    <row r="100" spans="1:15" x14ac:dyDescent="0.25">
      <c r="A100" s="1289" t="s">
        <v>1474</v>
      </c>
      <c r="B100" s="1282" t="s">
        <v>398</v>
      </c>
      <c r="C100" s="822">
        <v>41814</v>
      </c>
      <c r="D100" s="299">
        <v>41997</v>
      </c>
      <c r="E100" s="1284">
        <v>20000</v>
      </c>
      <c r="F100" s="1258"/>
      <c r="G100" s="1264">
        <v>20000</v>
      </c>
      <c r="H100" s="1258">
        <v>100</v>
      </c>
      <c r="I100" s="1258">
        <v>9900</v>
      </c>
      <c r="J100" s="1264">
        <v>500</v>
      </c>
      <c r="K100" s="1293">
        <v>1495</v>
      </c>
      <c r="L100" s="1264">
        <f t="shared" si="6"/>
        <v>600</v>
      </c>
      <c r="M100" s="1270">
        <f t="shared" si="7"/>
        <v>31395</v>
      </c>
      <c r="N100" s="1294">
        <v>42160</v>
      </c>
      <c r="O100" t="s">
        <v>666</v>
      </c>
    </row>
    <row r="101" spans="1:15" x14ac:dyDescent="0.25">
      <c r="A101" s="1281" t="s">
        <v>871</v>
      </c>
      <c r="B101" s="1282" t="s">
        <v>872</v>
      </c>
      <c r="C101" s="822">
        <v>41799</v>
      </c>
      <c r="D101" s="299">
        <v>41921</v>
      </c>
      <c r="E101" s="1284">
        <v>15000</v>
      </c>
      <c r="F101" s="1258">
        <v>2210</v>
      </c>
      <c r="G101" s="1264">
        <v>4057</v>
      </c>
      <c r="H101" s="1258">
        <v>1725</v>
      </c>
      <c r="I101" s="1258"/>
      <c r="J101" s="1265">
        <v>1065</v>
      </c>
      <c r="K101" s="1290"/>
      <c r="L101" s="1264">
        <f t="shared" si="6"/>
        <v>5000</v>
      </c>
      <c r="M101" s="1270">
        <f t="shared" si="7"/>
        <v>4057</v>
      </c>
      <c r="N101" s="1291">
        <v>42223</v>
      </c>
      <c r="O101" t="s">
        <v>666</v>
      </c>
    </row>
    <row r="102" spans="1:15" x14ac:dyDescent="0.25">
      <c r="A102" s="1289" t="s">
        <v>1175</v>
      </c>
      <c r="B102" s="1283" t="s">
        <v>1008</v>
      </c>
      <c r="C102" s="822">
        <v>41619</v>
      </c>
      <c r="D102" s="299">
        <v>41862</v>
      </c>
      <c r="E102" s="1284">
        <v>6000</v>
      </c>
      <c r="F102" s="1258"/>
      <c r="G102" s="1264">
        <v>4400</v>
      </c>
      <c r="H102" s="1258"/>
      <c r="I102" s="1258">
        <v>4540</v>
      </c>
      <c r="J102" s="1265"/>
      <c r="K102" s="1290">
        <v>447</v>
      </c>
      <c r="L102" s="1264">
        <f t="shared" si="6"/>
        <v>0</v>
      </c>
      <c r="M102" s="1270">
        <f t="shared" si="7"/>
        <v>9387</v>
      </c>
      <c r="N102" s="1291">
        <v>41750</v>
      </c>
      <c r="O102" t="s">
        <v>666</v>
      </c>
    </row>
    <row r="103" spans="1:15" x14ac:dyDescent="0.25">
      <c r="A103" s="1281" t="s">
        <v>986</v>
      </c>
      <c r="B103" s="1282" t="s">
        <v>987</v>
      </c>
      <c r="C103" s="822">
        <v>41566</v>
      </c>
      <c r="D103" s="299">
        <v>41870</v>
      </c>
      <c r="E103" s="1284">
        <v>13000</v>
      </c>
      <c r="F103" s="1258"/>
      <c r="G103" s="1264">
        <v>12600</v>
      </c>
      <c r="H103" s="1258">
        <v>4000</v>
      </c>
      <c r="I103" s="1258">
        <v>9960</v>
      </c>
      <c r="J103" s="1264"/>
      <c r="K103" s="1293">
        <v>1618</v>
      </c>
      <c r="L103" s="1264">
        <f t="shared" si="6"/>
        <v>4000</v>
      </c>
      <c r="M103" s="1270">
        <f t="shared" si="7"/>
        <v>24178</v>
      </c>
      <c r="N103" s="1294">
        <v>42184</v>
      </c>
      <c r="O103" t="s">
        <v>666</v>
      </c>
    </row>
    <row r="104" spans="1:15" x14ac:dyDescent="0.25">
      <c r="A104" s="1281" t="s">
        <v>1013</v>
      </c>
      <c r="B104" s="1282" t="s">
        <v>925</v>
      </c>
      <c r="C104" s="822">
        <v>41477</v>
      </c>
      <c r="D104" s="299">
        <v>41661</v>
      </c>
      <c r="E104" s="1284">
        <v>7000</v>
      </c>
      <c r="F104" s="1258">
        <v>200</v>
      </c>
      <c r="G104" s="1264">
        <v>3982</v>
      </c>
      <c r="H104" s="1258">
        <v>200</v>
      </c>
      <c r="I104" s="1258">
        <v>2229</v>
      </c>
      <c r="J104" s="1264">
        <v>100</v>
      </c>
      <c r="K104" s="1293">
        <v>1645</v>
      </c>
      <c r="L104" s="1264">
        <f t="shared" si="6"/>
        <v>500</v>
      </c>
      <c r="M104" s="1270">
        <f t="shared" si="7"/>
        <v>7856</v>
      </c>
      <c r="N104" s="1294">
        <v>42173</v>
      </c>
      <c r="O104" t="s">
        <v>666</v>
      </c>
    </row>
    <row r="105" spans="1:15" x14ac:dyDescent="0.25">
      <c r="A105" s="1289" t="s">
        <v>1874</v>
      </c>
      <c r="B105" s="1295" t="s">
        <v>694</v>
      </c>
      <c r="C105" s="822">
        <v>41725</v>
      </c>
      <c r="D105" s="299">
        <v>41909</v>
      </c>
      <c r="E105" s="1284">
        <v>7000</v>
      </c>
      <c r="F105" s="1258"/>
      <c r="G105" s="1264">
        <v>3179</v>
      </c>
      <c r="H105" s="1258"/>
      <c r="I105" s="1258">
        <v>1907</v>
      </c>
      <c r="J105" s="1264"/>
      <c r="K105" s="1293">
        <v>254</v>
      </c>
      <c r="L105" s="1264">
        <f t="shared" si="6"/>
        <v>0</v>
      </c>
      <c r="M105" s="1270">
        <f t="shared" si="7"/>
        <v>5340</v>
      </c>
      <c r="N105" s="1294">
        <v>41911</v>
      </c>
      <c r="O105" t="s">
        <v>666</v>
      </c>
    </row>
    <row r="106" spans="1:15" x14ac:dyDescent="0.25">
      <c r="A106" s="1289" t="s">
        <v>1872</v>
      </c>
      <c r="B106" s="1295" t="s">
        <v>1873</v>
      </c>
      <c r="C106" s="822">
        <v>41464</v>
      </c>
      <c r="D106" s="299">
        <v>41982</v>
      </c>
      <c r="E106" s="1284">
        <v>60000</v>
      </c>
      <c r="F106" s="1258">
        <v>800</v>
      </c>
      <c r="G106" s="1264">
        <v>50000</v>
      </c>
      <c r="H106" s="1258">
        <v>800</v>
      </c>
      <c r="I106" s="1258">
        <v>35400</v>
      </c>
      <c r="J106" s="1264">
        <v>400</v>
      </c>
      <c r="K106" s="1293">
        <v>7650</v>
      </c>
      <c r="L106" s="1264">
        <f t="shared" si="6"/>
        <v>2000</v>
      </c>
      <c r="M106" s="1270">
        <f t="shared" si="7"/>
        <v>93050</v>
      </c>
      <c r="N106" s="1294">
        <v>42229</v>
      </c>
      <c r="O106" t="s">
        <v>666</v>
      </c>
    </row>
    <row r="107" spans="1:15" x14ac:dyDescent="0.25">
      <c r="A107" s="1281" t="s">
        <v>1566</v>
      </c>
      <c r="B107" s="1282" t="s">
        <v>1121</v>
      </c>
      <c r="C107" s="822">
        <v>41912</v>
      </c>
      <c r="D107" s="299">
        <v>41963</v>
      </c>
      <c r="E107" s="1284">
        <v>170000</v>
      </c>
      <c r="F107" s="1258"/>
      <c r="G107" s="1264">
        <v>170000</v>
      </c>
      <c r="H107" s="1258"/>
      <c r="I107" s="1258">
        <v>93500</v>
      </c>
      <c r="J107" s="1264"/>
      <c r="K107" s="1293">
        <v>13175</v>
      </c>
      <c r="L107" s="1264">
        <f t="shared" si="6"/>
        <v>0</v>
      </c>
      <c r="M107" s="1270">
        <f t="shared" si="7"/>
        <v>276675</v>
      </c>
      <c r="N107" s="1294" t="s">
        <v>76</v>
      </c>
      <c r="O107" t="s">
        <v>666</v>
      </c>
    </row>
    <row r="108" spans="1:15" x14ac:dyDescent="0.25">
      <c r="A108" s="1281" t="s">
        <v>1566</v>
      </c>
      <c r="B108" s="1282" t="s">
        <v>1121</v>
      </c>
      <c r="C108" s="822">
        <v>41887</v>
      </c>
      <c r="D108" s="299">
        <v>41948</v>
      </c>
      <c r="E108" s="1284">
        <v>700000</v>
      </c>
      <c r="F108" s="1258"/>
      <c r="G108" s="1264">
        <v>700000</v>
      </c>
      <c r="H108" s="1258"/>
      <c r="I108" s="1258">
        <v>385000</v>
      </c>
      <c r="J108" s="1265"/>
      <c r="K108" s="1290">
        <v>54250</v>
      </c>
      <c r="L108" s="1264">
        <f t="shared" si="6"/>
        <v>0</v>
      </c>
      <c r="M108" s="1270">
        <f t="shared" si="7"/>
        <v>1139250</v>
      </c>
      <c r="N108" s="1291" t="s">
        <v>76</v>
      </c>
      <c r="O108" t="s">
        <v>666</v>
      </c>
    </row>
    <row r="109" spans="1:15" x14ac:dyDescent="0.25">
      <c r="A109" s="1289" t="s">
        <v>1566</v>
      </c>
      <c r="B109" s="1282" t="s">
        <v>1121</v>
      </c>
      <c r="C109" s="822">
        <v>41970</v>
      </c>
      <c r="D109" s="299">
        <v>42000</v>
      </c>
      <c r="E109" s="1284">
        <v>100000</v>
      </c>
      <c r="F109" s="1258"/>
      <c r="G109" s="1264">
        <v>100000</v>
      </c>
      <c r="H109" s="1258"/>
      <c r="I109" s="1258">
        <v>45000</v>
      </c>
      <c r="J109" s="1265"/>
      <c r="K109" s="1290">
        <v>7250</v>
      </c>
      <c r="L109" s="1264"/>
      <c r="M109" s="1270">
        <f t="shared" ref="M109:M121" si="8">G109+I109+K109</f>
        <v>152250</v>
      </c>
      <c r="N109" s="1291" t="s">
        <v>76</v>
      </c>
      <c r="O109" t="s">
        <v>666</v>
      </c>
    </row>
    <row r="110" spans="1:15" x14ac:dyDescent="0.25">
      <c r="A110" s="1281" t="s">
        <v>1180</v>
      </c>
      <c r="B110" s="1282" t="s">
        <v>810</v>
      </c>
      <c r="C110" s="822">
        <v>41381</v>
      </c>
      <c r="D110" s="299">
        <v>41687</v>
      </c>
      <c r="E110" s="1284">
        <v>5000</v>
      </c>
      <c r="F110" s="1258">
        <v>100</v>
      </c>
      <c r="G110" s="1264">
        <v>1700</v>
      </c>
      <c r="H110" s="1258">
        <v>200</v>
      </c>
      <c r="I110" s="1258">
        <v>1075</v>
      </c>
      <c r="J110" s="1264">
        <v>200</v>
      </c>
      <c r="K110" s="1293">
        <v>776</v>
      </c>
      <c r="L110" s="1264">
        <f t="shared" ref="L110:L121" si="9">F110+H110+J110</f>
        <v>500</v>
      </c>
      <c r="M110" s="1270">
        <f t="shared" si="8"/>
        <v>3551</v>
      </c>
      <c r="N110" s="1294">
        <v>41968</v>
      </c>
      <c r="O110" t="s">
        <v>666</v>
      </c>
    </row>
    <row r="111" spans="1:15" x14ac:dyDescent="0.25">
      <c r="A111" s="1289" t="s">
        <v>1181</v>
      </c>
      <c r="B111" s="1282" t="s">
        <v>865</v>
      </c>
      <c r="C111" s="822">
        <v>41505</v>
      </c>
      <c r="D111" s="299">
        <v>41689</v>
      </c>
      <c r="E111" s="1284">
        <v>4000</v>
      </c>
      <c r="F111" s="1258">
        <v>150</v>
      </c>
      <c r="G111" s="1264">
        <v>1990</v>
      </c>
      <c r="H111" s="1258">
        <v>200</v>
      </c>
      <c r="I111" s="1258">
        <v>1856</v>
      </c>
      <c r="J111" s="1265">
        <v>110</v>
      </c>
      <c r="K111" s="1290">
        <v>785</v>
      </c>
      <c r="L111" s="1264">
        <f t="shared" si="9"/>
        <v>460</v>
      </c>
      <c r="M111" s="1270">
        <f t="shared" si="8"/>
        <v>4631</v>
      </c>
      <c r="N111" s="1291">
        <v>42142</v>
      </c>
      <c r="O111" t="s">
        <v>666</v>
      </c>
    </row>
    <row r="112" spans="1:15" x14ac:dyDescent="0.25">
      <c r="A112" s="1281" t="s">
        <v>1318</v>
      </c>
      <c r="B112" s="1282" t="s">
        <v>796</v>
      </c>
      <c r="C112" s="822">
        <v>41554</v>
      </c>
      <c r="D112" s="299">
        <v>41858</v>
      </c>
      <c r="E112" s="1284">
        <v>6000</v>
      </c>
      <c r="F112" s="1258"/>
      <c r="G112" s="1264">
        <v>4950</v>
      </c>
      <c r="H112" s="1258"/>
      <c r="I112" s="1258">
        <v>5670</v>
      </c>
      <c r="J112" s="1265"/>
      <c r="K112" s="1290">
        <v>531</v>
      </c>
      <c r="L112" s="1264">
        <f t="shared" si="9"/>
        <v>0</v>
      </c>
      <c r="M112" s="1270">
        <f t="shared" si="8"/>
        <v>11151</v>
      </c>
      <c r="N112" s="1291">
        <v>41681</v>
      </c>
      <c r="O112" t="s">
        <v>666</v>
      </c>
    </row>
    <row r="113" spans="1:15" x14ac:dyDescent="0.25">
      <c r="A113" s="1281" t="s">
        <v>1018</v>
      </c>
      <c r="B113" s="1282" t="s">
        <v>1389</v>
      </c>
      <c r="C113" s="822">
        <v>41536</v>
      </c>
      <c r="D113" s="299">
        <v>41658</v>
      </c>
      <c r="E113" s="1284">
        <v>14500</v>
      </c>
      <c r="F113" s="1258">
        <v>1500</v>
      </c>
      <c r="G113" s="1264">
        <v>4700</v>
      </c>
      <c r="H113" s="1258">
        <v>500</v>
      </c>
      <c r="I113" s="1258">
        <v>1265</v>
      </c>
      <c r="J113" s="1265"/>
      <c r="K113" s="1290">
        <v>1310</v>
      </c>
      <c r="L113" s="1264">
        <f t="shared" si="9"/>
        <v>2000</v>
      </c>
      <c r="M113" s="1270">
        <f t="shared" si="8"/>
        <v>7275</v>
      </c>
      <c r="N113" s="1291">
        <v>42231</v>
      </c>
      <c r="O113" t="s">
        <v>666</v>
      </c>
    </row>
    <row r="114" spans="1:15" x14ac:dyDescent="0.25">
      <c r="A114" s="1289" t="s">
        <v>1421</v>
      </c>
      <c r="B114" s="1282" t="s">
        <v>719</v>
      </c>
      <c r="C114" s="822">
        <v>41814</v>
      </c>
      <c r="D114" s="299">
        <v>41997</v>
      </c>
      <c r="E114" s="1284">
        <v>10000</v>
      </c>
      <c r="F114" s="1258">
        <v>1000</v>
      </c>
      <c r="G114" s="1264">
        <v>9000</v>
      </c>
      <c r="H114" s="1258">
        <v>200</v>
      </c>
      <c r="I114" s="1258">
        <v>4400</v>
      </c>
      <c r="J114" s="1265"/>
      <c r="K114" s="1290">
        <v>670</v>
      </c>
      <c r="L114" s="1264">
        <f t="shared" si="9"/>
        <v>1200</v>
      </c>
      <c r="M114" s="1270">
        <f t="shared" si="8"/>
        <v>14070</v>
      </c>
      <c r="N114" s="1291">
        <v>42067</v>
      </c>
      <c r="O114" t="s">
        <v>666</v>
      </c>
    </row>
    <row r="115" spans="1:15" x14ac:dyDescent="0.25">
      <c r="A115" s="1289" t="s">
        <v>743</v>
      </c>
      <c r="B115" s="1283" t="s">
        <v>9</v>
      </c>
      <c r="C115" s="822">
        <v>41430</v>
      </c>
      <c r="D115" s="299">
        <v>41675</v>
      </c>
      <c r="E115" s="1284">
        <v>85000</v>
      </c>
      <c r="F115" s="1258">
        <v>440</v>
      </c>
      <c r="G115" s="1264">
        <v>17951</v>
      </c>
      <c r="H115" s="1258">
        <v>320</v>
      </c>
      <c r="I115" s="1258">
        <v>19858</v>
      </c>
      <c r="J115" s="1265">
        <v>140</v>
      </c>
      <c r="K115" s="1290">
        <v>12632</v>
      </c>
      <c r="L115" s="1264">
        <f t="shared" si="9"/>
        <v>900</v>
      </c>
      <c r="M115" s="1270">
        <f t="shared" si="8"/>
        <v>50441</v>
      </c>
      <c r="N115" s="1291">
        <v>42237</v>
      </c>
      <c r="O115" t="s">
        <v>666</v>
      </c>
    </row>
    <row r="116" spans="1:15" x14ac:dyDescent="0.25">
      <c r="A116" s="1289" t="s">
        <v>1372</v>
      </c>
      <c r="B116" s="1282" t="s">
        <v>1349</v>
      </c>
      <c r="C116" s="822">
        <v>41564</v>
      </c>
      <c r="D116" s="299">
        <v>41868</v>
      </c>
      <c r="E116" s="1284">
        <v>15000</v>
      </c>
      <c r="F116" s="1258">
        <v>800</v>
      </c>
      <c r="G116" s="1264">
        <v>7316</v>
      </c>
      <c r="H116" s="1258">
        <v>200</v>
      </c>
      <c r="I116" s="1258">
        <v>6165</v>
      </c>
      <c r="J116" s="1265"/>
      <c r="K116" s="1290">
        <v>656</v>
      </c>
      <c r="L116" s="1264">
        <f t="shared" si="9"/>
        <v>1000</v>
      </c>
      <c r="M116" s="1270">
        <f t="shared" si="8"/>
        <v>14137</v>
      </c>
      <c r="N116" s="1291">
        <v>42230</v>
      </c>
      <c r="O116" t="s">
        <v>666</v>
      </c>
    </row>
    <row r="117" spans="1:15" x14ac:dyDescent="0.25">
      <c r="A117" s="1289" t="s">
        <v>1204</v>
      </c>
      <c r="B117" s="1282" t="s">
        <v>675</v>
      </c>
      <c r="C117" s="822">
        <v>41628</v>
      </c>
      <c r="D117" s="299">
        <v>41749</v>
      </c>
      <c r="E117" s="1284">
        <v>4000</v>
      </c>
      <c r="F117" s="1258">
        <v>400</v>
      </c>
      <c r="G117" s="1264">
        <v>2820</v>
      </c>
      <c r="H117" s="1258">
        <v>400</v>
      </c>
      <c r="I117" s="1258">
        <v>2441</v>
      </c>
      <c r="J117" s="1265">
        <v>200</v>
      </c>
      <c r="K117" s="1290">
        <v>601</v>
      </c>
      <c r="L117" s="1264">
        <f t="shared" si="9"/>
        <v>1000</v>
      </c>
      <c r="M117" s="1270">
        <f t="shared" si="8"/>
        <v>5862</v>
      </c>
      <c r="N117" s="1291">
        <v>42176</v>
      </c>
      <c r="O117" t="s">
        <v>666</v>
      </c>
    </row>
    <row r="118" spans="1:15" x14ac:dyDescent="0.25">
      <c r="A118" s="1281" t="s">
        <v>1244</v>
      </c>
      <c r="B118" s="1282" t="s">
        <v>1245</v>
      </c>
      <c r="C118" s="822">
        <v>41663</v>
      </c>
      <c r="D118" s="299">
        <v>41723</v>
      </c>
      <c r="E118" s="1315">
        <v>2500</v>
      </c>
      <c r="F118" s="1317"/>
      <c r="G118" s="1316">
        <v>1890</v>
      </c>
      <c r="H118" s="1317"/>
      <c r="I118" s="1317">
        <v>2455</v>
      </c>
      <c r="J118" s="1316"/>
      <c r="K118" s="1317">
        <v>217</v>
      </c>
      <c r="L118" s="1264">
        <f t="shared" si="9"/>
        <v>0</v>
      </c>
      <c r="M118" s="1270">
        <f t="shared" si="8"/>
        <v>4562</v>
      </c>
      <c r="N118" s="1328">
        <v>41779</v>
      </c>
      <c r="O118" t="s">
        <v>666</v>
      </c>
    </row>
    <row r="119" spans="1:15" x14ac:dyDescent="0.25">
      <c r="A119" s="1289" t="s">
        <v>712</v>
      </c>
      <c r="B119" s="1282" t="s">
        <v>680</v>
      </c>
      <c r="C119" s="822">
        <v>41459</v>
      </c>
      <c r="D119" s="299">
        <v>41712</v>
      </c>
      <c r="E119" s="1296">
        <v>15000</v>
      </c>
      <c r="F119" s="1297"/>
      <c r="G119" s="1298">
        <v>14200</v>
      </c>
      <c r="H119" s="1297">
        <v>1476</v>
      </c>
      <c r="I119" s="1297">
        <v>9239</v>
      </c>
      <c r="J119" s="1299">
        <v>524</v>
      </c>
      <c r="K119" s="1300">
        <v>1171</v>
      </c>
      <c r="L119" s="1298">
        <f t="shared" si="9"/>
        <v>2000</v>
      </c>
      <c r="M119" s="1302">
        <f t="shared" si="8"/>
        <v>24610</v>
      </c>
      <c r="N119" s="1301">
        <v>41946</v>
      </c>
      <c r="O119" t="s">
        <v>666</v>
      </c>
    </row>
    <row r="120" spans="1:15" x14ac:dyDescent="0.25">
      <c r="A120" s="298" t="s">
        <v>739</v>
      </c>
      <c r="B120" s="1303" t="s">
        <v>425</v>
      </c>
      <c r="C120" s="822">
        <v>41626</v>
      </c>
      <c r="D120" s="299">
        <v>41869</v>
      </c>
      <c r="E120" s="1304">
        <v>9000</v>
      </c>
      <c r="F120" s="1305"/>
      <c r="G120" s="1306">
        <v>6850</v>
      </c>
      <c r="H120" s="1305">
        <v>500</v>
      </c>
      <c r="I120" s="1305">
        <v>4280</v>
      </c>
      <c r="J120" s="1306"/>
      <c r="K120" s="1305">
        <v>556</v>
      </c>
      <c r="L120" s="1264">
        <f t="shared" si="9"/>
        <v>500</v>
      </c>
      <c r="M120" s="1270">
        <f t="shared" si="8"/>
        <v>11686</v>
      </c>
      <c r="N120" s="1314">
        <v>41891</v>
      </c>
      <c r="O120" t="s">
        <v>666</v>
      </c>
    </row>
    <row r="121" spans="1:15" ht="15.75" thickBot="1" x14ac:dyDescent="0.3">
      <c r="A121" s="1307" t="s">
        <v>713</v>
      </c>
      <c r="B121" s="1308" t="s">
        <v>394</v>
      </c>
      <c r="C121" s="1309">
        <v>41447</v>
      </c>
      <c r="D121" s="1310">
        <v>41751</v>
      </c>
      <c r="E121" s="1322">
        <v>7000</v>
      </c>
      <c r="F121" s="1323"/>
      <c r="G121" s="1324">
        <v>5121</v>
      </c>
      <c r="H121" s="1325"/>
      <c r="I121" s="1325">
        <v>1400</v>
      </c>
      <c r="J121" s="1324"/>
      <c r="K121" s="1325">
        <v>326</v>
      </c>
      <c r="L121" s="1311">
        <f t="shared" si="9"/>
        <v>0</v>
      </c>
      <c r="M121" s="1326">
        <f t="shared" si="8"/>
        <v>6847</v>
      </c>
      <c r="N121" s="1327" t="s">
        <v>884</v>
      </c>
      <c r="O121" t="s">
        <v>666</v>
      </c>
    </row>
    <row r="122" spans="1:15" ht="15.75" thickBot="1" x14ac:dyDescent="0.3">
      <c r="A122" s="1312" t="s">
        <v>1876</v>
      </c>
      <c r="B122" s="1312"/>
      <c r="C122" s="1313"/>
      <c r="D122" s="1313"/>
      <c r="E122" s="1318">
        <f t="shared" ref="E122:M122" si="10">SUM(E8:E121)</f>
        <v>3267000</v>
      </c>
      <c r="F122" s="1319">
        <f t="shared" si="10"/>
        <v>62165</v>
      </c>
      <c r="G122" s="1320">
        <f t="shared" si="10"/>
        <v>2641005</v>
      </c>
      <c r="H122" s="1319">
        <f t="shared" si="10"/>
        <v>95965</v>
      </c>
      <c r="I122" s="1319">
        <f t="shared" si="10"/>
        <v>1764098</v>
      </c>
      <c r="J122" s="1320">
        <f t="shared" si="10"/>
        <v>15252</v>
      </c>
      <c r="K122" s="1319">
        <f t="shared" si="10"/>
        <v>276197</v>
      </c>
      <c r="L122" s="1320">
        <f t="shared" si="10"/>
        <v>168382</v>
      </c>
      <c r="M122" s="1319">
        <f t="shared" si="10"/>
        <v>4681300</v>
      </c>
      <c r="N122" s="1321"/>
    </row>
  </sheetData>
  <sortState ref="A8:O174">
    <sortCondition ref="A8"/>
  </sortState>
  <mergeCells count="7">
    <mergeCell ref="A1:N1"/>
    <mergeCell ref="A2:N2"/>
    <mergeCell ref="A5:A7"/>
    <mergeCell ref="B5:B7"/>
    <mergeCell ref="C5:C7"/>
    <mergeCell ref="D5:D7"/>
    <mergeCell ref="G5:M5"/>
  </mergeCells>
  <pageMargins left="0.7" right="0.7" top="0.75" bottom="0.75" header="0.3" footer="0.3"/>
  <pageSetup paperSize="5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P125"/>
  <sheetViews>
    <sheetView topLeftCell="A85" workbookViewId="0">
      <selection activeCell="A97" sqref="A97:XFD97"/>
    </sheetView>
  </sheetViews>
  <sheetFormatPr defaultRowHeight="12" x14ac:dyDescent="0.2"/>
  <cols>
    <col min="1" max="1" width="20.42578125" style="70" customWidth="1"/>
    <col min="2" max="2" width="16.5703125" style="70" customWidth="1"/>
    <col min="3" max="3" width="9.7109375" style="70" customWidth="1"/>
    <col min="4" max="4" width="8.140625" style="70" customWidth="1"/>
    <col min="5" max="5" width="7.85546875" style="314" customWidth="1"/>
    <col min="6" max="6" width="11" style="70" customWidth="1"/>
    <col min="7" max="7" width="10.140625" style="70" customWidth="1"/>
    <col min="8" max="8" width="11" style="70" customWidth="1"/>
    <col min="9" max="9" width="9.28515625" style="70" customWidth="1"/>
    <col min="10" max="12" width="9.85546875" style="70" customWidth="1"/>
    <col min="13" max="13" width="9.7109375" style="70" customWidth="1"/>
    <col min="14" max="14" width="10.85546875" style="70" customWidth="1"/>
    <col min="15" max="15" width="9.28515625" style="1018" customWidth="1"/>
    <col min="16" max="16384" width="9.140625" style="70"/>
  </cols>
  <sheetData>
    <row r="1" spans="1:16" x14ac:dyDescent="0.2">
      <c r="A1" s="1356" t="s">
        <v>87</v>
      </c>
      <c r="B1" s="1356"/>
      <c r="C1" s="1356"/>
      <c r="D1" s="1356"/>
      <c r="E1" s="1356"/>
      <c r="F1" s="1356"/>
      <c r="G1" s="1356"/>
      <c r="H1" s="1356"/>
      <c r="I1" s="1356"/>
      <c r="J1" s="1356"/>
      <c r="K1" s="1356"/>
      <c r="L1" s="1356"/>
      <c r="M1" s="1356"/>
      <c r="N1" s="1356"/>
      <c r="O1" s="1356"/>
    </row>
    <row r="2" spans="1:16" x14ac:dyDescent="0.2">
      <c r="A2" s="1357" t="s">
        <v>1374</v>
      </c>
      <c r="B2" s="1357"/>
      <c r="C2" s="1357"/>
      <c r="D2" s="1357"/>
      <c r="E2" s="1357"/>
      <c r="F2" s="1357"/>
      <c r="G2" s="1357"/>
      <c r="H2" s="1357"/>
      <c r="I2" s="1357"/>
      <c r="J2" s="1357"/>
      <c r="K2" s="1357"/>
      <c r="L2" s="1357"/>
      <c r="M2" s="1357"/>
      <c r="N2" s="1357"/>
      <c r="O2" s="1357"/>
    </row>
    <row r="3" spans="1:16" x14ac:dyDescent="0.2">
      <c r="A3" s="231"/>
      <c r="B3" s="231"/>
      <c r="C3" s="231"/>
      <c r="D3" s="231"/>
      <c r="E3" s="1048"/>
      <c r="F3" s="1124" t="s">
        <v>1487</v>
      </c>
      <c r="G3" s="231"/>
      <c r="H3" s="231"/>
      <c r="I3" s="231"/>
      <c r="J3" s="231"/>
      <c r="K3" s="231"/>
      <c r="L3" s="231"/>
      <c r="M3" s="231"/>
      <c r="N3" s="231"/>
      <c r="O3" s="230"/>
    </row>
    <row r="4" spans="1:16" x14ac:dyDescent="0.2">
      <c r="A4" s="231"/>
      <c r="B4" s="231"/>
      <c r="C4" s="231"/>
      <c r="D4" s="231"/>
      <c r="E4" s="1048"/>
      <c r="F4" s="231"/>
      <c r="G4" s="231"/>
      <c r="H4" s="231"/>
      <c r="I4" s="231"/>
      <c r="J4" s="231"/>
      <c r="K4" s="231"/>
      <c r="L4" s="231"/>
      <c r="M4" s="231"/>
      <c r="N4" s="231"/>
      <c r="O4" s="230"/>
    </row>
    <row r="5" spans="1:16" ht="12.75" thickBot="1" x14ac:dyDescent="0.25">
      <c r="A5" s="177" t="s">
        <v>1220</v>
      </c>
      <c r="B5" s="177"/>
      <c r="C5" s="177"/>
      <c r="D5" s="177"/>
      <c r="E5" s="177"/>
      <c r="F5" s="1069"/>
      <c r="G5" s="177"/>
      <c r="H5" s="177"/>
      <c r="I5" s="177"/>
      <c r="J5" s="177"/>
      <c r="K5" s="177"/>
      <c r="L5" s="177"/>
      <c r="M5" s="177"/>
      <c r="N5" s="177"/>
      <c r="O5" s="229"/>
      <c r="P5" s="176"/>
    </row>
    <row r="6" spans="1:16" ht="12.75" thickBot="1" x14ac:dyDescent="0.25">
      <c r="A6" s="1342" t="s">
        <v>2</v>
      </c>
      <c r="B6" s="1342" t="s">
        <v>3</v>
      </c>
      <c r="C6" s="1070"/>
      <c r="D6" s="1342" t="s">
        <v>139</v>
      </c>
      <c r="E6" s="1345" t="s">
        <v>92</v>
      </c>
      <c r="F6" s="1068"/>
      <c r="G6" s="1050"/>
      <c r="H6" s="1348" t="s">
        <v>1486</v>
      </c>
      <c r="I6" s="1348"/>
      <c r="J6" s="1348"/>
      <c r="K6" s="1348"/>
      <c r="L6" s="1348"/>
      <c r="M6" s="1348"/>
      <c r="N6" s="1348"/>
      <c r="O6" s="1051"/>
      <c r="P6" s="176"/>
    </row>
    <row r="7" spans="1:16" ht="12.75" thickBot="1" x14ac:dyDescent="0.25">
      <c r="A7" s="1343"/>
      <c r="B7" s="1343"/>
      <c r="C7" s="1071" t="s">
        <v>948</v>
      </c>
      <c r="D7" s="1343"/>
      <c r="E7" s="1346"/>
      <c r="F7" s="1052" t="s">
        <v>406</v>
      </c>
      <c r="G7" s="1053" t="s">
        <v>454</v>
      </c>
      <c r="H7" s="1054" t="s">
        <v>6</v>
      </c>
      <c r="I7" s="1055" t="s">
        <v>455</v>
      </c>
      <c r="J7" s="1056" t="s">
        <v>19</v>
      </c>
      <c r="K7" s="1057" t="s">
        <v>456</v>
      </c>
      <c r="L7" s="1054" t="s">
        <v>80</v>
      </c>
      <c r="M7" s="1057" t="s">
        <v>457</v>
      </c>
      <c r="N7" s="1058" t="s">
        <v>400</v>
      </c>
      <c r="O7" s="1059" t="s">
        <v>79</v>
      </c>
      <c r="P7" s="176"/>
    </row>
    <row r="8" spans="1:16" ht="12.75" thickBot="1" x14ac:dyDescent="0.25">
      <c r="A8" s="1344"/>
      <c r="B8" s="1344"/>
      <c r="C8" s="1072" t="s">
        <v>947</v>
      </c>
      <c r="D8" s="1344"/>
      <c r="E8" s="1347"/>
      <c r="F8" s="1060"/>
      <c r="G8" s="1061" t="s">
        <v>438</v>
      </c>
      <c r="H8" s="1062"/>
      <c r="I8" s="1063" t="s">
        <v>438</v>
      </c>
      <c r="J8" s="1064"/>
      <c r="K8" s="1065" t="s">
        <v>438</v>
      </c>
      <c r="L8" s="1065"/>
      <c r="M8" s="1065" t="s">
        <v>452</v>
      </c>
      <c r="N8" s="1066"/>
      <c r="O8" s="1067"/>
      <c r="P8" s="176"/>
    </row>
    <row r="9" spans="1:16" ht="14.25" customHeight="1" x14ac:dyDescent="0.2">
      <c r="A9" s="188" t="s">
        <v>1066</v>
      </c>
      <c r="B9" s="188" t="s">
        <v>925</v>
      </c>
      <c r="C9" s="834">
        <v>9095789147</v>
      </c>
      <c r="D9" s="195">
        <v>41311</v>
      </c>
      <c r="E9" s="1082">
        <v>41553</v>
      </c>
      <c r="F9" s="496">
        <v>32000</v>
      </c>
      <c r="G9" s="1084"/>
      <c r="H9" s="496">
        <v>28000</v>
      </c>
      <c r="I9" s="1084"/>
      <c r="J9" s="1088">
        <v>16800</v>
      </c>
      <c r="K9" s="1089"/>
      <c r="L9" s="1090">
        <v>3321</v>
      </c>
      <c r="M9" s="219">
        <f t="shared" ref="M9" si="0">G9+I9+K9</f>
        <v>0</v>
      </c>
      <c r="N9" s="1086">
        <f t="shared" ref="N9" si="1">H9+J9+L9</f>
        <v>48121</v>
      </c>
      <c r="O9" s="1087">
        <v>41339</v>
      </c>
      <c r="P9" s="202"/>
    </row>
    <row r="10" spans="1:16" ht="14.25" customHeight="1" x14ac:dyDescent="0.2">
      <c r="A10" s="188" t="s">
        <v>1255</v>
      </c>
      <c r="B10" s="188" t="s">
        <v>755</v>
      </c>
      <c r="C10" s="834">
        <v>9265873600</v>
      </c>
      <c r="D10" s="195">
        <v>41467</v>
      </c>
      <c r="E10" s="1082">
        <v>41590</v>
      </c>
      <c r="F10" s="1088">
        <v>7000</v>
      </c>
      <c r="G10" s="1084"/>
      <c r="H10" s="1091">
        <v>3970</v>
      </c>
      <c r="I10" s="1084"/>
      <c r="J10" s="1088">
        <v>712</v>
      </c>
      <c r="K10" s="1089"/>
      <c r="L10" s="1090">
        <v>397</v>
      </c>
      <c r="M10" s="219">
        <f t="shared" ref="M10:M66" si="2">G10+I10+K10</f>
        <v>0</v>
      </c>
      <c r="N10" s="1086">
        <f t="shared" ref="N10:N66" si="3">H10+J10+L10</f>
        <v>5079</v>
      </c>
      <c r="O10" s="1087">
        <v>41610</v>
      </c>
      <c r="P10" s="202"/>
    </row>
    <row r="11" spans="1:16" ht="14.25" customHeight="1" x14ac:dyDescent="0.2">
      <c r="A11" s="188" t="s">
        <v>745</v>
      </c>
      <c r="B11" s="188" t="s">
        <v>702</v>
      </c>
      <c r="C11" s="834"/>
      <c r="D11" s="195">
        <v>41372</v>
      </c>
      <c r="E11" s="1082">
        <v>41555</v>
      </c>
      <c r="F11" s="496">
        <v>8000</v>
      </c>
      <c r="G11" s="1097">
        <v>1351</v>
      </c>
      <c r="H11" s="496">
        <v>1696</v>
      </c>
      <c r="I11" s="1084">
        <v>416</v>
      </c>
      <c r="J11" s="1093"/>
      <c r="K11" s="1085"/>
      <c r="L11" s="1094">
        <v>333</v>
      </c>
      <c r="M11" s="219">
        <f t="shared" si="2"/>
        <v>1767</v>
      </c>
      <c r="N11" s="1086">
        <f t="shared" si="3"/>
        <v>2029</v>
      </c>
      <c r="O11" s="1087">
        <v>41684</v>
      </c>
      <c r="P11" s="202"/>
    </row>
    <row r="12" spans="1:16" ht="14.25" customHeight="1" x14ac:dyDescent="0.2">
      <c r="A12" s="188" t="s">
        <v>1064</v>
      </c>
      <c r="B12" s="188" t="s">
        <v>398</v>
      </c>
      <c r="C12" s="834">
        <v>9155681847</v>
      </c>
      <c r="D12" s="195">
        <v>41332</v>
      </c>
      <c r="E12" s="189">
        <v>41635</v>
      </c>
      <c r="F12" s="496">
        <v>10000</v>
      </c>
      <c r="G12" s="876"/>
      <c r="H12" s="496">
        <v>4400</v>
      </c>
      <c r="I12" s="1084">
        <v>1599</v>
      </c>
      <c r="J12" s="1093">
        <v>553</v>
      </c>
      <c r="K12" s="1085">
        <v>401</v>
      </c>
      <c r="L12" s="1094"/>
      <c r="M12" s="219">
        <f t="shared" si="2"/>
        <v>2000</v>
      </c>
      <c r="N12" s="1086">
        <f t="shared" si="3"/>
        <v>4953</v>
      </c>
      <c r="O12" s="1087">
        <v>41690</v>
      </c>
      <c r="P12" s="202"/>
    </row>
    <row r="13" spans="1:16" ht="14.25" customHeight="1" x14ac:dyDescent="0.2">
      <c r="A13" s="188" t="s">
        <v>783</v>
      </c>
      <c r="B13" s="188" t="s">
        <v>784</v>
      </c>
      <c r="C13" s="834">
        <v>9195714051</v>
      </c>
      <c r="D13" s="195">
        <v>41365</v>
      </c>
      <c r="E13" s="189">
        <v>41609</v>
      </c>
      <c r="F13" s="496">
        <v>16000</v>
      </c>
      <c r="G13" s="876"/>
      <c r="H13" s="496">
        <v>16000</v>
      </c>
      <c r="I13" s="1084"/>
      <c r="J13" s="1093">
        <v>4800</v>
      </c>
      <c r="K13" s="1085"/>
      <c r="L13" s="1094">
        <v>1148</v>
      </c>
      <c r="M13" s="219">
        <f t="shared" si="2"/>
        <v>0</v>
      </c>
      <c r="N13" s="1086">
        <f t="shared" si="3"/>
        <v>21948</v>
      </c>
      <c r="O13" s="1087" t="s">
        <v>862</v>
      </c>
      <c r="P13" s="202"/>
    </row>
    <row r="14" spans="1:16" ht="12.75" customHeight="1" x14ac:dyDescent="0.2">
      <c r="A14" s="188" t="s">
        <v>687</v>
      </c>
      <c r="B14" s="188" t="s">
        <v>688</v>
      </c>
      <c r="C14" s="834">
        <v>9264671749</v>
      </c>
      <c r="D14" s="195">
        <v>41281</v>
      </c>
      <c r="E14" s="217">
        <v>41585</v>
      </c>
      <c r="F14" s="496">
        <v>10000</v>
      </c>
      <c r="G14" s="1084">
        <v>444</v>
      </c>
      <c r="H14" s="1091">
        <v>5403</v>
      </c>
      <c r="I14" s="1084">
        <v>976</v>
      </c>
      <c r="J14" s="1093"/>
      <c r="K14" s="1089">
        <v>80</v>
      </c>
      <c r="L14" s="1095">
        <v>502</v>
      </c>
      <c r="M14" s="219">
        <f t="shared" si="2"/>
        <v>1500</v>
      </c>
      <c r="N14" s="1086">
        <f t="shared" si="3"/>
        <v>5905</v>
      </c>
      <c r="O14" s="1096">
        <v>41673</v>
      </c>
      <c r="P14" s="202"/>
    </row>
    <row r="15" spans="1:16" ht="12.75" customHeight="1" x14ac:dyDescent="0.2">
      <c r="A15" s="188" t="s">
        <v>949</v>
      </c>
      <c r="B15" s="188" t="s">
        <v>27</v>
      </c>
      <c r="C15" s="834">
        <v>9381204375</v>
      </c>
      <c r="D15" s="195">
        <v>41365</v>
      </c>
      <c r="E15" s="217">
        <v>41518</v>
      </c>
      <c r="F15" s="219">
        <v>20000</v>
      </c>
      <c r="G15" s="1084">
        <v>800</v>
      </c>
      <c r="H15" s="219">
        <v>8768</v>
      </c>
      <c r="I15" s="1084">
        <v>200</v>
      </c>
      <c r="J15" s="1093">
        <v>1552</v>
      </c>
      <c r="K15" s="1085"/>
      <c r="L15" s="1094">
        <v>859</v>
      </c>
      <c r="M15" s="219">
        <f t="shared" si="2"/>
        <v>1000</v>
      </c>
      <c r="N15" s="1086">
        <f t="shared" si="3"/>
        <v>11179</v>
      </c>
      <c r="O15" s="1096">
        <v>41698</v>
      </c>
      <c r="P15" s="202"/>
    </row>
    <row r="16" spans="1:16" ht="12.75" customHeight="1" x14ac:dyDescent="0.2">
      <c r="A16" s="188" t="s">
        <v>920</v>
      </c>
      <c r="B16" s="188" t="s">
        <v>867</v>
      </c>
      <c r="C16" s="834">
        <v>9269516158</v>
      </c>
      <c r="D16" s="189">
        <v>41169</v>
      </c>
      <c r="E16" s="217">
        <v>41350</v>
      </c>
      <c r="F16" s="1093">
        <v>50000</v>
      </c>
      <c r="G16" s="876"/>
      <c r="H16" s="219">
        <v>50000</v>
      </c>
      <c r="I16" s="1084"/>
      <c r="J16" s="1093">
        <v>22000</v>
      </c>
      <c r="K16" s="1089"/>
      <c r="L16" s="1095">
        <v>2990</v>
      </c>
      <c r="M16" s="219">
        <f t="shared" si="2"/>
        <v>0</v>
      </c>
      <c r="N16" s="1086">
        <f t="shared" si="3"/>
        <v>74990</v>
      </c>
      <c r="O16" s="1096">
        <v>41667</v>
      </c>
      <c r="P16" s="202"/>
    </row>
    <row r="17" spans="1:16" ht="12.75" customHeight="1" x14ac:dyDescent="0.2">
      <c r="A17" s="188" t="s">
        <v>105</v>
      </c>
      <c r="B17" s="188" t="s">
        <v>9</v>
      </c>
      <c r="C17" s="834"/>
      <c r="D17" s="189">
        <v>41365</v>
      </c>
      <c r="E17" s="217">
        <v>41487</v>
      </c>
      <c r="F17" s="219">
        <v>3000</v>
      </c>
      <c r="G17" s="1084">
        <v>500</v>
      </c>
      <c r="H17" s="219">
        <v>225</v>
      </c>
      <c r="I17" s="1084"/>
      <c r="J17" s="1093"/>
      <c r="K17" s="1089"/>
      <c r="L17" s="1095">
        <v>161</v>
      </c>
      <c r="M17" s="219">
        <f t="shared" si="2"/>
        <v>500</v>
      </c>
      <c r="N17" s="1086">
        <f t="shared" si="3"/>
        <v>386</v>
      </c>
      <c r="O17" s="1096">
        <v>41673</v>
      </c>
      <c r="P17" s="202"/>
    </row>
    <row r="18" spans="1:16" x14ac:dyDescent="0.2">
      <c r="A18" s="188" t="s">
        <v>537</v>
      </c>
      <c r="B18" s="188" t="s">
        <v>425</v>
      </c>
      <c r="C18" s="834">
        <v>9993969292</v>
      </c>
      <c r="D18" s="189">
        <v>41183</v>
      </c>
      <c r="E18" s="217">
        <v>41365</v>
      </c>
      <c r="F18" s="1093">
        <v>14000</v>
      </c>
      <c r="G18" s="1084"/>
      <c r="H18" s="219">
        <v>1928</v>
      </c>
      <c r="I18" s="1084"/>
      <c r="J18" s="1093">
        <v>192</v>
      </c>
      <c r="K18" s="1089"/>
      <c r="L18" s="1095">
        <v>424</v>
      </c>
      <c r="M18" s="219">
        <f t="shared" si="2"/>
        <v>0</v>
      </c>
      <c r="N18" s="1086">
        <f t="shared" si="3"/>
        <v>2544</v>
      </c>
      <c r="O18" s="1096">
        <v>41612</v>
      </c>
      <c r="P18" s="202"/>
    </row>
    <row r="19" spans="1:16" x14ac:dyDescent="0.2">
      <c r="A19" s="188" t="s">
        <v>828</v>
      </c>
      <c r="B19" s="188" t="s">
        <v>807</v>
      </c>
      <c r="C19" s="834">
        <v>9061642672</v>
      </c>
      <c r="D19" s="195">
        <v>41358</v>
      </c>
      <c r="E19" s="217">
        <v>41542</v>
      </c>
      <c r="F19" s="1093">
        <v>6700</v>
      </c>
      <c r="G19" s="1084"/>
      <c r="H19" s="219">
        <v>2190</v>
      </c>
      <c r="I19" s="1084">
        <v>400</v>
      </c>
      <c r="J19" s="1093">
        <v>146</v>
      </c>
      <c r="K19" s="1089">
        <v>100</v>
      </c>
      <c r="L19" s="1095">
        <v>467</v>
      </c>
      <c r="M19" s="219">
        <f t="shared" si="2"/>
        <v>500</v>
      </c>
      <c r="N19" s="1086">
        <f t="shared" si="3"/>
        <v>2803</v>
      </c>
      <c r="O19" s="1096">
        <v>41681</v>
      </c>
      <c r="P19" s="202"/>
    </row>
    <row r="20" spans="1:16" x14ac:dyDescent="0.2">
      <c r="A20" s="188" t="s">
        <v>716</v>
      </c>
      <c r="B20" s="188" t="s">
        <v>9</v>
      </c>
      <c r="C20" s="834">
        <v>9203364363</v>
      </c>
      <c r="D20" s="189">
        <v>41166</v>
      </c>
      <c r="E20" s="217">
        <v>41469</v>
      </c>
      <c r="F20" s="219">
        <v>12000</v>
      </c>
      <c r="G20" s="876"/>
      <c r="H20" s="219">
        <v>11450</v>
      </c>
      <c r="I20" s="1084"/>
      <c r="J20" s="1093">
        <v>8357</v>
      </c>
      <c r="K20" s="1089"/>
      <c r="L20" s="1095">
        <v>1555</v>
      </c>
      <c r="M20" s="219">
        <f t="shared" si="2"/>
        <v>0</v>
      </c>
      <c r="N20" s="1086">
        <f t="shared" si="3"/>
        <v>21362</v>
      </c>
      <c r="O20" s="1096">
        <v>41424</v>
      </c>
      <c r="P20" s="202"/>
    </row>
    <row r="21" spans="1:16" x14ac:dyDescent="0.2">
      <c r="A21" s="188" t="s">
        <v>1208</v>
      </c>
      <c r="B21" s="188" t="s">
        <v>1209</v>
      </c>
      <c r="C21" s="834">
        <v>9261985118</v>
      </c>
      <c r="D21" s="189">
        <v>41235</v>
      </c>
      <c r="E21" s="217">
        <v>41327</v>
      </c>
      <c r="F21" s="219">
        <v>3000</v>
      </c>
      <c r="G21" s="1084"/>
      <c r="H21" s="219">
        <v>3000</v>
      </c>
      <c r="I21" s="1097"/>
      <c r="J21" s="219">
        <v>1050</v>
      </c>
      <c r="K21" s="1085"/>
      <c r="L21" s="1094">
        <v>445</v>
      </c>
      <c r="M21" s="219">
        <f t="shared" si="2"/>
        <v>0</v>
      </c>
      <c r="N21" s="1086">
        <f t="shared" si="3"/>
        <v>4495</v>
      </c>
      <c r="O21" s="1096" t="s">
        <v>76</v>
      </c>
      <c r="P21" s="202" t="s">
        <v>1227</v>
      </c>
    </row>
    <row r="22" spans="1:16" x14ac:dyDescent="0.2">
      <c r="A22" s="188" t="s">
        <v>1154</v>
      </c>
      <c r="B22" s="188" t="s">
        <v>669</v>
      </c>
      <c r="C22" s="834">
        <v>9173140181</v>
      </c>
      <c r="D22" s="195">
        <v>41456</v>
      </c>
      <c r="E22" s="217">
        <v>41548</v>
      </c>
      <c r="F22" s="219">
        <v>49000</v>
      </c>
      <c r="G22" s="1084"/>
      <c r="H22" s="219">
        <v>49000</v>
      </c>
      <c r="I22" s="1097"/>
      <c r="J22" s="219">
        <v>10806</v>
      </c>
      <c r="K22" s="1085"/>
      <c r="L22" s="1094">
        <v>2990</v>
      </c>
      <c r="M22" s="219">
        <f t="shared" si="2"/>
        <v>0</v>
      </c>
      <c r="N22" s="1086">
        <f t="shared" si="3"/>
        <v>62796</v>
      </c>
      <c r="O22" s="1096">
        <v>41612</v>
      </c>
      <c r="P22" s="202"/>
    </row>
    <row r="23" spans="1:16" x14ac:dyDescent="0.2">
      <c r="A23" s="188" t="s">
        <v>1184</v>
      </c>
      <c r="B23" s="188" t="s">
        <v>1185</v>
      </c>
      <c r="C23" s="834">
        <v>9266578228</v>
      </c>
      <c r="D23" s="195">
        <v>41513</v>
      </c>
      <c r="E23" s="217">
        <v>41605</v>
      </c>
      <c r="F23" s="219">
        <v>19000</v>
      </c>
      <c r="G23" s="1084"/>
      <c r="H23" s="219">
        <v>15000</v>
      </c>
      <c r="I23" s="1097"/>
      <c r="J23" s="219">
        <v>2250</v>
      </c>
      <c r="K23" s="1085"/>
      <c r="L23" s="1094">
        <v>862</v>
      </c>
      <c r="M23" s="219">
        <f t="shared" si="2"/>
        <v>0</v>
      </c>
      <c r="N23" s="1086">
        <f t="shared" si="3"/>
        <v>18112</v>
      </c>
      <c r="O23" s="1096">
        <v>41601</v>
      </c>
      <c r="P23" s="202"/>
    </row>
    <row r="24" spans="1:16" x14ac:dyDescent="0.2">
      <c r="A24" s="188" t="s">
        <v>932</v>
      </c>
      <c r="B24" s="188" t="s">
        <v>933</v>
      </c>
      <c r="C24" s="834">
        <v>9284351223</v>
      </c>
      <c r="D24" s="189">
        <v>41183</v>
      </c>
      <c r="E24" s="217">
        <v>41487</v>
      </c>
      <c r="F24" s="219">
        <v>8000</v>
      </c>
      <c r="G24" s="1084"/>
      <c r="H24" s="219">
        <v>7500</v>
      </c>
      <c r="I24" s="1097"/>
      <c r="J24" s="219">
        <v>2918</v>
      </c>
      <c r="K24" s="1085"/>
      <c r="L24" s="1094">
        <v>520</v>
      </c>
      <c r="M24" s="219">
        <f t="shared" si="2"/>
        <v>0</v>
      </c>
      <c r="N24" s="1086">
        <f t="shared" si="3"/>
        <v>10938</v>
      </c>
      <c r="O24" s="1096">
        <v>41531</v>
      </c>
      <c r="P24" s="202" t="s">
        <v>884</v>
      </c>
    </row>
    <row r="25" spans="1:16" x14ac:dyDescent="0.2">
      <c r="A25" s="188" t="s">
        <v>746</v>
      </c>
      <c r="B25" s="188" t="s">
        <v>724</v>
      </c>
      <c r="C25" s="834">
        <v>9202591256</v>
      </c>
      <c r="D25" s="189">
        <v>40994</v>
      </c>
      <c r="E25" s="217">
        <v>41300</v>
      </c>
      <c r="F25" s="219">
        <v>7000</v>
      </c>
      <c r="G25" s="1097"/>
      <c r="H25" s="219">
        <v>1100</v>
      </c>
      <c r="I25" s="1097"/>
      <c r="J25" s="219">
        <v>1027</v>
      </c>
      <c r="K25" s="1097"/>
      <c r="L25" s="1098">
        <v>592</v>
      </c>
      <c r="M25" s="219">
        <f t="shared" si="2"/>
        <v>0</v>
      </c>
      <c r="N25" s="1086">
        <f t="shared" si="3"/>
        <v>2719</v>
      </c>
      <c r="O25" s="1073">
        <v>41498</v>
      </c>
      <c r="P25" s="202"/>
    </row>
    <row r="26" spans="1:16" x14ac:dyDescent="0.2">
      <c r="A26" s="188" t="s">
        <v>422</v>
      </c>
      <c r="B26" s="188" t="s">
        <v>27</v>
      </c>
      <c r="C26" s="834"/>
      <c r="D26" s="189">
        <v>41222</v>
      </c>
      <c r="E26" s="217">
        <v>41464</v>
      </c>
      <c r="F26" s="219">
        <v>60000</v>
      </c>
      <c r="G26" s="1097"/>
      <c r="H26" s="219">
        <v>25030</v>
      </c>
      <c r="I26" s="1097"/>
      <c r="J26" s="219">
        <v>23730</v>
      </c>
      <c r="K26" s="1097"/>
      <c r="L26" s="1098">
        <v>4439</v>
      </c>
      <c r="M26" s="219">
        <f t="shared" si="2"/>
        <v>0</v>
      </c>
      <c r="N26" s="1086">
        <f t="shared" si="3"/>
        <v>53199</v>
      </c>
      <c r="O26" s="1073">
        <v>41559</v>
      </c>
      <c r="P26" s="202" t="s">
        <v>1434</v>
      </c>
    </row>
    <row r="27" spans="1:16" x14ac:dyDescent="0.2">
      <c r="A27" s="188" t="s">
        <v>757</v>
      </c>
      <c r="B27" s="188" t="s">
        <v>668</v>
      </c>
      <c r="C27" s="834">
        <v>9163850460</v>
      </c>
      <c r="D27" s="195">
        <v>41270</v>
      </c>
      <c r="E27" s="217">
        <v>41574</v>
      </c>
      <c r="F27" s="219">
        <v>40000</v>
      </c>
      <c r="G27" s="1097"/>
      <c r="H27" s="219">
        <v>25500</v>
      </c>
      <c r="I27" s="1097">
        <v>500</v>
      </c>
      <c r="J27" s="219">
        <v>15325</v>
      </c>
      <c r="K27" s="1097">
        <v>500</v>
      </c>
      <c r="L27" s="1098">
        <v>3245</v>
      </c>
      <c r="M27" s="219">
        <f t="shared" si="2"/>
        <v>1000</v>
      </c>
      <c r="N27" s="1086">
        <f t="shared" si="3"/>
        <v>44070</v>
      </c>
      <c r="O27" s="1073">
        <v>41675</v>
      </c>
      <c r="P27" s="202"/>
    </row>
    <row r="28" spans="1:16" x14ac:dyDescent="0.2">
      <c r="A28" s="188" t="s">
        <v>1068</v>
      </c>
      <c r="B28" s="188" t="s">
        <v>495</v>
      </c>
      <c r="C28" s="834">
        <v>9179938605</v>
      </c>
      <c r="D28" s="195">
        <v>41313</v>
      </c>
      <c r="E28" s="217">
        <v>41525</v>
      </c>
      <c r="F28" s="219">
        <v>6000</v>
      </c>
      <c r="G28" s="1097"/>
      <c r="H28" s="219">
        <v>6000</v>
      </c>
      <c r="I28" s="1097"/>
      <c r="J28" s="219">
        <v>2454</v>
      </c>
      <c r="K28" s="1097"/>
      <c r="L28" s="1098">
        <v>417</v>
      </c>
      <c r="M28" s="219">
        <f t="shared" si="2"/>
        <v>0</v>
      </c>
      <c r="N28" s="1086">
        <f t="shared" si="3"/>
        <v>8871</v>
      </c>
      <c r="O28" s="1073">
        <v>41452</v>
      </c>
      <c r="P28" s="202"/>
    </row>
    <row r="29" spans="1:16" x14ac:dyDescent="0.2">
      <c r="A29" s="188" t="s">
        <v>94</v>
      </c>
      <c r="B29" s="188" t="s">
        <v>13</v>
      </c>
      <c r="C29" s="834">
        <v>9102396800</v>
      </c>
      <c r="D29" s="189">
        <v>41198</v>
      </c>
      <c r="E29" s="217">
        <v>41502</v>
      </c>
      <c r="F29" s="219">
        <v>17000</v>
      </c>
      <c r="G29" s="1097"/>
      <c r="H29" s="219">
        <v>10200</v>
      </c>
      <c r="I29" s="1097"/>
      <c r="J29" s="219">
        <v>8160</v>
      </c>
      <c r="K29" s="1097"/>
      <c r="L29" s="1098">
        <v>2614</v>
      </c>
      <c r="M29" s="219">
        <f t="shared" si="2"/>
        <v>0</v>
      </c>
      <c r="N29" s="1086">
        <f t="shared" si="3"/>
        <v>20974</v>
      </c>
      <c r="O29" s="1073">
        <v>41338</v>
      </c>
      <c r="P29" s="202"/>
    </row>
    <row r="30" spans="1:16" x14ac:dyDescent="0.2">
      <c r="A30" s="188" t="s">
        <v>790</v>
      </c>
      <c r="B30" s="188" t="s">
        <v>461</v>
      </c>
      <c r="C30" s="834">
        <v>9063463466</v>
      </c>
      <c r="D30" s="195">
        <v>41306</v>
      </c>
      <c r="E30" s="217">
        <v>41548</v>
      </c>
      <c r="F30" s="219">
        <v>4500</v>
      </c>
      <c r="G30" s="1097">
        <v>720</v>
      </c>
      <c r="H30" s="219">
        <v>2140</v>
      </c>
      <c r="I30" s="1097">
        <v>180</v>
      </c>
      <c r="J30" s="219">
        <v>2061</v>
      </c>
      <c r="K30" s="1097"/>
      <c r="L30" s="1098">
        <v>348</v>
      </c>
      <c r="M30" s="219">
        <f t="shared" si="2"/>
        <v>900</v>
      </c>
      <c r="N30" s="1086">
        <f t="shared" si="3"/>
        <v>4549</v>
      </c>
      <c r="O30" s="1073">
        <v>41697</v>
      </c>
      <c r="P30" s="202"/>
    </row>
    <row r="31" spans="1:16" x14ac:dyDescent="0.2">
      <c r="A31" s="188" t="s">
        <v>646</v>
      </c>
      <c r="B31" s="188" t="s">
        <v>556</v>
      </c>
      <c r="C31" s="834">
        <v>9289400362</v>
      </c>
      <c r="D31" s="189">
        <v>41279</v>
      </c>
      <c r="E31" s="217">
        <v>41460</v>
      </c>
      <c r="F31" s="219">
        <v>12500</v>
      </c>
      <c r="G31" s="1097">
        <v>1000</v>
      </c>
      <c r="H31" s="219">
        <v>11500</v>
      </c>
      <c r="I31" s="1097">
        <v>400</v>
      </c>
      <c r="J31" s="219">
        <v>3685</v>
      </c>
      <c r="K31" s="1097"/>
      <c r="L31" s="1098">
        <v>807</v>
      </c>
      <c r="M31" s="219">
        <f t="shared" si="2"/>
        <v>1400</v>
      </c>
      <c r="N31" s="1086">
        <f t="shared" si="3"/>
        <v>15992</v>
      </c>
      <c r="O31" s="1073">
        <v>41682</v>
      </c>
      <c r="P31" s="202"/>
    </row>
    <row r="32" spans="1:16" x14ac:dyDescent="0.2">
      <c r="A32" s="188" t="s">
        <v>1045</v>
      </c>
      <c r="B32" s="188" t="s">
        <v>669</v>
      </c>
      <c r="C32" s="834">
        <v>9263610817</v>
      </c>
      <c r="D32" s="189">
        <v>41327</v>
      </c>
      <c r="E32" s="217">
        <v>41508</v>
      </c>
      <c r="F32" s="219">
        <v>12000</v>
      </c>
      <c r="G32" s="1097"/>
      <c r="H32" s="219">
        <v>10590</v>
      </c>
      <c r="I32" s="1097"/>
      <c r="J32" s="219">
        <v>5893</v>
      </c>
      <c r="K32" s="1097"/>
      <c r="L32" s="1098">
        <v>1264</v>
      </c>
      <c r="M32" s="219">
        <f t="shared" si="2"/>
        <v>0</v>
      </c>
      <c r="N32" s="1086">
        <f t="shared" si="3"/>
        <v>17747</v>
      </c>
      <c r="O32" s="1073">
        <v>41670</v>
      </c>
      <c r="P32" s="202"/>
    </row>
    <row r="33" spans="1:16" x14ac:dyDescent="0.2">
      <c r="A33" s="188" t="s">
        <v>1178</v>
      </c>
      <c r="B33" s="194" t="s">
        <v>561</v>
      </c>
      <c r="C33" s="834">
        <v>9058935668</v>
      </c>
      <c r="D33" s="189">
        <v>41382</v>
      </c>
      <c r="E33" s="217">
        <v>41504</v>
      </c>
      <c r="F33" s="219">
        <v>3000</v>
      </c>
      <c r="G33" s="1097"/>
      <c r="H33" s="219">
        <v>285</v>
      </c>
      <c r="I33" s="1097"/>
      <c r="J33" s="219">
        <v>82</v>
      </c>
      <c r="K33" s="1097"/>
      <c r="L33" s="1098">
        <v>194</v>
      </c>
      <c r="M33" s="219">
        <f t="shared" si="2"/>
        <v>0</v>
      </c>
      <c r="N33" s="1086">
        <f t="shared" si="3"/>
        <v>561</v>
      </c>
      <c r="O33" s="1073">
        <v>41656</v>
      </c>
      <c r="P33" s="202"/>
    </row>
    <row r="34" spans="1:16" x14ac:dyDescent="0.2">
      <c r="A34" s="188" t="s">
        <v>934</v>
      </c>
      <c r="B34" s="188" t="s">
        <v>864</v>
      </c>
      <c r="C34" s="834">
        <v>9293438083</v>
      </c>
      <c r="D34" s="189">
        <v>41285</v>
      </c>
      <c r="E34" s="217">
        <v>41466</v>
      </c>
      <c r="F34" s="219">
        <v>8000</v>
      </c>
      <c r="G34" s="1097">
        <v>800</v>
      </c>
      <c r="H34" s="219">
        <v>1860</v>
      </c>
      <c r="I34" s="1097">
        <v>200</v>
      </c>
      <c r="J34" s="219">
        <v>489</v>
      </c>
      <c r="K34" s="1097"/>
      <c r="L34" s="1098">
        <v>326</v>
      </c>
      <c r="M34" s="219">
        <f t="shared" si="2"/>
        <v>1000</v>
      </c>
      <c r="N34" s="1086">
        <f t="shared" si="3"/>
        <v>2675</v>
      </c>
      <c r="O34" s="1073">
        <v>41691</v>
      </c>
      <c r="P34" s="202"/>
    </row>
    <row r="35" spans="1:16" x14ac:dyDescent="0.2">
      <c r="A35" s="188" t="s">
        <v>1032</v>
      </c>
      <c r="B35" s="188" t="s">
        <v>1033</v>
      </c>
      <c r="C35" s="834">
        <v>9058825230</v>
      </c>
      <c r="D35" s="189">
        <v>41301</v>
      </c>
      <c r="E35" s="217">
        <v>41391</v>
      </c>
      <c r="F35" s="1093">
        <v>4000</v>
      </c>
      <c r="G35" s="1084"/>
      <c r="H35" s="1092">
        <v>2981</v>
      </c>
      <c r="I35" s="1099"/>
      <c r="J35" s="1092">
        <v>1690</v>
      </c>
      <c r="K35" s="1099"/>
      <c r="L35" s="1100">
        <v>951</v>
      </c>
      <c r="M35" s="219">
        <f t="shared" si="2"/>
        <v>0</v>
      </c>
      <c r="N35" s="1086">
        <f t="shared" si="3"/>
        <v>5622</v>
      </c>
      <c r="O35" s="1073">
        <v>41365</v>
      </c>
      <c r="P35" s="202"/>
    </row>
    <row r="36" spans="1:16" x14ac:dyDescent="0.2">
      <c r="A36" s="188" t="s">
        <v>789</v>
      </c>
      <c r="B36" s="188" t="s">
        <v>1033</v>
      </c>
      <c r="C36" s="834">
        <v>9192768382</v>
      </c>
      <c r="D36" s="189">
        <v>41143</v>
      </c>
      <c r="E36" s="217">
        <v>41447</v>
      </c>
      <c r="F36" s="219">
        <v>24000</v>
      </c>
      <c r="G36" s="1097"/>
      <c r="H36" s="219">
        <v>23500</v>
      </c>
      <c r="I36" s="1097"/>
      <c r="J36" s="219">
        <v>5395</v>
      </c>
      <c r="K36" s="1097"/>
      <c r="L36" s="1098">
        <v>1098</v>
      </c>
      <c r="M36" s="219">
        <f t="shared" si="2"/>
        <v>0</v>
      </c>
      <c r="N36" s="1086">
        <f t="shared" si="3"/>
        <v>29993</v>
      </c>
      <c r="O36" s="1073">
        <v>41657</v>
      </c>
      <c r="P36" s="202"/>
    </row>
    <row r="37" spans="1:16" x14ac:dyDescent="0.2">
      <c r="A37" s="188" t="s">
        <v>681</v>
      </c>
      <c r="B37" s="188" t="s">
        <v>552</v>
      </c>
      <c r="C37" s="834">
        <v>9304711316</v>
      </c>
      <c r="D37" s="189">
        <v>41351</v>
      </c>
      <c r="E37" s="217">
        <v>41473</v>
      </c>
      <c r="F37" s="219">
        <v>12000</v>
      </c>
      <c r="G37" s="1097"/>
      <c r="H37" s="219">
        <v>5010</v>
      </c>
      <c r="I37" s="1097"/>
      <c r="J37" s="219">
        <v>1593</v>
      </c>
      <c r="K37" s="1097"/>
      <c r="L37" s="1098">
        <v>506</v>
      </c>
      <c r="M37" s="219">
        <f t="shared" si="2"/>
        <v>0</v>
      </c>
      <c r="N37" s="1086">
        <f t="shared" si="3"/>
        <v>7109</v>
      </c>
      <c r="O37" s="1073">
        <v>41512</v>
      </c>
      <c r="P37" s="202"/>
    </row>
    <row r="38" spans="1:16" x14ac:dyDescent="0.2">
      <c r="A38" s="188" t="s">
        <v>1343</v>
      </c>
      <c r="B38" s="188" t="s">
        <v>461</v>
      </c>
      <c r="C38" s="834">
        <v>9361655703</v>
      </c>
      <c r="D38" s="195">
        <v>41606</v>
      </c>
      <c r="E38" s="189">
        <v>41636</v>
      </c>
      <c r="F38" s="219">
        <v>5000</v>
      </c>
      <c r="G38" s="1097"/>
      <c r="H38" s="219">
        <v>5000</v>
      </c>
      <c r="I38" s="1097"/>
      <c r="J38" s="219">
        <v>500</v>
      </c>
      <c r="K38" s="1097"/>
      <c r="L38" s="1098">
        <v>275</v>
      </c>
      <c r="M38" s="219">
        <f t="shared" si="2"/>
        <v>0</v>
      </c>
      <c r="N38" s="1086">
        <f t="shared" si="3"/>
        <v>5775</v>
      </c>
      <c r="O38" s="1073" t="s">
        <v>76</v>
      </c>
      <c r="P38" s="202"/>
    </row>
    <row r="39" spans="1:16" x14ac:dyDescent="0.2">
      <c r="A39" s="188" t="s">
        <v>543</v>
      </c>
      <c r="B39" s="188" t="s">
        <v>511</v>
      </c>
      <c r="C39" s="834">
        <v>9195203067</v>
      </c>
      <c r="D39" s="189">
        <v>41122</v>
      </c>
      <c r="E39" s="217">
        <v>41456</v>
      </c>
      <c r="F39" s="219">
        <v>75000</v>
      </c>
      <c r="G39" s="1097">
        <v>2188</v>
      </c>
      <c r="H39" s="219">
        <v>53702</v>
      </c>
      <c r="I39" s="1097">
        <v>8383</v>
      </c>
      <c r="J39" s="219"/>
      <c r="K39" s="1097">
        <v>679</v>
      </c>
      <c r="L39" s="1098"/>
      <c r="M39" s="219">
        <f t="shared" si="2"/>
        <v>11250</v>
      </c>
      <c r="N39" s="1086">
        <f t="shared" si="3"/>
        <v>53702</v>
      </c>
      <c r="O39" s="1073">
        <v>41676</v>
      </c>
      <c r="P39" s="202"/>
    </row>
    <row r="40" spans="1:16" x14ac:dyDescent="0.2">
      <c r="A40" s="188" t="s">
        <v>747</v>
      </c>
      <c r="B40" s="188" t="s">
        <v>461</v>
      </c>
      <c r="C40" s="834">
        <v>9199909394</v>
      </c>
      <c r="D40" s="195">
        <v>41277</v>
      </c>
      <c r="E40" s="217">
        <v>41581</v>
      </c>
      <c r="F40" s="219">
        <v>80000</v>
      </c>
      <c r="G40" s="1097"/>
      <c r="H40" s="219">
        <v>76940</v>
      </c>
      <c r="I40" s="1097"/>
      <c r="J40" s="219">
        <v>14621</v>
      </c>
      <c r="K40" s="1097"/>
      <c r="L40" s="1098">
        <v>4821</v>
      </c>
      <c r="M40" s="219">
        <f t="shared" si="2"/>
        <v>0</v>
      </c>
      <c r="N40" s="1086">
        <f t="shared" si="3"/>
        <v>96382</v>
      </c>
      <c r="O40" s="1073">
        <v>41598</v>
      </c>
      <c r="P40" s="202"/>
    </row>
    <row r="41" spans="1:16" x14ac:dyDescent="0.2">
      <c r="A41" s="188" t="s">
        <v>1034</v>
      </c>
      <c r="B41" s="188" t="s">
        <v>702</v>
      </c>
      <c r="C41" s="834">
        <v>9161606109</v>
      </c>
      <c r="D41" s="189">
        <v>41207</v>
      </c>
      <c r="E41" s="217">
        <v>41389</v>
      </c>
      <c r="F41" s="219">
        <v>4500</v>
      </c>
      <c r="G41" s="1097"/>
      <c r="H41" s="219">
        <v>3300</v>
      </c>
      <c r="I41" s="1097"/>
      <c r="J41" s="219">
        <v>1890</v>
      </c>
      <c r="K41" s="1097"/>
      <c r="L41" s="1098">
        <v>658</v>
      </c>
      <c r="M41" s="219">
        <f t="shared" si="2"/>
        <v>0</v>
      </c>
      <c r="N41" s="1086">
        <f t="shared" si="3"/>
        <v>5848</v>
      </c>
      <c r="O41" s="1073">
        <v>41383</v>
      </c>
      <c r="P41" s="202" t="s">
        <v>884</v>
      </c>
    </row>
    <row r="42" spans="1:16" x14ac:dyDescent="0.2">
      <c r="A42" s="188" t="s">
        <v>791</v>
      </c>
      <c r="B42" s="188" t="s">
        <v>1156</v>
      </c>
      <c r="C42" s="834"/>
      <c r="D42" s="189">
        <v>41372</v>
      </c>
      <c r="E42" s="217">
        <v>41494</v>
      </c>
      <c r="F42" s="219">
        <v>33000</v>
      </c>
      <c r="G42" s="1097"/>
      <c r="H42" s="219">
        <v>33000</v>
      </c>
      <c r="I42" s="1097">
        <v>2685</v>
      </c>
      <c r="J42" s="219">
        <v>12165</v>
      </c>
      <c r="K42" s="1097">
        <v>3655</v>
      </c>
      <c r="L42" s="1098"/>
      <c r="M42" s="219">
        <f t="shared" si="2"/>
        <v>6340</v>
      </c>
      <c r="N42" s="1086">
        <f t="shared" si="3"/>
        <v>45165</v>
      </c>
      <c r="O42" s="1073">
        <v>41676</v>
      </c>
      <c r="P42" s="202"/>
    </row>
    <row r="43" spans="1:16" x14ac:dyDescent="0.2">
      <c r="A43" s="188" t="s">
        <v>1210</v>
      </c>
      <c r="B43" s="188" t="s">
        <v>1211</v>
      </c>
      <c r="C43" s="834">
        <v>9058181855</v>
      </c>
      <c r="D43" s="189">
        <v>41394</v>
      </c>
      <c r="E43" s="217">
        <v>41333</v>
      </c>
      <c r="F43" s="219">
        <v>23000</v>
      </c>
      <c r="G43" s="1097"/>
      <c r="H43" s="219">
        <v>22000</v>
      </c>
      <c r="I43" s="1097"/>
      <c r="J43" s="219">
        <v>7575</v>
      </c>
      <c r="K43" s="1085"/>
      <c r="L43" s="1094">
        <v>1364</v>
      </c>
      <c r="M43" s="219">
        <f t="shared" si="2"/>
        <v>0</v>
      </c>
      <c r="N43" s="1086">
        <f t="shared" si="3"/>
        <v>30939</v>
      </c>
      <c r="O43" s="1096">
        <v>41416</v>
      </c>
      <c r="P43" s="202" t="s">
        <v>884</v>
      </c>
    </row>
    <row r="44" spans="1:16" x14ac:dyDescent="0.2">
      <c r="A44" s="188" t="s">
        <v>1157</v>
      </c>
      <c r="B44" s="188" t="s">
        <v>1158</v>
      </c>
      <c r="C44" s="834">
        <v>9183526636</v>
      </c>
      <c r="D44" s="195">
        <v>41341</v>
      </c>
      <c r="E44" s="217">
        <v>41525</v>
      </c>
      <c r="F44" s="219">
        <v>5500</v>
      </c>
      <c r="G44" s="1097">
        <v>400</v>
      </c>
      <c r="H44" s="219">
        <v>2400</v>
      </c>
      <c r="I44" s="1097">
        <v>100</v>
      </c>
      <c r="J44" s="219">
        <v>2798</v>
      </c>
      <c r="K44" s="1097"/>
      <c r="L44" s="1098">
        <v>540</v>
      </c>
      <c r="M44" s="219">
        <f t="shared" si="2"/>
        <v>500</v>
      </c>
      <c r="N44" s="1086">
        <f t="shared" si="3"/>
        <v>5738</v>
      </c>
      <c r="O44" s="1073">
        <v>41687</v>
      </c>
      <c r="P44" s="202"/>
    </row>
    <row r="45" spans="1:16" x14ac:dyDescent="0.2">
      <c r="A45" s="188" t="s">
        <v>547</v>
      </c>
      <c r="B45" s="188" t="s">
        <v>20</v>
      </c>
      <c r="C45" s="834"/>
      <c r="D45" s="195">
        <v>41295</v>
      </c>
      <c r="E45" s="217">
        <v>41538</v>
      </c>
      <c r="F45" s="219">
        <v>11500</v>
      </c>
      <c r="G45" s="1097"/>
      <c r="H45" s="219">
        <v>11500</v>
      </c>
      <c r="I45" s="1097"/>
      <c r="J45" s="219">
        <v>6975</v>
      </c>
      <c r="K45" s="1085"/>
      <c r="L45" s="1094">
        <v>1489</v>
      </c>
      <c r="M45" s="219">
        <f t="shared" si="2"/>
        <v>0</v>
      </c>
      <c r="N45" s="1086">
        <f t="shared" si="3"/>
        <v>19964</v>
      </c>
      <c r="O45" s="1096">
        <v>41568</v>
      </c>
      <c r="P45" s="202"/>
    </row>
    <row r="46" spans="1:16" x14ac:dyDescent="0.2">
      <c r="A46" s="188" t="s">
        <v>856</v>
      </c>
      <c r="B46" s="188" t="s">
        <v>512</v>
      </c>
      <c r="C46" s="834">
        <v>9162371688</v>
      </c>
      <c r="D46" s="195">
        <v>41352</v>
      </c>
      <c r="E46" s="217">
        <v>41597</v>
      </c>
      <c r="F46" s="219">
        <v>80000</v>
      </c>
      <c r="G46" s="1097"/>
      <c r="H46" s="219">
        <v>80000</v>
      </c>
      <c r="I46" s="1097"/>
      <c r="J46" s="219">
        <v>24179</v>
      </c>
      <c r="K46" s="1085"/>
      <c r="L46" s="1094">
        <v>5208</v>
      </c>
      <c r="M46" s="219">
        <f t="shared" si="2"/>
        <v>0</v>
      </c>
      <c r="N46" s="1086">
        <f t="shared" si="3"/>
        <v>109387</v>
      </c>
      <c r="O46" s="1096">
        <v>41610</v>
      </c>
      <c r="P46" s="202"/>
    </row>
    <row r="47" spans="1:16" x14ac:dyDescent="0.2">
      <c r="A47" s="188" t="s">
        <v>1182</v>
      </c>
      <c r="B47" s="188" t="s">
        <v>672</v>
      </c>
      <c r="C47" s="834">
        <v>9261382502</v>
      </c>
      <c r="D47" s="195">
        <v>41338</v>
      </c>
      <c r="E47" s="217">
        <v>41522</v>
      </c>
      <c r="F47" s="219">
        <v>4000</v>
      </c>
      <c r="G47" s="1097">
        <v>342</v>
      </c>
      <c r="H47" s="219">
        <v>2403</v>
      </c>
      <c r="I47" s="1097">
        <v>137</v>
      </c>
      <c r="J47" s="219"/>
      <c r="K47" s="1085">
        <v>21</v>
      </c>
      <c r="L47" s="1094"/>
      <c r="M47" s="219">
        <f t="shared" si="2"/>
        <v>500</v>
      </c>
      <c r="N47" s="1086">
        <f t="shared" si="3"/>
        <v>2403</v>
      </c>
      <c r="O47" s="1096">
        <v>41689</v>
      </c>
      <c r="P47" s="202"/>
    </row>
    <row r="48" spans="1:16" x14ac:dyDescent="0.2">
      <c r="A48" s="188" t="s">
        <v>708</v>
      </c>
      <c r="B48" s="188" t="s">
        <v>548</v>
      </c>
      <c r="C48" s="834"/>
      <c r="D48" s="195">
        <v>41279</v>
      </c>
      <c r="E48" s="217">
        <v>41522</v>
      </c>
      <c r="F48" s="219">
        <v>74000</v>
      </c>
      <c r="G48" s="1097"/>
      <c r="H48" s="219">
        <v>15700</v>
      </c>
      <c r="I48" s="1097">
        <v>500</v>
      </c>
      <c r="J48" s="219"/>
      <c r="K48" s="1085">
        <v>385</v>
      </c>
      <c r="L48" s="1094"/>
      <c r="M48" s="219">
        <f t="shared" si="2"/>
        <v>885</v>
      </c>
      <c r="N48" s="1086">
        <f t="shared" si="3"/>
        <v>15700</v>
      </c>
      <c r="O48" s="1096">
        <v>41675</v>
      </c>
      <c r="P48" s="202"/>
    </row>
    <row r="49" spans="1:16" x14ac:dyDescent="0.2">
      <c r="A49" s="188" t="s">
        <v>83</v>
      </c>
      <c r="B49" s="188" t="s">
        <v>84</v>
      </c>
      <c r="C49" s="834"/>
      <c r="D49" s="195">
        <v>41292</v>
      </c>
      <c r="E49" s="217">
        <v>41596</v>
      </c>
      <c r="F49" s="219">
        <v>18000</v>
      </c>
      <c r="G49" s="1097"/>
      <c r="H49" s="219">
        <v>16100</v>
      </c>
      <c r="I49" s="1097">
        <v>400</v>
      </c>
      <c r="J49" s="219">
        <v>9015</v>
      </c>
      <c r="K49" s="1085">
        <v>100</v>
      </c>
      <c r="L49" s="1094">
        <v>2154</v>
      </c>
      <c r="M49" s="219">
        <f t="shared" si="2"/>
        <v>500</v>
      </c>
      <c r="N49" s="1086">
        <f t="shared" si="3"/>
        <v>27269</v>
      </c>
      <c r="O49" s="1096">
        <v>41671</v>
      </c>
      <c r="P49" s="202"/>
    </row>
    <row r="50" spans="1:16" x14ac:dyDescent="0.2">
      <c r="A50" s="188" t="s">
        <v>648</v>
      </c>
      <c r="B50" s="188" t="s">
        <v>549</v>
      </c>
      <c r="C50" s="834">
        <v>9276278884</v>
      </c>
      <c r="D50" s="189">
        <v>41221</v>
      </c>
      <c r="E50" s="217">
        <v>41494</v>
      </c>
      <c r="F50" s="219">
        <v>20000</v>
      </c>
      <c r="G50" s="1097">
        <v>1500</v>
      </c>
      <c r="H50" s="219">
        <v>18500</v>
      </c>
      <c r="I50" s="1097">
        <v>500</v>
      </c>
      <c r="J50" s="219">
        <v>9600</v>
      </c>
      <c r="K50" s="1085"/>
      <c r="L50" s="1094">
        <v>320</v>
      </c>
      <c r="M50" s="219">
        <f t="shared" si="2"/>
        <v>2000</v>
      </c>
      <c r="N50" s="1086">
        <f t="shared" si="3"/>
        <v>28420</v>
      </c>
      <c r="O50" s="1096">
        <v>41696</v>
      </c>
      <c r="P50" s="202"/>
    </row>
    <row r="51" spans="1:16" x14ac:dyDescent="0.2">
      <c r="A51" s="188" t="s">
        <v>758</v>
      </c>
      <c r="B51" s="188" t="s">
        <v>759</v>
      </c>
      <c r="C51" s="834">
        <v>9051798273</v>
      </c>
      <c r="D51" s="189">
        <v>41181</v>
      </c>
      <c r="E51" s="217">
        <v>41484</v>
      </c>
      <c r="F51" s="219">
        <v>4000</v>
      </c>
      <c r="G51" s="1097"/>
      <c r="H51" s="219">
        <v>3100</v>
      </c>
      <c r="I51" s="1097"/>
      <c r="J51" s="219">
        <v>2530</v>
      </c>
      <c r="K51" s="1085"/>
      <c r="L51" s="1094">
        <v>633</v>
      </c>
      <c r="M51" s="219">
        <f t="shared" si="2"/>
        <v>0</v>
      </c>
      <c r="N51" s="1086">
        <f t="shared" si="3"/>
        <v>6263</v>
      </c>
      <c r="O51" s="1096">
        <v>41269</v>
      </c>
      <c r="P51" s="202" t="s">
        <v>1116</v>
      </c>
    </row>
    <row r="52" spans="1:16" x14ac:dyDescent="0.2">
      <c r="A52" s="188" t="s">
        <v>1212</v>
      </c>
      <c r="B52" s="188" t="s">
        <v>1213</v>
      </c>
      <c r="C52" s="834"/>
      <c r="D52" s="189">
        <v>41192</v>
      </c>
      <c r="E52" s="217">
        <v>41315</v>
      </c>
      <c r="F52" s="219">
        <v>6000</v>
      </c>
      <c r="G52" s="1097"/>
      <c r="H52" s="219">
        <v>2710</v>
      </c>
      <c r="I52" s="1097"/>
      <c r="J52" s="219">
        <v>1102</v>
      </c>
      <c r="K52" s="1085"/>
      <c r="L52" s="1094">
        <v>430</v>
      </c>
      <c r="M52" s="219">
        <f t="shared" si="2"/>
        <v>0</v>
      </c>
      <c r="N52" s="1086">
        <f t="shared" si="3"/>
        <v>4242</v>
      </c>
      <c r="O52" s="1096">
        <v>41620</v>
      </c>
      <c r="P52" s="202"/>
    </row>
    <row r="53" spans="1:16" x14ac:dyDescent="0.2">
      <c r="A53" s="188" t="s">
        <v>1035</v>
      </c>
      <c r="B53" s="188" t="s">
        <v>668</v>
      </c>
      <c r="C53" s="834">
        <v>9359795055</v>
      </c>
      <c r="D53" s="195">
        <v>41502</v>
      </c>
      <c r="E53" s="217">
        <v>41594</v>
      </c>
      <c r="F53" s="219">
        <v>3600</v>
      </c>
      <c r="G53" s="1097">
        <v>1059</v>
      </c>
      <c r="H53" s="219">
        <v>1141</v>
      </c>
      <c r="I53" s="1097">
        <v>590</v>
      </c>
      <c r="J53" s="219"/>
      <c r="K53" s="1085">
        <v>351</v>
      </c>
      <c r="L53" s="1094">
        <v>191</v>
      </c>
      <c r="M53" s="219">
        <f t="shared" si="2"/>
        <v>2000</v>
      </c>
      <c r="N53" s="1086">
        <f t="shared" si="3"/>
        <v>1332</v>
      </c>
      <c r="O53" s="1096">
        <v>41683</v>
      </c>
      <c r="P53" s="202"/>
    </row>
    <row r="54" spans="1:16" x14ac:dyDescent="0.2">
      <c r="A54" s="188" t="s">
        <v>1214</v>
      </c>
      <c r="B54" s="188" t="s">
        <v>702</v>
      </c>
      <c r="C54" s="834"/>
      <c r="D54" s="189">
        <v>41096</v>
      </c>
      <c r="E54" s="217">
        <v>41339</v>
      </c>
      <c r="F54" s="219">
        <v>10000</v>
      </c>
      <c r="G54" s="1097">
        <v>100</v>
      </c>
      <c r="H54" s="219">
        <v>3750</v>
      </c>
      <c r="I54" s="1097">
        <v>100</v>
      </c>
      <c r="J54" s="219">
        <v>2916</v>
      </c>
      <c r="K54" s="1085"/>
      <c r="L54" s="1094">
        <v>990</v>
      </c>
      <c r="M54" s="219">
        <f t="shared" si="2"/>
        <v>200</v>
      </c>
      <c r="N54" s="1086">
        <f t="shared" si="3"/>
        <v>7656</v>
      </c>
      <c r="O54" s="1096">
        <v>41684</v>
      </c>
      <c r="P54" s="202"/>
    </row>
    <row r="55" spans="1:16" x14ac:dyDescent="0.2">
      <c r="A55" s="188" t="s">
        <v>793</v>
      </c>
      <c r="B55" s="188" t="s">
        <v>721</v>
      </c>
      <c r="C55" s="834"/>
      <c r="D55" s="195">
        <v>41417</v>
      </c>
      <c r="E55" s="1082">
        <v>41601</v>
      </c>
      <c r="F55" s="219">
        <v>5000</v>
      </c>
      <c r="G55" s="1097"/>
      <c r="H55" s="219">
        <v>2700</v>
      </c>
      <c r="I55" s="1097"/>
      <c r="J55" s="219">
        <v>504</v>
      </c>
      <c r="K55" s="1085"/>
      <c r="L55" s="1094">
        <v>251</v>
      </c>
      <c r="M55" s="219">
        <f t="shared" si="2"/>
        <v>0</v>
      </c>
      <c r="N55" s="1086">
        <f t="shared" si="3"/>
        <v>3455</v>
      </c>
      <c r="O55" s="1096">
        <v>41667</v>
      </c>
      <c r="P55" s="202"/>
    </row>
    <row r="56" spans="1:16" x14ac:dyDescent="0.2">
      <c r="A56" s="188" t="s">
        <v>1258</v>
      </c>
      <c r="B56" s="188" t="s">
        <v>427</v>
      </c>
      <c r="C56" s="834">
        <v>9268092807</v>
      </c>
      <c r="D56" s="195">
        <v>41520</v>
      </c>
      <c r="E56" s="217">
        <v>41550</v>
      </c>
      <c r="F56" s="219">
        <v>3500</v>
      </c>
      <c r="G56" s="1097"/>
      <c r="H56" s="219">
        <v>3500</v>
      </c>
      <c r="I56" s="1097"/>
      <c r="J56" s="219">
        <v>700</v>
      </c>
      <c r="K56" s="1085"/>
      <c r="L56" s="1094">
        <v>1004</v>
      </c>
      <c r="M56" s="219">
        <f t="shared" si="2"/>
        <v>0</v>
      </c>
      <c r="N56" s="1086">
        <f t="shared" si="3"/>
        <v>5204</v>
      </c>
      <c r="O56" s="1096" t="s">
        <v>76</v>
      </c>
      <c r="P56" s="202" t="s">
        <v>884</v>
      </c>
    </row>
    <row r="57" spans="1:16" x14ac:dyDescent="0.2">
      <c r="A57" s="188" t="s">
        <v>999</v>
      </c>
      <c r="B57" s="188" t="s">
        <v>1000</v>
      </c>
      <c r="C57" s="834">
        <v>9051804099</v>
      </c>
      <c r="D57" s="195">
        <v>41470</v>
      </c>
      <c r="E57" s="217">
        <v>41562</v>
      </c>
      <c r="F57" s="219">
        <v>10000</v>
      </c>
      <c r="G57" s="1097"/>
      <c r="H57" s="219">
        <v>10000</v>
      </c>
      <c r="I57" s="1097">
        <v>1500</v>
      </c>
      <c r="J57" s="219">
        <v>3500</v>
      </c>
      <c r="K57" s="1085"/>
      <c r="L57" s="1094">
        <v>900</v>
      </c>
      <c r="M57" s="219">
        <f t="shared" si="2"/>
        <v>1500</v>
      </c>
      <c r="N57" s="1086">
        <f t="shared" si="3"/>
        <v>14400</v>
      </c>
      <c r="O57" s="1096">
        <v>41671</v>
      </c>
      <c r="P57" s="202"/>
    </row>
    <row r="58" spans="1:16" x14ac:dyDescent="0.2">
      <c r="A58" s="188" t="s">
        <v>741</v>
      </c>
      <c r="B58" s="188" t="s">
        <v>18</v>
      </c>
      <c r="C58" s="834">
        <v>9266208522</v>
      </c>
      <c r="D58" s="189">
        <v>41289</v>
      </c>
      <c r="E58" s="217">
        <v>41470</v>
      </c>
      <c r="F58" s="219">
        <v>20000</v>
      </c>
      <c r="G58" s="1097">
        <v>480</v>
      </c>
      <c r="H58" s="219">
        <v>19300</v>
      </c>
      <c r="I58" s="1097">
        <v>120</v>
      </c>
      <c r="J58" s="219">
        <v>7730</v>
      </c>
      <c r="K58" s="1085"/>
      <c r="L58" s="1094">
        <v>2383</v>
      </c>
      <c r="M58" s="219">
        <f t="shared" si="2"/>
        <v>600</v>
      </c>
      <c r="N58" s="1086">
        <f t="shared" si="3"/>
        <v>29413</v>
      </c>
      <c r="O58" s="1096">
        <v>41694</v>
      </c>
      <c r="P58" s="202"/>
    </row>
    <row r="59" spans="1:16" x14ac:dyDescent="0.2">
      <c r="A59" s="188" t="s">
        <v>570</v>
      </c>
      <c r="B59" s="188" t="s">
        <v>533</v>
      </c>
      <c r="C59" s="834">
        <v>9051657598</v>
      </c>
      <c r="D59" s="195">
        <v>41396</v>
      </c>
      <c r="E59" s="217">
        <v>41580</v>
      </c>
      <c r="F59" s="219">
        <v>15000</v>
      </c>
      <c r="G59" s="1097"/>
      <c r="H59" s="219">
        <v>15000</v>
      </c>
      <c r="I59" s="1097"/>
      <c r="J59" s="219">
        <v>5750</v>
      </c>
      <c r="K59" s="1085"/>
      <c r="L59" s="1094">
        <v>1121</v>
      </c>
      <c r="M59" s="219">
        <f t="shared" si="2"/>
        <v>0</v>
      </c>
      <c r="N59" s="1086">
        <f t="shared" si="3"/>
        <v>21871</v>
      </c>
      <c r="O59" s="1096">
        <v>41606</v>
      </c>
      <c r="P59" s="202"/>
    </row>
    <row r="60" spans="1:16" x14ac:dyDescent="0.2">
      <c r="A60" s="188" t="s">
        <v>936</v>
      </c>
      <c r="B60" s="188" t="s">
        <v>937</v>
      </c>
      <c r="C60" s="834" t="s">
        <v>1001</v>
      </c>
      <c r="D60" s="189">
        <v>41158</v>
      </c>
      <c r="E60" s="217">
        <v>41461</v>
      </c>
      <c r="F60" s="219">
        <v>10000</v>
      </c>
      <c r="G60" s="1097"/>
      <c r="H60" s="219">
        <v>10000</v>
      </c>
      <c r="I60" s="1097"/>
      <c r="J60" s="219">
        <v>8000</v>
      </c>
      <c r="K60" s="1085"/>
      <c r="L60" s="1094">
        <v>1125</v>
      </c>
      <c r="M60" s="219">
        <f t="shared" si="2"/>
        <v>0</v>
      </c>
      <c r="N60" s="1086">
        <f t="shared" si="3"/>
        <v>19125</v>
      </c>
      <c r="O60" s="1096" t="s">
        <v>76</v>
      </c>
      <c r="P60" s="202"/>
    </row>
    <row r="61" spans="1:16" x14ac:dyDescent="0.2">
      <c r="A61" s="188" t="s">
        <v>936</v>
      </c>
      <c r="B61" s="188" t="s">
        <v>937</v>
      </c>
      <c r="C61" s="834" t="s">
        <v>1001</v>
      </c>
      <c r="D61" s="189">
        <v>41163</v>
      </c>
      <c r="E61" s="217">
        <v>41466</v>
      </c>
      <c r="F61" s="219">
        <v>8000</v>
      </c>
      <c r="G61" s="1097"/>
      <c r="H61" s="219">
        <v>8000</v>
      </c>
      <c r="I61" s="1097"/>
      <c r="J61" s="219">
        <v>6800</v>
      </c>
      <c r="K61" s="1085"/>
      <c r="L61" s="1094">
        <v>900</v>
      </c>
      <c r="M61" s="219">
        <f t="shared" si="2"/>
        <v>0</v>
      </c>
      <c r="N61" s="1086">
        <f t="shared" si="3"/>
        <v>15700</v>
      </c>
      <c r="O61" s="1096" t="s">
        <v>76</v>
      </c>
      <c r="P61" s="202"/>
    </row>
    <row r="62" spans="1:16" x14ac:dyDescent="0.2">
      <c r="A62" s="188" t="s">
        <v>936</v>
      </c>
      <c r="B62" s="188" t="s">
        <v>937</v>
      </c>
      <c r="C62" s="834" t="s">
        <v>1001</v>
      </c>
      <c r="D62" s="189">
        <v>41170</v>
      </c>
      <c r="E62" s="217">
        <v>41473</v>
      </c>
      <c r="F62" s="219">
        <v>10000</v>
      </c>
      <c r="G62" s="1097"/>
      <c r="H62" s="219">
        <v>10000</v>
      </c>
      <c r="I62" s="1097"/>
      <c r="J62" s="219">
        <v>8500</v>
      </c>
      <c r="K62" s="1085"/>
      <c r="L62" s="1094">
        <v>1125</v>
      </c>
      <c r="M62" s="219">
        <f t="shared" si="2"/>
        <v>0</v>
      </c>
      <c r="N62" s="1086">
        <f t="shared" si="3"/>
        <v>19625</v>
      </c>
      <c r="O62" s="1096" t="s">
        <v>76</v>
      </c>
      <c r="P62" s="202"/>
    </row>
    <row r="63" spans="1:16" x14ac:dyDescent="0.2">
      <c r="A63" s="188" t="s">
        <v>1224</v>
      </c>
      <c r="B63" s="188" t="s">
        <v>1225</v>
      </c>
      <c r="C63" s="834">
        <v>9174609822</v>
      </c>
      <c r="D63" s="189">
        <v>41167</v>
      </c>
      <c r="E63" s="217">
        <v>41320</v>
      </c>
      <c r="F63" s="219">
        <v>10000</v>
      </c>
      <c r="G63" s="1097"/>
      <c r="H63" s="219">
        <v>10000</v>
      </c>
      <c r="I63" s="1097"/>
      <c r="J63" s="219">
        <v>7500</v>
      </c>
      <c r="K63" s="1085"/>
      <c r="L63" s="1094">
        <v>1875</v>
      </c>
      <c r="M63" s="219">
        <f t="shared" si="2"/>
        <v>0</v>
      </c>
      <c r="N63" s="1086">
        <f t="shared" si="3"/>
        <v>19375</v>
      </c>
      <c r="O63" s="1096">
        <v>41205</v>
      </c>
      <c r="P63" s="202"/>
    </row>
    <row r="64" spans="1:16" x14ac:dyDescent="0.2">
      <c r="A64" s="188" t="s">
        <v>498</v>
      </c>
      <c r="B64" s="188" t="s">
        <v>499</v>
      </c>
      <c r="C64" s="834">
        <v>9269633336</v>
      </c>
      <c r="D64" s="189">
        <v>41198</v>
      </c>
      <c r="E64" s="217">
        <v>41382</v>
      </c>
      <c r="F64" s="219">
        <v>8000</v>
      </c>
      <c r="G64" s="1097"/>
      <c r="H64" s="219">
        <v>4057</v>
      </c>
      <c r="I64" s="1097"/>
      <c r="J64" s="219">
        <v>2628</v>
      </c>
      <c r="K64" s="1085"/>
      <c r="L64" s="1094">
        <v>1134</v>
      </c>
      <c r="M64" s="219">
        <f t="shared" si="2"/>
        <v>0</v>
      </c>
      <c r="N64" s="1086">
        <f t="shared" si="3"/>
        <v>7819</v>
      </c>
      <c r="O64" s="1096">
        <v>41655</v>
      </c>
      <c r="P64" s="202"/>
    </row>
    <row r="65" spans="1:16" x14ac:dyDescent="0.2">
      <c r="A65" s="188" t="s">
        <v>966</v>
      </c>
      <c r="B65" s="188" t="s">
        <v>1164</v>
      </c>
      <c r="C65" s="834"/>
      <c r="D65" s="195">
        <v>41570</v>
      </c>
      <c r="E65" s="217">
        <v>41601</v>
      </c>
      <c r="F65" s="219">
        <v>50000</v>
      </c>
      <c r="G65" s="1097"/>
      <c r="H65" s="219">
        <v>50000</v>
      </c>
      <c r="I65" s="1097"/>
      <c r="J65" s="219">
        <v>2400</v>
      </c>
      <c r="K65" s="1085"/>
      <c r="L65" s="1094">
        <v>2800</v>
      </c>
      <c r="M65" s="219">
        <f t="shared" si="2"/>
        <v>0</v>
      </c>
      <c r="N65" s="1086">
        <f t="shared" si="3"/>
        <v>55200</v>
      </c>
      <c r="O65" s="1096" t="s">
        <v>76</v>
      </c>
      <c r="P65" s="202"/>
    </row>
    <row r="66" spans="1:16" x14ac:dyDescent="0.2">
      <c r="A66" s="188" t="s">
        <v>1002</v>
      </c>
      <c r="B66" s="188" t="s">
        <v>1003</v>
      </c>
      <c r="C66" s="834">
        <v>9261781600</v>
      </c>
      <c r="D66" s="195">
        <v>41278</v>
      </c>
      <c r="E66" s="217">
        <v>41521</v>
      </c>
      <c r="F66" s="219">
        <v>9000</v>
      </c>
      <c r="G66" s="1097">
        <v>400</v>
      </c>
      <c r="H66" s="219">
        <v>4000</v>
      </c>
      <c r="I66" s="1097">
        <v>100</v>
      </c>
      <c r="J66" s="219">
        <v>2200</v>
      </c>
      <c r="K66" s="1085"/>
      <c r="L66" s="1094">
        <v>522</v>
      </c>
      <c r="M66" s="219">
        <f t="shared" si="2"/>
        <v>500</v>
      </c>
      <c r="N66" s="1086">
        <f t="shared" si="3"/>
        <v>6722</v>
      </c>
      <c r="O66" s="1096">
        <v>41677</v>
      </c>
      <c r="P66" s="202"/>
    </row>
    <row r="67" spans="1:16" x14ac:dyDescent="0.2">
      <c r="A67" s="188" t="s">
        <v>1330</v>
      </c>
      <c r="B67" s="188" t="s">
        <v>1331</v>
      </c>
      <c r="C67" s="834">
        <v>9055825037</v>
      </c>
      <c r="D67" s="195">
        <v>41523</v>
      </c>
      <c r="E67" s="217">
        <v>41584</v>
      </c>
      <c r="F67" s="219">
        <v>25000</v>
      </c>
      <c r="G67" s="1097">
        <v>160</v>
      </c>
      <c r="H67" s="219">
        <v>8820</v>
      </c>
      <c r="I67" s="1097">
        <v>40</v>
      </c>
      <c r="J67" s="219">
        <v>5110</v>
      </c>
      <c r="K67" s="1085"/>
      <c r="L67" s="1094">
        <v>2542</v>
      </c>
      <c r="M67" s="219">
        <f t="shared" ref="M67:M120" si="4">G67+I67+K67</f>
        <v>200</v>
      </c>
      <c r="N67" s="1086">
        <f t="shared" ref="N67:N120" si="5">H67+J67+L67</f>
        <v>16472</v>
      </c>
      <c r="O67" s="1096">
        <v>41674</v>
      </c>
      <c r="P67" s="202"/>
    </row>
    <row r="68" spans="1:16" x14ac:dyDescent="0.2">
      <c r="A68" s="196" t="s">
        <v>1215</v>
      </c>
      <c r="B68" s="188" t="s">
        <v>1216</v>
      </c>
      <c r="C68" s="834"/>
      <c r="D68" s="189">
        <v>41002</v>
      </c>
      <c r="E68" s="217">
        <v>41308</v>
      </c>
      <c r="F68" s="219">
        <v>25000</v>
      </c>
      <c r="G68" s="1097"/>
      <c r="H68" s="219">
        <v>25000</v>
      </c>
      <c r="I68" s="1097"/>
      <c r="J68" s="219">
        <v>15730</v>
      </c>
      <c r="K68" s="1085"/>
      <c r="L68" s="1094">
        <v>1858</v>
      </c>
      <c r="M68" s="219">
        <f t="shared" si="4"/>
        <v>0</v>
      </c>
      <c r="N68" s="1086">
        <f t="shared" si="5"/>
        <v>42588</v>
      </c>
      <c r="O68" s="1096">
        <v>41652</v>
      </c>
      <c r="P68" s="202"/>
    </row>
    <row r="69" spans="1:16" x14ac:dyDescent="0.2">
      <c r="A69" s="196" t="s">
        <v>503</v>
      </c>
      <c r="B69" s="188" t="s">
        <v>504</v>
      </c>
      <c r="C69" s="834">
        <v>9169884922</v>
      </c>
      <c r="D69" s="189">
        <v>41194</v>
      </c>
      <c r="E69" s="217">
        <v>41376</v>
      </c>
      <c r="F69" s="219">
        <v>6000</v>
      </c>
      <c r="G69" s="1097"/>
      <c r="H69" s="219">
        <v>2608</v>
      </c>
      <c r="I69" s="1097"/>
      <c r="J69" s="219">
        <v>651</v>
      </c>
      <c r="K69" s="1085"/>
      <c r="L69" s="1094">
        <v>240</v>
      </c>
      <c r="M69" s="219">
        <f t="shared" si="4"/>
        <v>0</v>
      </c>
      <c r="N69" s="1086">
        <f t="shared" si="5"/>
        <v>3499</v>
      </c>
      <c r="O69" s="1096">
        <v>41528</v>
      </c>
      <c r="P69" s="202"/>
    </row>
    <row r="70" spans="1:16" x14ac:dyDescent="0.2">
      <c r="A70" s="196" t="s">
        <v>939</v>
      </c>
      <c r="B70" s="188" t="s">
        <v>669</v>
      </c>
      <c r="C70" s="834">
        <v>9185222058</v>
      </c>
      <c r="D70" s="195">
        <v>41498</v>
      </c>
      <c r="E70" s="189">
        <v>41616</v>
      </c>
      <c r="F70" s="219">
        <v>20000</v>
      </c>
      <c r="G70" s="1097"/>
      <c r="H70" s="219">
        <v>11260</v>
      </c>
      <c r="I70" s="1097"/>
      <c r="J70" s="219">
        <v>563</v>
      </c>
      <c r="K70" s="1085"/>
      <c r="L70" s="1094">
        <v>591</v>
      </c>
      <c r="M70" s="219">
        <f t="shared" si="4"/>
        <v>0</v>
      </c>
      <c r="N70" s="1086">
        <f t="shared" si="5"/>
        <v>12414</v>
      </c>
      <c r="O70" s="1096">
        <v>41660</v>
      </c>
      <c r="P70" s="202"/>
    </row>
    <row r="71" spans="1:16" x14ac:dyDescent="0.2">
      <c r="A71" s="196" t="s">
        <v>749</v>
      </c>
      <c r="B71" s="188" t="s">
        <v>750</v>
      </c>
      <c r="C71" s="834">
        <v>9081476439</v>
      </c>
      <c r="D71" s="189">
        <v>40989</v>
      </c>
      <c r="E71" s="217">
        <v>41295</v>
      </c>
      <c r="F71" s="219">
        <v>7000</v>
      </c>
      <c r="G71" s="1097"/>
      <c r="H71" s="219">
        <v>1227</v>
      </c>
      <c r="I71" s="1097"/>
      <c r="J71" s="219">
        <v>620</v>
      </c>
      <c r="K71" s="1085"/>
      <c r="L71" s="1094">
        <v>440</v>
      </c>
      <c r="M71" s="219">
        <f t="shared" si="4"/>
        <v>0</v>
      </c>
      <c r="N71" s="1086">
        <f t="shared" si="5"/>
        <v>2287</v>
      </c>
      <c r="O71" s="1096">
        <v>41550</v>
      </c>
      <c r="P71" s="202"/>
    </row>
    <row r="72" spans="1:16" x14ac:dyDescent="0.2">
      <c r="A72" s="196" t="s">
        <v>1283</v>
      </c>
      <c r="B72" s="188" t="s">
        <v>1276</v>
      </c>
      <c r="C72" s="834">
        <v>9351131451</v>
      </c>
      <c r="D72" s="195">
        <v>41516</v>
      </c>
      <c r="E72" s="217">
        <v>41577</v>
      </c>
      <c r="F72" s="219">
        <v>50000</v>
      </c>
      <c r="G72" s="1097"/>
      <c r="H72" s="219">
        <v>50000</v>
      </c>
      <c r="I72" s="1097"/>
      <c r="J72" s="219">
        <v>10000</v>
      </c>
      <c r="K72" s="1085"/>
      <c r="L72" s="1094">
        <v>5500</v>
      </c>
      <c r="M72" s="219">
        <f t="shared" si="4"/>
        <v>0</v>
      </c>
      <c r="N72" s="1086">
        <f t="shared" si="5"/>
        <v>65500</v>
      </c>
      <c r="O72" s="1096" t="s">
        <v>854</v>
      </c>
      <c r="P72" s="202"/>
    </row>
    <row r="73" spans="1:16" x14ac:dyDescent="0.2">
      <c r="A73" s="196" t="s">
        <v>1241</v>
      </c>
      <c r="B73" s="188" t="s">
        <v>428</v>
      </c>
      <c r="C73" s="834">
        <v>9056362577</v>
      </c>
      <c r="D73" s="195">
        <v>41457</v>
      </c>
      <c r="E73" s="217">
        <v>41580</v>
      </c>
      <c r="F73" s="219">
        <v>5000</v>
      </c>
      <c r="G73" s="1097"/>
      <c r="H73" s="219">
        <v>300</v>
      </c>
      <c r="I73" s="1097"/>
      <c r="J73" s="219">
        <v>271</v>
      </c>
      <c r="K73" s="1085"/>
      <c r="L73" s="1094">
        <v>281</v>
      </c>
      <c r="M73" s="219">
        <f t="shared" si="4"/>
        <v>0</v>
      </c>
      <c r="N73" s="1086">
        <f t="shared" si="5"/>
        <v>852</v>
      </c>
      <c r="O73" s="1096">
        <v>41652</v>
      </c>
      <c r="P73" s="202"/>
    </row>
    <row r="74" spans="1:16" x14ac:dyDescent="0.2">
      <c r="A74" s="196" t="s">
        <v>1049</v>
      </c>
      <c r="B74" s="188" t="s">
        <v>672</v>
      </c>
      <c r="C74" s="834">
        <v>9263521949</v>
      </c>
      <c r="D74" s="189">
        <v>41306</v>
      </c>
      <c r="E74" s="217">
        <v>41395</v>
      </c>
      <c r="F74" s="219">
        <v>10000</v>
      </c>
      <c r="G74" s="1097"/>
      <c r="H74" s="219">
        <v>1110</v>
      </c>
      <c r="I74" s="1097"/>
      <c r="J74" s="219">
        <v>161</v>
      </c>
      <c r="K74" s="1085"/>
      <c r="L74" s="1094">
        <v>200</v>
      </c>
      <c r="M74" s="219">
        <f t="shared" si="4"/>
        <v>0</v>
      </c>
      <c r="N74" s="1086">
        <f t="shared" si="5"/>
        <v>1471</v>
      </c>
      <c r="O74" s="1096">
        <v>41608</v>
      </c>
      <c r="P74" s="202"/>
    </row>
    <row r="75" spans="1:16" x14ac:dyDescent="0.2">
      <c r="A75" s="196" t="s">
        <v>1165</v>
      </c>
      <c r="B75" s="188" t="s">
        <v>1166</v>
      </c>
      <c r="C75" s="834">
        <v>9264670785</v>
      </c>
      <c r="D75" s="195">
        <v>41447</v>
      </c>
      <c r="E75" s="217">
        <v>41539</v>
      </c>
      <c r="F75" s="219">
        <v>14500</v>
      </c>
      <c r="G75" s="1097"/>
      <c r="H75" s="219">
        <v>14500</v>
      </c>
      <c r="I75" s="1097">
        <v>725</v>
      </c>
      <c r="J75" s="219"/>
      <c r="K75" s="1085"/>
      <c r="L75" s="1094">
        <v>2900</v>
      </c>
      <c r="M75" s="219">
        <f t="shared" si="4"/>
        <v>725</v>
      </c>
      <c r="N75" s="1086">
        <f t="shared" si="5"/>
        <v>17400</v>
      </c>
      <c r="O75" s="1096">
        <v>41687</v>
      </c>
      <c r="P75" s="202"/>
    </row>
    <row r="76" spans="1:16" x14ac:dyDescent="0.2">
      <c r="A76" s="196" t="s">
        <v>1217</v>
      </c>
      <c r="B76" s="188" t="s">
        <v>702</v>
      </c>
      <c r="C76" s="834"/>
      <c r="D76" s="189">
        <v>41584</v>
      </c>
      <c r="E76" s="217">
        <v>41339</v>
      </c>
      <c r="F76" s="219">
        <v>3000</v>
      </c>
      <c r="G76" s="1097"/>
      <c r="H76" s="219">
        <v>390</v>
      </c>
      <c r="I76" s="1097"/>
      <c r="J76" s="219">
        <v>523</v>
      </c>
      <c r="K76" s="1085"/>
      <c r="L76" s="1094">
        <v>739</v>
      </c>
      <c r="M76" s="219">
        <f t="shared" si="4"/>
        <v>0</v>
      </c>
      <c r="N76" s="1086">
        <f t="shared" si="5"/>
        <v>1652</v>
      </c>
      <c r="O76" s="1096">
        <v>41311</v>
      </c>
      <c r="P76" s="202"/>
    </row>
    <row r="77" spans="1:16" x14ac:dyDescent="0.2">
      <c r="A77" s="196" t="s">
        <v>878</v>
      </c>
      <c r="B77" s="188" t="s">
        <v>756</v>
      </c>
      <c r="C77" s="834">
        <v>9292120105</v>
      </c>
      <c r="D77" s="189">
        <v>41173</v>
      </c>
      <c r="E77" s="217">
        <v>41476</v>
      </c>
      <c r="F77" s="219">
        <v>14500</v>
      </c>
      <c r="G77" s="1097"/>
      <c r="H77" s="219">
        <v>11100</v>
      </c>
      <c r="I77" s="1097"/>
      <c r="J77" s="219">
        <v>7710</v>
      </c>
      <c r="K77" s="1085"/>
      <c r="L77" s="1094">
        <v>2634</v>
      </c>
      <c r="M77" s="219">
        <f t="shared" si="4"/>
        <v>0</v>
      </c>
      <c r="N77" s="1086">
        <f t="shared" si="5"/>
        <v>21444</v>
      </c>
      <c r="O77" s="1096">
        <v>41654</v>
      </c>
      <c r="P77" s="202"/>
    </row>
    <row r="78" spans="1:16" x14ac:dyDescent="0.2">
      <c r="A78" s="196" t="s">
        <v>671</v>
      </c>
      <c r="B78" s="188" t="s">
        <v>672</v>
      </c>
      <c r="C78" s="834">
        <v>9276802794</v>
      </c>
      <c r="D78" s="189">
        <v>41115</v>
      </c>
      <c r="E78" s="217">
        <v>41419</v>
      </c>
      <c r="F78" s="219">
        <v>15000</v>
      </c>
      <c r="G78" s="1097"/>
      <c r="H78" s="219">
        <v>12800</v>
      </c>
      <c r="I78" s="1097"/>
      <c r="J78" s="219">
        <v>6964</v>
      </c>
      <c r="K78" s="1085"/>
      <c r="L78" s="1094">
        <v>1067</v>
      </c>
      <c r="M78" s="219">
        <f t="shared" si="4"/>
        <v>0</v>
      </c>
      <c r="N78" s="1086">
        <f t="shared" si="5"/>
        <v>20831</v>
      </c>
      <c r="O78" s="1096">
        <v>41619</v>
      </c>
      <c r="P78" s="202"/>
    </row>
    <row r="79" spans="1:16" x14ac:dyDescent="0.2">
      <c r="A79" s="196" t="s">
        <v>1072</v>
      </c>
      <c r="B79" s="188" t="s">
        <v>882</v>
      </c>
      <c r="C79" s="834">
        <v>9068368132</v>
      </c>
      <c r="D79" s="195">
        <v>41312</v>
      </c>
      <c r="E79" s="189">
        <v>41615</v>
      </c>
      <c r="F79" s="219">
        <v>10000</v>
      </c>
      <c r="G79" s="1097"/>
      <c r="H79" s="219">
        <v>7896</v>
      </c>
      <c r="I79" s="1097">
        <v>925</v>
      </c>
      <c r="J79" s="219">
        <v>1764</v>
      </c>
      <c r="K79" s="1085">
        <v>75</v>
      </c>
      <c r="L79" s="1094">
        <v>489</v>
      </c>
      <c r="M79" s="219">
        <f t="shared" si="4"/>
        <v>1000</v>
      </c>
      <c r="N79" s="1086">
        <f t="shared" si="5"/>
        <v>10149</v>
      </c>
      <c r="O79" s="1096">
        <v>41690</v>
      </c>
      <c r="P79" s="202"/>
    </row>
    <row r="80" spans="1:16" x14ac:dyDescent="0.2">
      <c r="A80" s="196" t="s">
        <v>1005</v>
      </c>
      <c r="B80" s="188" t="s">
        <v>1006</v>
      </c>
      <c r="C80" s="834">
        <v>9186549513</v>
      </c>
      <c r="D80" s="195">
        <v>41249</v>
      </c>
      <c r="E80" s="217">
        <v>41553</v>
      </c>
      <c r="F80" s="219">
        <v>15000</v>
      </c>
      <c r="G80" s="1097"/>
      <c r="H80" s="219">
        <v>4520</v>
      </c>
      <c r="I80" s="1097"/>
      <c r="J80" s="219">
        <v>226</v>
      </c>
      <c r="K80" s="1085"/>
      <c r="L80" s="1094">
        <v>226</v>
      </c>
      <c r="M80" s="219">
        <f t="shared" si="4"/>
        <v>0</v>
      </c>
      <c r="N80" s="1086">
        <f t="shared" si="5"/>
        <v>4972</v>
      </c>
      <c r="O80" s="1096">
        <v>41666</v>
      </c>
      <c r="P80" s="202"/>
    </row>
    <row r="81" spans="1:16" x14ac:dyDescent="0.2">
      <c r="A81" s="196" t="s">
        <v>976</v>
      </c>
      <c r="B81" s="188" t="s">
        <v>9</v>
      </c>
      <c r="C81" s="834">
        <v>9351652200</v>
      </c>
      <c r="D81" s="195">
        <v>41431</v>
      </c>
      <c r="E81" s="217">
        <v>41553</v>
      </c>
      <c r="F81" s="219">
        <v>3000</v>
      </c>
      <c r="G81" s="1097"/>
      <c r="H81" s="219">
        <v>950</v>
      </c>
      <c r="I81" s="1097"/>
      <c r="J81" s="219">
        <v>187</v>
      </c>
      <c r="K81" s="1085"/>
      <c r="L81" s="1094">
        <v>166</v>
      </c>
      <c r="M81" s="219">
        <f t="shared" si="4"/>
        <v>0</v>
      </c>
      <c r="N81" s="1086">
        <f t="shared" si="5"/>
        <v>1303</v>
      </c>
      <c r="O81" s="1096">
        <v>41634</v>
      </c>
      <c r="P81" s="202"/>
    </row>
    <row r="82" spans="1:16" x14ac:dyDescent="0.2">
      <c r="A82" s="196" t="s">
        <v>1161</v>
      </c>
      <c r="B82" s="188" t="s">
        <v>571</v>
      </c>
      <c r="C82" s="834">
        <v>9461491900</v>
      </c>
      <c r="D82" s="195">
        <v>41376</v>
      </c>
      <c r="E82" s="189">
        <v>41620</v>
      </c>
      <c r="F82" s="219">
        <v>14000</v>
      </c>
      <c r="G82" s="1097"/>
      <c r="H82" s="219">
        <v>14000</v>
      </c>
      <c r="I82" s="1097"/>
      <c r="J82" s="219">
        <v>7000</v>
      </c>
      <c r="K82" s="1085"/>
      <c r="L82" s="1094"/>
      <c r="M82" s="219">
        <f t="shared" si="4"/>
        <v>0</v>
      </c>
      <c r="N82" s="1086">
        <f t="shared" si="5"/>
        <v>21000</v>
      </c>
      <c r="O82" s="1096" t="s">
        <v>551</v>
      </c>
      <c r="P82" s="202"/>
    </row>
    <row r="83" spans="1:16" x14ac:dyDescent="0.2">
      <c r="A83" s="196" t="s">
        <v>943</v>
      </c>
      <c r="B83" s="188" t="s">
        <v>392</v>
      </c>
      <c r="C83" s="834"/>
      <c r="D83" s="189">
        <v>41211</v>
      </c>
      <c r="E83" s="217">
        <v>41303</v>
      </c>
      <c r="F83" s="219">
        <v>10000</v>
      </c>
      <c r="G83" s="1097"/>
      <c r="H83" s="219">
        <v>10000</v>
      </c>
      <c r="I83" s="1097"/>
      <c r="J83" s="219">
        <v>8000</v>
      </c>
      <c r="K83" s="1085"/>
      <c r="L83" s="1094">
        <v>2683</v>
      </c>
      <c r="M83" s="219">
        <f t="shared" si="4"/>
        <v>0</v>
      </c>
      <c r="N83" s="1086">
        <f t="shared" si="5"/>
        <v>20683</v>
      </c>
      <c r="O83" s="1096" t="s">
        <v>76</v>
      </c>
      <c r="P83" s="202"/>
    </row>
    <row r="84" spans="1:16" x14ac:dyDescent="0.2">
      <c r="A84" s="196" t="s">
        <v>944</v>
      </c>
      <c r="B84" s="188" t="s">
        <v>571</v>
      </c>
      <c r="C84" s="1101" t="s">
        <v>1004</v>
      </c>
      <c r="D84" s="189">
        <v>41197</v>
      </c>
      <c r="E84" s="217">
        <v>41379</v>
      </c>
      <c r="F84" s="219">
        <v>6000</v>
      </c>
      <c r="G84" s="1097">
        <v>450</v>
      </c>
      <c r="H84" s="219">
        <v>2500</v>
      </c>
      <c r="I84" s="1097">
        <v>150</v>
      </c>
      <c r="J84" s="219">
        <v>1330</v>
      </c>
      <c r="K84" s="1085"/>
      <c r="L84" s="1094">
        <v>456</v>
      </c>
      <c r="M84" s="219">
        <f t="shared" si="4"/>
        <v>600</v>
      </c>
      <c r="N84" s="1086">
        <f t="shared" si="5"/>
        <v>4286</v>
      </c>
      <c r="O84" s="1096">
        <v>41698</v>
      </c>
      <c r="P84" s="202"/>
    </row>
    <row r="85" spans="1:16" x14ac:dyDescent="0.2">
      <c r="A85" s="196" t="s">
        <v>1326</v>
      </c>
      <c r="B85" s="188" t="s">
        <v>945</v>
      </c>
      <c r="C85" s="834">
        <v>9067786298</v>
      </c>
      <c r="D85" s="195">
        <v>41515</v>
      </c>
      <c r="E85" s="189">
        <v>42002</v>
      </c>
      <c r="F85" s="219">
        <v>3000</v>
      </c>
      <c r="G85" s="1097">
        <v>140</v>
      </c>
      <c r="H85" s="219">
        <v>1125</v>
      </c>
      <c r="I85" s="1097">
        <v>190</v>
      </c>
      <c r="J85" s="219"/>
      <c r="K85" s="1085"/>
      <c r="L85" s="1094">
        <v>180</v>
      </c>
      <c r="M85" s="219">
        <f t="shared" si="4"/>
        <v>330</v>
      </c>
      <c r="N85" s="1086">
        <f t="shared" si="5"/>
        <v>1305</v>
      </c>
      <c r="O85" s="1096">
        <v>41698</v>
      </c>
      <c r="P85" s="202"/>
    </row>
    <row r="86" spans="1:16" x14ac:dyDescent="0.2">
      <c r="A86" s="196" t="s">
        <v>690</v>
      </c>
      <c r="B86" s="188" t="s">
        <v>691</v>
      </c>
      <c r="C86" s="834">
        <v>9264425329</v>
      </c>
      <c r="D86" s="195">
        <v>41290</v>
      </c>
      <c r="E86" s="217">
        <v>41594</v>
      </c>
      <c r="F86" s="219">
        <v>10000</v>
      </c>
      <c r="G86" s="1097"/>
      <c r="H86" s="219">
        <v>10000</v>
      </c>
      <c r="I86" s="1097"/>
      <c r="J86" s="219">
        <v>6500</v>
      </c>
      <c r="K86" s="1085"/>
      <c r="L86" s="1094">
        <v>825</v>
      </c>
      <c r="M86" s="219">
        <f t="shared" si="4"/>
        <v>0</v>
      </c>
      <c r="N86" s="1086">
        <f t="shared" si="5"/>
        <v>17325</v>
      </c>
      <c r="O86" s="1096" t="s">
        <v>76</v>
      </c>
      <c r="P86" s="202"/>
    </row>
    <row r="87" spans="1:16" x14ac:dyDescent="0.2">
      <c r="A87" s="196" t="s">
        <v>36</v>
      </c>
      <c r="B87" s="198" t="s">
        <v>37</v>
      </c>
      <c r="C87" s="834">
        <v>9103308328</v>
      </c>
      <c r="D87" s="189">
        <v>41190</v>
      </c>
      <c r="E87" s="217">
        <v>41494</v>
      </c>
      <c r="F87" s="219">
        <v>12000</v>
      </c>
      <c r="G87" s="1097"/>
      <c r="H87" s="219">
        <v>4800</v>
      </c>
      <c r="I87" s="1097"/>
      <c r="J87" s="219">
        <v>4325</v>
      </c>
      <c r="K87" s="1085"/>
      <c r="L87" s="1094">
        <v>464</v>
      </c>
      <c r="M87" s="219">
        <f t="shared" si="4"/>
        <v>0</v>
      </c>
      <c r="N87" s="1086">
        <f t="shared" si="5"/>
        <v>9589</v>
      </c>
      <c r="O87" s="1096">
        <v>41656</v>
      </c>
      <c r="P87" s="202"/>
    </row>
    <row r="88" spans="1:16" x14ac:dyDescent="0.2">
      <c r="A88" s="196" t="s">
        <v>1218</v>
      </c>
      <c r="B88" s="188" t="s">
        <v>511</v>
      </c>
      <c r="C88" s="834"/>
      <c r="D88" s="189">
        <v>41030</v>
      </c>
      <c r="E88" s="217">
        <v>41334</v>
      </c>
      <c r="F88" s="219">
        <v>12500</v>
      </c>
      <c r="G88" s="1097">
        <v>50</v>
      </c>
      <c r="H88" s="219">
        <v>10830</v>
      </c>
      <c r="I88" s="1097">
        <v>50</v>
      </c>
      <c r="J88" s="219">
        <v>6028</v>
      </c>
      <c r="K88" s="1085"/>
      <c r="L88" s="1094">
        <v>817</v>
      </c>
      <c r="M88" s="219">
        <f t="shared" si="4"/>
        <v>100</v>
      </c>
      <c r="N88" s="1086">
        <f t="shared" si="5"/>
        <v>17675</v>
      </c>
      <c r="O88" s="1096">
        <v>41674</v>
      </c>
      <c r="P88" s="202"/>
    </row>
    <row r="89" spans="1:16" x14ac:dyDescent="0.2">
      <c r="A89" s="196" t="s">
        <v>1038</v>
      </c>
      <c r="B89" s="194" t="s">
        <v>803</v>
      </c>
      <c r="C89" s="834">
        <v>9161268045</v>
      </c>
      <c r="D89" s="189">
        <v>41326</v>
      </c>
      <c r="E89" s="217">
        <v>41446</v>
      </c>
      <c r="F89" s="219">
        <v>5000</v>
      </c>
      <c r="G89" s="1097"/>
      <c r="H89" s="219">
        <v>5000</v>
      </c>
      <c r="I89" s="1097"/>
      <c r="J89" s="219">
        <v>3000</v>
      </c>
      <c r="K89" s="1085"/>
      <c r="L89" s="1094">
        <v>700</v>
      </c>
      <c r="M89" s="219">
        <f t="shared" si="4"/>
        <v>0</v>
      </c>
      <c r="N89" s="1086">
        <f t="shared" si="5"/>
        <v>8700</v>
      </c>
      <c r="O89" s="1096" t="s">
        <v>76</v>
      </c>
      <c r="P89" s="202"/>
    </row>
    <row r="90" spans="1:16" x14ac:dyDescent="0.2">
      <c r="A90" s="196" t="s">
        <v>738</v>
      </c>
      <c r="B90" s="188" t="s">
        <v>489</v>
      </c>
      <c r="C90" s="834">
        <v>9294139727</v>
      </c>
      <c r="D90" s="195">
        <v>41306</v>
      </c>
      <c r="E90" s="189">
        <v>41609</v>
      </c>
      <c r="F90" s="219">
        <v>19000</v>
      </c>
      <c r="G90" s="1097"/>
      <c r="H90" s="219">
        <v>16116</v>
      </c>
      <c r="I90" s="1097"/>
      <c r="J90" s="219">
        <v>5543</v>
      </c>
      <c r="K90" s="1085"/>
      <c r="L90" s="1094"/>
      <c r="M90" s="219">
        <f t="shared" si="4"/>
        <v>0</v>
      </c>
      <c r="N90" s="1086">
        <f t="shared" si="5"/>
        <v>21659</v>
      </c>
      <c r="O90" s="1096">
        <v>41660</v>
      </c>
      <c r="P90" s="202"/>
    </row>
    <row r="91" spans="1:16" x14ac:dyDescent="0.2">
      <c r="A91" s="196" t="s">
        <v>801</v>
      </c>
      <c r="B91" s="188" t="s">
        <v>1051</v>
      </c>
      <c r="C91" s="834"/>
      <c r="D91" s="189">
        <v>41260</v>
      </c>
      <c r="E91" s="217">
        <v>41381</v>
      </c>
      <c r="F91" s="219">
        <v>15000</v>
      </c>
      <c r="G91" s="1097"/>
      <c r="H91" s="219">
        <v>7460</v>
      </c>
      <c r="I91" s="1097"/>
      <c r="J91" s="219">
        <v>3495</v>
      </c>
      <c r="K91" s="1085"/>
      <c r="L91" s="1094">
        <v>1105</v>
      </c>
      <c r="M91" s="219">
        <f t="shared" si="4"/>
        <v>0</v>
      </c>
      <c r="N91" s="1086">
        <f t="shared" si="5"/>
        <v>12060</v>
      </c>
      <c r="O91" s="1096">
        <v>41624</v>
      </c>
      <c r="P91" s="202"/>
    </row>
    <row r="92" spans="1:16" x14ac:dyDescent="0.2">
      <c r="A92" s="196" t="s">
        <v>430</v>
      </c>
      <c r="B92" s="188" t="s">
        <v>107</v>
      </c>
      <c r="C92" s="834">
        <v>9068385677</v>
      </c>
      <c r="D92" s="195">
        <v>41447</v>
      </c>
      <c r="E92" s="217">
        <v>41569</v>
      </c>
      <c r="F92" s="219">
        <v>29000</v>
      </c>
      <c r="G92" s="1097"/>
      <c r="H92" s="219">
        <v>27700</v>
      </c>
      <c r="I92" s="1097"/>
      <c r="J92" s="219">
        <v>11040</v>
      </c>
      <c r="K92" s="1085"/>
      <c r="L92" s="1094">
        <v>1798</v>
      </c>
      <c r="M92" s="219">
        <f t="shared" si="4"/>
        <v>0</v>
      </c>
      <c r="N92" s="1086">
        <f t="shared" si="5"/>
        <v>40538</v>
      </c>
      <c r="O92" s="1096">
        <v>41514</v>
      </c>
      <c r="P92" s="202"/>
    </row>
    <row r="93" spans="1:16" x14ac:dyDescent="0.2">
      <c r="A93" s="196" t="s">
        <v>709</v>
      </c>
      <c r="B93" s="188" t="s">
        <v>710</v>
      </c>
      <c r="C93" s="834">
        <v>9399195978</v>
      </c>
      <c r="D93" s="189">
        <v>41198</v>
      </c>
      <c r="E93" s="217">
        <v>41380</v>
      </c>
      <c r="F93" s="219">
        <v>100000</v>
      </c>
      <c r="G93" s="1097"/>
      <c r="H93" s="219">
        <v>49546</v>
      </c>
      <c r="I93" s="1097"/>
      <c r="J93" s="219">
        <v>18401</v>
      </c>
      <c r="K93" s="1085"/>
      <c r="L93" s="1094">
        <v>5813</v>
      </c>
      <c r="M93" s="219">
        <f t="shared" si="4"/>
        <v>0</v>
      </c>
      <c r="N93" s="1086">
        <f t="shared" si="5"/>
        <v>73760</v>
      </c>
      <c r="O93" s="1096">
        <v>41576</v>
      </c>
      <c r="P93" s="202"/>
    </row>
    <row r="94" spans="1:16" x14ac:dyDescent="0.2">
      <c r="A94" s="196" t="s">
        <v>752</v>
      </c>
      <c r="B94" s="188" t="s">
        <v>753</v>
      </c>
      <c r="C94" s="834">
        <v>9161796936</v>
      </c>
      <c r="D94" s="189">
        <v>40989</v>
      </c>
      <c r="E94" s="217">
        <v>41305</v>
      </c>
      <c r="F94" s="219">
        <v>50000</v>
      </c>
      <c r="G94" s="1097">
        <v>800</v>
      </c>
      <c r="H94" s="219">
        <v>7950</v>
      </c>
      <c r="I94" s="1097">
        <v>200</v>
      </c>
      <c r="J94" s="219">
        <v>5306</v>
      </c>
      <c r="K94" s="1085"/>
      <c r="L94" s="1094">
        <v>739</v>
      </c>
      <c r="M94" s="219">
        <f t="shared" si="4"/>
        <v>1000</v>
      </c>
      <c r="N94" s="1086">
        <f t="shared" si="5"/>
        <v>13995</v>
      </c>
      <c r="O94" s="1096">
        <v>41675</v>
      </c>
      <c r="P94" s="202"/>
    </row>
    <row r="95" spans="1:16" x14ac:dyDescent="0.2">
      <c r="A95" s="878" t="s">
        <v>1338</v>
      </c>
      <c r="B95" s="556" t="s">
        <v>1339</v>
      </c>
      <c r="C95" s="879">
        <v>9276405005</v>
      </c>
      <c r="D95" s="1077">
        <v>41477</v>
      </c>
      <c r="E95" s="558">
        <v>41539</v>
      </c>
      <c r="F95" s="219">
        <v>5000</v>
      </c>
      <c r="G95" s="1097"/>
      <c r="H95" s="219">
        <v>2470</v>
      </c>
      <c r="I95" s="1097"/>
      <c r="J95" s="219">
        <v>766</v>
      </c>
      <c r="K95" s="1085"/>
      <c r="L95" s="1094">
        <v>34</v>
      </c>
      <c r="M95" s="219">
        <f t="shared" si="4"/>
        <v>0</v>
      </c>
      <c r="N95" s="1086">
        <f t="shared" si="5"/>
        <v>3270</v>
      </c>
      <c r="O95" s="1096">
        <v>42000</v>
      </c>
      <c r="P95" s="202"/>
    </row>
    <row r="96" spans="1:16" x14ac:dyDescent="0.2">
      <c r="A96" s="196" t="s">
        <v>1183</v>
      </c>
      <c r="B96" s="188" t="s">
        <v>1167</v>
      </c>
      <c r="C96" s="834">
        <v>9165084939</v>
      </c>
      <c r="D96" s="189">
        <v>41169</v>
      </c>
      <c r="E96" s="217">
        <v>41350</v>
      </c>
      <c r="F96" s="219">
        <v>25000</v>
      </c>
      <c r="G96" s="1097"/>
      <c r="H96" s="219">
        <v>22570</v>
      </c>
      <c r="I96" s="1097"/>
      <c r="J96" s="219">
        <v>16980</v>
      </c>
      <c r="K96" s="1085"/>
      <c r="L96" s="1094">
        <v>1827</v>
      </c>
      <c r="M96" s="219">
        <f t="shared" si="4"/>
        <v>0</v>
      </c>
      <c r="N96" s="1086">
        <f t="shared" si="5"/>
        <v>41377</v>
      </c>
      <c r="O96" s="1096">
        <v>41645</v>
      </c>
      <c r="P96" s="202"/>
    </row>
    <row r="97" spans="1:16" x14ac:dyDescent="0.2">
      <c r="A97" s="196" t="s">
        <v>1009</v>
      </c>
      <c r="B97" s="188" t="s">
        <v>1010</v>
      </c>
      <c r="C97" s="834">
        <v>9062671807</v>
      </c>
      <c r="D97" s="189">
        <v>41144</v>
      </c>
      <c r="E97" s="217">
        <v>41387</v>
      </c>
      <c r="F97" s="219">
        <v>10000</v>
      </c>
      <c r="G97" s="1097"/>
      <c r="H97" s="219">
        <v>5500</v>
      </c>
      <c r="I97" s="1097"/>
      <c r="J97" s="219">
        <v>3563</v>
      </c>
      <c r="K97" s="1085"/>
      <c r="L97" s="1094">
        <v>453</v>
      </c>
      <c r="M97" s="219">
        <f t="shared" si="4"/>
        <v>0</v>
      </c>
      <c r="N97" s="1086">
        <f t="shared" si="5"/>
        <v>9516</v>
      </c>
      <c r="O97" s="1096">
        <v>41598</v>
      </c>
      <c r="P97" s="202" t="s">
        <v>884</v>
      </c>
    </row>
    <row r="98" spans="1:16" x14ac:dyDescent="0.2">
      <c r="A98" s="196" t="s">
        <v>565</v>
      </c>
      <c r="B98" s="188" t="s">
        <v>566</v>
      </c>
      <c r="C98" s="834">
        <v>9158267075</v>
      </c>
      <c r="D98" s="189">
        <v>41185</v>
      </c>
      <c r="E98" s="217">
        <v>41489</v>
      </c>
      <c r="F98" s="219">
        <v>20000</v>
      </c>
      <c r="G98" s="1097"/>
      <c r="H98" s="219">
        <v>20000</v>
      </c>
      <c r="I98" s="1097"/>
      <c r="J98" s="219">
        <v>16000</v>
      </c>
      <c r="K98" s="1085"/>
      <c r="L98" s="1094">
        <v>2100</v>
      </c>
      <c r="M98" s="219">
        <f t="shared" si="4"/>
        <v>0</v>
      </c>
      <c r="N98" s="1086">
        <f t="shared" si="5"/>
        <v>38100</v>
      </c>
      <c r="O98" s="1096" t="s">
        <v>76</v>
      </c>
      <c r="P98" s="202"/>
    </row>
    <row r="99" spans="1:16" x14ac:dyDescent="0.2">
      <c r="A99" s="196" t="s">
        <v>494</v>
      </c>
      <c r="B99" s="188" t="s">
        <v>443</v>
      </c>
      <c r="C99" s="834">
        <v>9168580277</v>
      </c>
      <c r="D99" s="195">
        <v>41269</v>
      </c>
      <c r="E99" s="217">
        <v>41573</v>
      </c>
      <c r="F99" s="219">
        <v>25000</v>
      </c>
      <c r="G99" s="1097">
        <v>2000</v>
      </c>
      <c r="H99" s="219">
        <v>20600</v>
      </c>
      <c r="I99" s="1097">
        <v>1000</v>
      </c>
      <c r="J99" s="219">
        <v>10760</v>
      </c>
      <c r="K99" s="1085"/>
      <c r="L99" s="1094">
        <v>1985</v>
      </c>
      <c r="M99" s="219">
        <f t="shared" si="4"/>
        <v>3000</v>
      </c>
      <c r="N99" s="1086">
        <f t="shared" si="5"/>
        <v>33345</v>
      </c>
      <c r="O99" s="1096">
        <v>41692</v>
      </c>
      <c r="P99" s="202"/>
    </row>
    <row r="100" spans="1:16" x14ac:dyDescent="0.2">
      <c r="A100" s="196" t="s">
        <v>1055</v>
      </c>
      <c r="B100" s="188" t="s">
        <v>397</v>
      </c>
      <c r="C100" s="834">
        <v>9065246692</v>
      </c>
      <c r="D100" s="189">
        <v>41166</v>
      </c>
      <c r="E100" s="217">
        <v>41408</v>
      </c>
      <c r="F100" s="219">
        <v>12000</v>
      </c>
      <c r="G100" s="1097"/>
      <c r="H100" s="219">
        <v>3540</v>
      </c>
      <c r="I100" s="1097"/>
      <c r="J100" s="219">
        <v>3055</v>
      </c>
      <c r="K100" s="1085"/>
      <c r="L100" s="1094">
        <v>1638</v>
      </c>
      <c r="M100" s="219">
        <f t="shared" si="4"/>
        <v>0</v>
      </c>
      <c r="N100" s="1086">
        <f t="shared" si="5"/>
        <v>8233</v>
      </c>
      <c r="O100" s="1096">
        <v>41576</v>
      </c>
      <c r="P100" s="202"/>
    </row>
    <row r="101" spans="1:16" x14ac:dyDescent="0.2">
      <c r="A101" s="196" t="s">
        <v>834</v>
      </c>
      <c r="B101" s="188" t="s">
        <v>835</v>
      </c>
      <c r="C101" s="834">
        <v>9359352911</v>
      </c>
      <c r="D101" s="189">
        <v>41085</v>
      </c>
      <c r="E101" s="217">
        <v>41024</v>
      </c>
      <c r="F101" s="219">
        <v>36000</v>
      </c>
      <c r="G101" s="1097"/>
      <c r="H101" s="219">
        <v>31100</v>
      </c>
      <c r="I101" s="1097"/>
      <c r="J101" s="219">
        <v>22490</v>
      </c>
      <c r="K101" s="1085"/>
      <c r="L101" s="1094">
        <v>5148</v>
      </c>
      <c r="M101" s="219">
        <f t="shared" si="4"/>
        <v>0</v>
      </c>
      <c r="N101" s="1086">
        <f t="shared" si="5"/>
        <v>58738</v>
      </c>
      <c r="O101" s="1096">
        <v>41613</v>
      </c>
      <c r="P101" s="202"/>
    </row>
    <row r="102" spans="1:16" x14ac:dyDescent="0.2">
      <c r="A102" s="196" t="s">
        <v>866</v>
      </c>
      <c r="B102" s="188" t="s">
        <v>702</v>
      </c>
      <c r="C102" s="834"/>
      <c r="D102" s="189">
        <v>41355</v>
      </c>
      <c r="E102" s="217">
        <v>41508</v>
      </c>
      <c r="F102" s="219">
        <v>3000</v>
      </c>
      <c r="G102" s="1097"/>
      <c r="H102" s="219">
        <v>3000</v>
      </c>
      <c r="I102" s="1097"/>
      <c r="J102" s="219">
        <v>1800</v>
      </c>
      <c r="K102" s="1085"/>
      <c r="L102" s="1094">
        <v>494</v>
      </c>
      <c r="M102" s="219">
        <f t="shared" si="4"/>
        <v>0</v>
      </c>
      <c r="N102" s="1086">
        <f t="shared" si="5"/>
        <v>5294</v>
      </c>
      <c r="O102" s="1096" t="s">
        <v>76</v>
      </c>
      <c r="P102" s="202"/>
    </row>
    <row r="103" spans="1:16" x14ac:dyDescent="0.2">
      <c r="A103" s="196" t="s">
        <v>651</v>
      </c>
      <c r="B103" s="194" t="s">
        <v>495</v>
      </c>
      <c r="C103" s="834">
        <v>9169894825</v>
      </c>
      <c r="D103" s="195">
        <v>41309</v>
      </c>
      <c r="E103" s="195" t="s">
        <v>1014</v>
      </c>
      <c r="F103" s="219">
        <v>18000</v>
      </c>
      <c r="G103" s="1097">
        <v>1500</v>
      </c>
      <c r="H103" s="219">
        <v>16500</v>
      </c>
      <c r="I103" s="1097">
        <v>3000</v>
      </c>
      <c r="J103" s="219">
        <v>4000</v>
      </c>
      <c r="K103" s="1085"/>
      <c r="L103" s="1094">
        <v>1503</v>
      </c>
      <c r="M103" s="219">
        <f t="shared" si="4"/>
        <v>4500</v>
      </c>
      <c r="N103" s="1086">
        <f t="shared" si="5"/>
        <v>22003</v>
      </c>
      <c r="O103" s="1096">
        <v>41697</v>
      </c>
      <c r="P103" s="202"/>
    </row>
    <row r="104" spans="1:16" x14ac:dyDescent="0.2">
      <c r="A104" s="196" t="s">
        <v>1016</v>
      </c>
      <c r="B104" s="188" t="s">
        <v>1017</v>
      </c>
      <c r="C104" s="834">
        <v>9177478707</v>
      </c>
      <c r="D104" s="189">
        <v>41145</v>
      </c>
      <c r="E104" s="217">
        <v>41449</v>
      </c>
      <c r="F104" s="219">
        <v>20000</v>
      </c>
      <c r="G104" s="1084"/>
      <c r="H104" s="219">
        <v>9625</v>
      </c>
      <c r="I104" s="1097"/>
      <c r="J104" s="219">
        <v>1151</v>
      </c>
      <c r="K104" s="1085"/>
      <c r="L104" s="1094">
        <v>1297</v>
      </c>
      <c r="M104" s="219">
        <f t="shared" si="4"/>
        <v>0</v>
      </c>
      <c r="N104" s="1086">
        <f t="shared" si="5"/>
        <v>12073</v>
      </c>
      <c r="O104" s="1096">
        <v>41646</v>
      </c>
      <c r="P104" s="202" t="s">
        <v>884</v>
      </c>
    </row>
    <row r="105" spans="1:16" x14ac:dyDescent="0.2">
      <c r="A105" s="196" t="s">
        <v>1433</v>
      </c>
      <c r="B105" s="198" t="s">
        <v>1298</v>
      </c>
      <c r="C105" s="834">
        <v>9151127788</v>
      </c>
      <c r="D105" s="195">
        <v>41464</v>
      </c>
      <c r="E105" s="217">
        <v>41617</v>
      </c>
      <c r="F105" s="219">
        <v>60000</v>
      </c>
      <c r="G105" s="1084"/>
      <c r="H105" s="219">
        <v>60000</v>
      </c>
      <c r="I105" s="1097">
        <v>6000</v>
      </c>
      <c r="J105" s="219">
        <v>3000</v>
      </c>
      <c r="K105" s="1085">
        <v>1000</v>
      </c>
      <c r="L105" s="1094">
        <v>1075</v>
      </c>
      <c r="M105" s="219">
        <f t="shared" si="4"/>
        <v>7000</v>
      </c>
      <c r="N105" s="1086">
        <f t="shared" si="5"/>
        <v>64075</v>
      </c>
      <c r="O105" s="1096">
        <v>41681</v>
      </c>
      <c r="P105" s="202"/>
    </row>
    <row r="106" spans="1:16" x14ac:dyDescent="0.2">
      <c r="A106" s="196" t="s">
        <v>652</v>
      </c>
      <c r="B106" s="188" t="s">
        <v>461</v>
      </c>
      <c r="C106" s="834">
        <v>9102369861</v>
      </c>
      <c r="D106" s="189">
        <v>41327</v>
      </c>
      <c r="E106" s="217">
        <v>41447</v>
      </c>
      <c r="F106" s="219">
        <v>15000</v>
      </c>
      <c r="G106" s="1084"/>
      <c r="H106" s="219">
        <v>3549</v>
      </c>
      <c r="I106" s="1097"/>
      <c r="J106" s="219">
        <v>1241</v>
      </c>
      <c r="K106" s="1085"/>
      <c r="L106" s="1094">
        <v>245</v>
      </c>
      <c r="M106" s="219">
        <f t="shared" si="4"/>
        <v>0</v>
      </c>
      <c r="N106" s="1086">
        <f t="shared" si="5"/>
        <v>5035</v>
      </c>
      <c r="O106" s="1096">
        <v>41838</v>
      </c>
      <c r="P106" s="202"/>
    </row>
    <row r="107" spans="1:16" x14ac:dyDescent="0.2">
      <c r="A107" s="196" t="s">
        <v>1024</v>
      </c>
      <c r="B107" s="188" t="s">
        <v>756</v>
      </c>
      <c r="C107" s="834"/>
      <c r="D107" s="189">
        <v>41153</v>
      </c>
      <c r="E107" s="217">
        <v>41333</v>
      </c>
      <c r="F107" s="219">
        <v>6500</v>
      </c>
      <c r="G107" s="1097">
        <v>100</v>
      </c>
      <c r="H107" s="219">
        <v>1100</v>
      </c>
      <c r="I107" s="1097">
        <v>600</v>
      </c>
      <c r="J107" s="219">
        <v>375</v>
      </c>
      <c r="K107" s="1085">
        <v>100</v>
      </c>
      <c r="L107" s="1094">
        <v>56</v>
      </c>
      <c r="M107" s="219">
        <f t="shared" si="4"/>
        <v>800</v>
      </c>
      <c r="N107" s="1086">
        <f t="shared" si="5"/>
        <v>1531</v>
      </c>
      <c r="O107" s="1096">
        <v>41690</v>
      </c>
      <c r="P107" s="202"/>
    </row>
    <row r="108" spans="1:16" x14ac:dyDescent="0.2">
      <c r="A108" s="196" t="s">
        <v>711</v>
      </c>
      <c r="B108" s="188" t="s">
        <v>514</v>
      </c>
      <c r="C108" s="834">
        <v>9264467708</v>
      </c>
      <c r="D108" s="195">
        <v>41246</v>
      </c>
      <c r="E108" s="217">
        <v>41550</v>
      </c>
      <c r="F108" s="219">
        <v>3200</v>
      </c>
      <c r="G108" s="1084">
        <v>1400</v>
      </c>
      <c r="H108" s="219">
        <v>1641</v>
      </c>
      <c r="I108" s="1097">
        <v>155</v>
      </c>
      <c r="J108" s="219">
        <v>464</v>
      </c>
      <c r="K108" s="1085"/>
      <c r="L108" s="1094">
        <v>167</v>
      </c>
      <c r="M108" s="219">
        <f t="shared" si="4"/>
        <v>1555</v>
      </c>
      <c r="N108" s="1086">
        <f t="shared" si="5"/>
        <v>2272</v>
      </c>
      <c r="O108" s="1096">
        <v>41698</v>
      </c>
      <c r="P108" s="202"/>
    </row>
    <row r="109" spans="1:16" x14ac:dyDescent="0.2">
      <c r="A109" s="196" t="s">
        <v>530</v>
      </c>
      <c r="B109" s="188" t="s">
        <v>9</v>
      </c>
      <c r="C109" s="834">
        <v>9066462134</v>
      </c>
      <c r="D109" s="189">
        <v>40996</v>
      </c>
      <c r="E109" s="217">
        <v>41302</v>
      </c>
      <c r="F109" s="219">
        <v>17000</v>
      </c>
      <c r="G109" s="1097"/>
      <c r="H109" s="219">
        <v>5050</v>
      </c>
      <c r="I109" s="1097"/>
      <c r="J109" s="219">
        <v>4460</v>
      </c>
      <c r="K109" s="1085"/>
      <c r="L109" s="1094">
        <v>500</v>
      </c>
      <c r="M109" s="219">
        <f t="shared" si="4"/>
        <v>0</v>
      </c>
      <c r="N109" s="1086">
        <f t="shared" si="5"/>
        <v>10010</v>
      </c>
      <c r="O109" s="1096">
        <v>41552</v>
      </c>
      <c r="P109" s="202" t="s">
        <v>1227</v>
      </c>
    </row>
    <row r="110" spans="1:16" x14ac:dyDescent="0.2">
      <c r="A110" s="196" t="s">
        <v>1219</v>
      </c>
      <c r="B110" s="188" t="s">
        <v>692</v>
      </c>
      <c r="C110" s="834">
        <v>9068659202</v>
      </c>
      <c r="D110" s="195">
        <v>41447</v>
      </c>
      <c r="E110" s="189">
        <v>41630</v>
      </c>
      <c r="F110" s="219">
        <v>5500</v>
      </c>
      <c r="G110" s="1097">
        <v>2073</v>
      </c>
      <c r="H110" s="219">
        <v>3427</v>
      </c>
      <c r="I110" s="1097">
        <v>800</v>
      </c>
      <c r="J110" s="219"/>
      <c r="K110" s="1085">
        <v>127</v>
      </c>
      <c r="L110" s="1094">
        <v>301</v>
      </c>
      <c r="M110" s="219">
        <f t="shared" si="4"/>
        <v>3000</v>
      </c>
      <c r="N110" s="1086">
        <f t="shared" si="5"/>
        <v>3728</v>
      </c>
      <c r="O110" s="1096">
        <v>41694</v>
      </c>
      <c r="P110" s="202"/>
    </row>
    <row r="111" spans="1:16" x14ac:dyDescent="0.2">
      <c r="A111" s="196" t="s">
        <v>567</v>
      </c>
      <c r="B111" s="188" t="s">
        <v>568</v>
      </c>
      <c r="C111" s="834">
        <v>9193816130</v>
      </c>
      <c r="D111" s="195">
        <v>41305</v>
      </c>
      <c r="E111" s="1082" t="s">
        <v>1021</v>
      </c>
      <c r="F111" s="219">
        <v>60000</v>
      </c>
      <c r="G111" s="1084"/>
      <c r="H111" s="219">
        <v>42000</v>
      </c>
      <c r="I111" s="1097"/>
      <c r="J111" s="219">
        <v>4200</v>
      </c>
      <c r="K111" s="1085"/>
      <c r="L111" s="1094">
        <v>8510</v>
      </c>
      <c r="M111" s="219">
        <f t="shared" si="4"/>
        <v>0</v>
      </c>
      <c r="N111" s="1086">
        <f t="shared" si="5"/>
        <v>54710</v>
      </c>
      <c r="O111" s="1096">
        <v>41619</v>
      </c>
      <c r="P111" s="202"/>
    </row>
    <row r="112" spans="1:16" x14ac:dyDescent="0.2">
      <c r="A112" s="196" t="s">
        <v>1042</v>
      </c>
      <c r="B112" s="188" t="s">
        <v>1043</v>
      </c>
      <c r="C112" s="834">
        <v>9265024793</v>
      </c>
      <c r="D112" s="195">
        <v>41326</v>
      </c>
      <c r="E112" s="189">
        <v>41629</v>
      </c>
      <c r="F112" s="536">
        <v>12500</v>
      </c>
      <c r="G112" s="1120"/>
      <c r="H112" s="536">
        <v>10700</v>
      </c>
      <c r="I112" s="1102"/>
      <c r="J112" s="536">
        <v>5685</v>
      </c>
      <c r="K112" s="1103"/>
      <c r="L112" s="1104">
        <v>819</v>
      </c>
      <c r="M112" s="219">
        <f t="shared" si="4"/>
        <v>0</v>
      </c>
      <c r="N112" s="1086">
        <f t="shared" si="5"/>
        <v>17204</v>
      </c>
      <c r="O112" s="1096">
        <v>41624</v>
      </c>
      <c r="P112" s="202"/>
    </row>
    <row r="113" spans="1:16" x14ac:dyDescent="0.2">
      <c r="A113" s="196" t="s">
        <v>1018</v>
      </c>
      <c r="B113" s="188" t="s">
        <v>550</v>
      </c>
      <c r="C113" s="834">
        <v>9496378432</v>
      </c>
      <c r="D113" s="195">
        <v>41495</v>
      </c>
      <c r="E113" s="189">
        <v>41617</v>
      </c>
      <c r="F113" s="536">
        <v>13500</v>
      </c>
      <c r="G113" s="1120">
        <v>1680</v>
      </c>
      <c r="H113" s="536">
        <v>11820</v>
      </c>
      <c r="I113" s="1102">
        <v>3375</v>
      </c>
      <c r="J113" s="536"/>
      <c r="K113" s="1103">
        <v>945</v>
      </c>
      <c r="L113" s="1104">
        <v>945</v>
      </c>
      <c r="M113" s="219">
        <f t="shared" si="4"/>
        <v>6000</v>
      </c>
      <c r="N113" s="1086">
        <f t="shared" si="5"/>
        <v>12765</v>
      </c>
      <c r="O113" s="1096">
        <v>41671</v>
      </c>
      <c r="P113" s="202"/>
    </row>
    <row r="114" spans="1:16" ht="12.75" customHeight="1" x14ac:dyDescent="0.2">
      <c r="A114" s="196" t="s">
        <v>529</v>
      </c>
      <c r="B114" s="188" t="s">
        <v>398</v>
      </c>
      <c r="C114" s="834">
        <v>9059778688</v>
      </c>
      <c r="D114" s="195">
        <v>41303</v>
      </c>
      <c r="E114" s="217">
        <v>41607</v>
      </c>
      <c r="F114" s="536">
        <v>8000</v>
      </c>
      <c r="G114" s="1102"/>
      <c r="H114" s="536">
        <v>7150</v>
      </c>
      <c r="I114" s="1102"/>
      <c r="J114" s="536">
        <v>4721</v>
      </c>
      <c r="K114" s="1103"/>
      <c r="L114" s="1104">
        <v>557</v>
      </c>
      <c r="M114" s="219">
        <f t="shared" si="4"/>
        <v>0</v>
      </c>
      <c r="N114" s="1086">
        <f t="shared" si="5"/>
        <v>12428</v>
      </c>
      <c r="O114" s="1096">
        <v>41535</v>
      </c>
      <c r="P114" s="202"/>
    </row>
    <row r="115" spans="1:16" ht="12.75" customHeight="1" x14ac:dyDescent="0.2">
      <c r="A115" s="196" t="s">
        <v>1322</v>
      </c>
      <c r="B115" s="188" t="s">
        <v>668</v>
      </c>
      <c r="C115" s="834">
        <v>9359782558</v>
      </c>
      <c r="D115" s="195">
        <v>41544</v>
      </c>
      <c r="E115" s="217">
        <v>41605</v>
      </c>
      <c r="F115" s="536">
        <v>16000</v>
      </c>
      <c r="G115" s="1102"/>
      <c r="H115" s="536">
        <v>16000</v>
      </c>
      <c r="I115" s="1102"/>
      <c r="J115" s="536">
        <v>1516</v>
      </c>
      <c r="K115" s="1103"/>
      <c r="L115" s="1104"/>
      <c r="M115" s="219">
        <f t="shared" si="4"/>
        <v>0</v>
      </c>
      <c r="N115" s="1086">
        <f t="shared" si="5"/>
        <v>17516</v>
      </c>
      <c r="O115" s="1096">
        <v>41667</v>
      </c>
      <c r="P115" s="202"/>
    </row>
    <row r="116" spans="1:16" ht="12.75" customHeight="1" x14ac:dyDescent="0.2">
      <c r="A116" s="196" t="s">
        <v>531</v>
      </c>
      <c r="B116" s="188" t="s">
        <v>394</v>
      </c>
      <c r="C116" s="834">
        <v>9352388878</v>
      </c>
      <c r="D116" s="189">
        <v>41200</v>
      </c>
      <c r="E116" s="217">
        <v>41382</v>
      </c>
      <c r="F116" s="536">
        <v>15000</v>
      </c>
      <c r="G116" s="1102"/>
      <c r="H116" s="536">
        <v>14550</v>
      </c>
      <c r="I116" s="1102"/>
      <c r="J116" s="536">
        <v>5855</v>
      </c>
      <c r="K116" s="1103"/>
      <c r="L116" s="1104">
        <v>2167</v>
      </c>
      <c r="M116" s="219">
        <f t="shared" si="4"/>
        <v>0</v>
      </c>
      <c r="N116" s="1086">
        <f t="shared" si="5"/>
        <v>22572</v>
      </c>
      <c r="O116" s="1096">
        <v>41209</v>
      </c>
      <c r="P116" s="202" t="s">
        <v>1116</v>
      </c>
    </row>
    <row r="117" spans="1:16" ht="12.75" customHeight="1" x14ac:dyDescent="0.2">
      <c r="A117" s="196" t="s">
        <v>1200</v>
      </c>
      <c r="B117" s="194" t="s">
        <v>540</v>
      </c>
      <c r="C117" s="834">
        <v>9267615197</v>
      </c>
      <c r="D117" s="195">
        <v>41435</v>
      </c>
      <c r="E117" s="189">
        <v>41618</v>
      </c>
      <c r="F117" s="536">
        <v>20000</v>
      </c>
      <c r="G117" s="1102"/>
      <c r="H117" s="536">
        <v>20000</v>
      </c>
      <c r="I117" s="1102"/>
      <c r="J117" s="536">
        <v>5000</v>
      </c>
      <c r="K117" s="1103"/>
      <c r="L117" s="1104">
        <v>1200</v>
      </c>
      <c r="M117" s="219">
        <f t="shared" si="4"/>
        <v>0</v>
      </c>
      <c r="N117" s="1086">
        <f t="shared" si="5"/>
        <v>26200</v>
      </c>
      <c r="O117" s="1096" t="s">
        <v>859</v>
      </c>
      <c r="P117" s="202"/>
    </row>
    <row r="118" spans="1:16" ht="12.75" customHeight="1" x14ac:dyDescent="0.2">
      <c r="A118" s="196" t="s">
        <v>679</v>
      </c>
      <c r="B118" s="280" t="s">
        <v>18</v>
      </c>
      <c r="C118" s="835">
        <v>9084991379</v>
      </c>
      <c r="D118" s="531">
        <v>41261</v>
      </c>
      <c r="E118" s="670">
        <v>41382</v>
      </c>
      <c r="F118" s="536">
        <v>4500</v>
      </c>
      <c r="G118" s="1102"/>
      <c r="H118" s="536">
        <v>2124</v>
      </c>
      <c r="I118" s="1102"/>
      <c r="J118" s="536">
        <v>482</v>
      </c>
      <c r="K118" s="1103"/>
      <c r="L118" s="1104">
        <v>328</v>
      </c>
      <c r="M118" s="219">
        <f t="shared" si="4"/>
        <v>0</v>
      </c>
      <c r="N118" s="1086">
        <f t="shared" si="5"/>
        <v>2934</v>
      </c>
      <c r="O118" s="1096">
        <v>41670</v>
      </c>
      <c r="P118" s="202"/>
    </row>
    <row r="119" spans="1:16" ht="12.75" customHeight="1" x14ac:dyDescent="0.2">
      <c r="A119" s="196" t="s">
        <v>1250</v>
      </c>
      <c r="B119" s="188" t="s">
        <v>672</v>
      </c>
      <c r="C119" s="834"/>
      <c r="D119" s="189">
        <v>41121</v>
      </c>
      <c r="E119" s="217">
        <v>41424</v>
      </c>
      <c r="F119" s="536">
        <v>15000</v>
      </c>
      <c r="G119" s="1102"/>
      <c r="H119" s="536">
        <v>15000</v>
      </c>
      <c r="I119" s="1102"/>
      <c r="J119" s="536">
        <v>12200</v>
      </c>
      <c r="K119" s="1103"/>
      <c r="L119" s="1104">
        <v>2447</v>
      </c>
      <c r="M119" s="219">
        <f t="shared" si="4"/>
        <v>0</v>
      </c>
      <c r="N119" s="1086">
        <f t="shared" si="5"/>
        <v>29647</v>
      </c>
      <c r="O119" s="1096">
        <v>41509</v>
      </c>
      <c r="P119" s="202"/>
    </row>
    <row r="120" spans="1:16" ht="12.75" customHeight="1" x14ac:dyDescent="0.2">
      <c r="A120" s="188" t="s">
        <v>714</v>
      </c>
      <c r="B120" s="280" t="s">
        <v>715</v>
      </c>
      <c r="C120" s="835"/>
      <c r="D120" s="1078">
        <v>41426</v>
      </c>
      <c r="E120" s="531">
        <v>41609</v>
      </c>
      <c r="F120" s="536">
        <v>7500</v>
      </c>
      <c r="G120" s="1102">
        <v>690</v>
      </c>
      <c r="H120" s="536">
        <v>6170</v>
      </c>
      <c r="I120" s="1102">
        <v>150</v>
      </c>
      <c r="J120" s="536">
        <v>2668</v>
      </c>
      <c r="K120" s="1103"/>
      <c r="L120" s="1104">
        <v>450</v>
      </c>
      <c r="M120" s="219">
        <f t="shared" si="4"/>
        <v>840</v>
      </c>
      <c r="N120" s="1086">
        <f t="shared" si="5"/>
        <v>9288</v>
      </c>
      <c r="O120" s="1096">
        <v>41698</v>
      </c>
      <c r="P120" s="202"/>
    </row>
    <row r="121" spans="1:16" ht="12" customHeight="1" x14ac:dyDescent="0.2">
      <c r="A121" s="1105" t="s">
        <v>693</v>
      </c>
      <c r="B121" s="1105" t="s">
        <v>497</v>
      </c>
      <c r="C121" s="1106">
        <v>9056077225</v>
      </c>
      <c r="D121" s="189">
        <v>41222</v>
      </c>
      <c r="E121" s="1107">
        <v>41464</v>
      </c>
      <c r="F121" s="219">
        <v>9000</v>
      </c>
      <c r="G121" s="1097"/>
      <c r="H121" s="536">
        <v>9000</v>
      </c>
      <c r="I121" s="1102">
        <v>2751</v>
      </c>
      <c r="J121" s="536">
        <v>1694</v>
      </c>
      <c r="K121" s="1103">
        <v>249</v>
      </c>
      <c r="L121" s="1104">
        <v>627</v>
      </c>
      <c r="M121" s="219">
        <f t="shared" ref="M121:M123" si="6">G121+I121+K121</f>
        <v>3000</v>
      </c>
      <c r="N121" s="1086">
        <f t="shared" ref="N121:N123" si="7">H121+J121+L121</f>
        <v>11321</v>
      </c>
      <c r="O121" s="1096">
        <v>41673</v>
      </c>
      <c r="P121" s="202"/>
    </row>
    <row r="122" spans="1:16" ht="12" customHeight="1" x14ac:dyDescent="0.2">
      <c r="A122" s="188" t="s">
        <v>1057</v>
      </c>
      <c r="B122" s="188" t="s">
        <v>748</v>
      </c>
      <c r="C122" s="834">
        <v>9262154746</v>
      </c>
      <c r="D122" s="195">
        <v>41424</v>
      </c>
      <c r="E122" s="217">
        <v>41547</v>
      </c>
      <c r="F122" s="536">
        <v>3000</v>
      </c>
      <c r="G122" s="1102">
        <v>180</v>
      </c>
      <c r="H122" s="536">
        <v>2035</v>
      </c>
      <c r="I122" s="1102">
        <v>50</v>
      </c>
      <c r="J122" s="536">
        <v>275</v>
      </c>
      <c r="K122" s="1103"/>
      <c r="L122" s="1104">
        <v>136</v>
      </c>
      <c r="M122" s="219">
        <f t="shared" si="6"/>
        <v>230</v>
      </c>
      <c r="N122" s="1086">
        <f t="shared" si="7"/>
        <v>2446</v>
      </c>
      <c r="O122" s="1108">
        <v>41696</v>
      </c>
      <c r="P122" s="202"/>
    </row>
    <row r="123" spans="1:16" ht="12.75" customHeight="1" thickBot="1" x14ac:dyDescent="0.25">
      <c r="A123" s="709" t="s">
        <v>1056</v>
      </c>
      <c r="B123" s="709" t="s">
        <v>870</v>
      </c>
      <c r="C123" s="861">
        <v>9262154746</v>
      </c>
      <c r="D123" s="975">
        <v>41423</v>
      </c>
      <c r="E123" s="1083">
        <v>41607</v>
      </c>
      <c r="F123" s="862">
        <v>4000</v>
      </c>
      <c r="G123" s="1109">
        <v>295</v>
      </c>
      <c r="H123" s="862">
        <v>3195</v>
      </c>
      <c r="I123" s="1109">
        <v>125</v>
      </c>
      <c r="J123" s="862">
        <v>1312</v>
      </c>
      <c r="K123" s="1110"/>
      <c r="L123" s="1111">
        <v>257</v>
      </c>
      <c r="M123" s="219">
        <f t="shared" si="6"/>
        <v>420</v>
      </c>
      <c r="N123" s="1086">
        <f t="shared" si="7"/>
        <v>4764</v>
      </c>
      <c r="O123" s="1112">
        <v>41695</v>
      </c>
      <c r="P123" s="202"/>
    </row>
    <row r="124" spans="1:16" ht="12.75" thickBot="1" x14ac:dyDescent="0.25">
      <c r="A124" s="1113" t="s">
        <v>1445</v>
      </c>
      <c r="B124" s="1113"/>
      <c r="C124" s="1113"/>
      <c r="D124" s="1114"/>
      <c r="E124" s="1114"/>
      <c r="F124" s="1115">
        <f t="shared" ref="F124:N124" si="8">SUM(F9:F123)</f>
        <v>2071000</v>
      </c>
      <c r="G124" s="1116">
        <f t="shared" si="8"/>
        <v>23602</v>
      </c>
      <c r="H124" s="1117">
        <f t="shared" si="8"/>
        <v>1520953</v>
      </c>
      <c r="I124" s="1116">
        <f t="shared" si="8"/>
        <v>40272</v>
      </c>
      <c r="J124" s="1117">
        <f t="shared" si="8"/>
        <v>561959</v>
      </c>
      <c r="K124" s="1116">
        <f t="shared" si="8"/>
        <v>8768</v>
      </c>
      <c r="L124" s="1117">
        <f t="shared" si="8"/>
        <v>140707</v>
      </c>
      <c r="M124" s="1116">
        <f t="shared" si="8"/>
        <v>72642</v>
      </c>
      <c r="N124" s="1118">
        <f t="shared" si="8"/>
        <v>2223619</v>
      </c>
      <c r="O124" s="1119"/>
      <c r="P124" s="17"/>
    </row>
    <row r="125" spans="1:16" x14ac:dyDescent="0.2">
      <c r="A125" s="314"/>
      <c r="B125" s="314"/>
      <c r="C125" s="314"/>
      <c r="D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1049"/>
    </row>
  </sheetData>
  <sortState ref="A9:P161">
    <sortCondition ref="A9"/>
  </sortState>
  <mergeCells count="7">
    <mergeCell ref="A1:O1"/>
    <mergeCell ref="A2:O2"/>
    <mergeCell ref="A6:A8"/>
    <mergeCell ref="B6:B8"/>
    <mergeCell ref="D6:D8"/>
    <mergeCell ref="E6:E8"/>
    <mergeCell ref="H6:N6"/>
  </mergeCells>
  <pageMargins left="0.5" right="0.5" top="0.75" bottom="0.75" header="0.3" footer="0.3"/>
  <pageSetup paperSize="5" orientation="landscape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85"/>
  <sheetViews>
    <sheetView topLeftCell="A25" workbookViewId="0">
      <selection activeCell="A84" sqref="A84:XFD84"/>
    </sheetView>
  </sheetViews>
  <sheetFormatPr defaultRowHeight="15" x14ac:dyDescent="0.25"/>
  <cols>
    <col min="1" max="1" width="19" customWidth="1"/>
    <col min="2" max="2" width="15.42578125" customWidth="1"/>
    <col min="3" max="3" width="8.42578125" customWidth="1"/>
    <col min="4" max="4" width="8.28515625" customWidth="1"/>
    <col min="5" max="5" width="11.5703125" customWidth="1"/>
    <col min="7" max="7" width="10.85546875" customWidth="1"/>
    <col min="8" max="8" width="9.85546875" customWidth="1"/>
    <col min="9" max="9" width="11.140625" customWidth="1"/>
    <col min="10" max="10" width="10.28515625" customWidth="1"/>
    <col min="11" max="11" width="10.5703125" customWidth="1"/>
    <col min="12" max="12" width="10.140625" customWidth="1"/>
    <col min="13" max="13" width="11.28515625" customWidth="1"/>
    <col min="14" max="14" width="10.5703125" customWidth="1"/>
  </cols>
  <sheetData>
    <row r="1" spans="1:16" ht="15.75" x14ac:dyDescent="0.25">
      <c r="A1" s="1358" t="s">
        <v>87</v>
      </c>
      <c r="B1" s="1358"/>
      <c r="C1" s="1358"/>
      <c r="D1" s="1358"/>
      <c r="E1" s="1358"/>
      <c r="F1" s="1358"/>
      <c r="G1" s="1358"/>
      <c r="H1" s="1358"/>
      <c r="I1" s="1358"/>
      <c r="J1" s="1358"/>
      <c r="K1" s="1358"/>
      <c r="L1" s="1358"/>
      <c r="M1" s="1358"/>
      <c r="N1" s="1358"/>
      <c r="O1" s="349"/>
    </row>
    <row r="2" spans="1:16" ht="15.75" x14ac:dyDescent="0.25">
      <c r="A2" s="1359" t="s">
        <v>1221</v>
      </c>
      <c r="B2" s="1359"/>
      <c r="C2" s="1359"/>
      <c r="D2" s="1359"/>
      <c r="E2" s="1359"/>
      <c r="F2" s="1359"/>
      <c r="G2" s="1359"/>
      <c r="H2" s="1359"/>
      <c r="I2" s="1359"/>
      <c r="J2" s="1359"/>
      <c r="K2" s="1359"/>
      <c r="L2" s="1359"/>
      <c r="M2" s="1359"/>
      <c r="N2" s="1359"/>
      <c r="O2" s="350"/>
    </row>
    <row r="3" spans="1:16" ht="15.75" x14ac:dyDescent="0.25">
      <c r="A3" s="597"/>
      <c r="B3" s="597"/>
      <c r="C3" s="597"/>
      <c r="D3" s="597"/>
      <c r="E3" s="1125" t="s">
        <v>1487</v>
      </c>
      <c r="F3" s="597"/>
      <c r="G3" s="597"/>
      <c r="H3" s="597"/>
      <c r="I3" s="597"/>
      <c r="J3" s="597"/>
      <c r="K3" s="597"/>
      <c r="L3" s="597"/>
      <c r="M3" s="597"/>
      <c r="N3" s="597"/>
      <c r="O3" s="350"/>
    </row>
    <row r="4" spans="1:16" ht="15.75" x14ac:dyDescent="0.25">
      <c r="A4" s="974"/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350"/>
    </row>
    <row r="5" spans="1:16" ht="15.75" thickBot="1" x14ac:dyDescent="0.3">
      <c r="A5" s="976" t="s">
        <v>1222</v>
      </c>
      <c r="B5" s="599"/>
      <c r="C5" s="599"/>
      <c r="D5" s="599"/>
      <c r="E5" s="599"/>
      <c r="F5" s="599"/>
      <c r="G5" s="599"/>
      <c r="H5" s="599"/>
      <c r="I5" s="599"/>
      <c r="J5" s="599"/>
      <c r="K5" s="599"/>
      <c r="L5" s="599"/>
      <c r="M5" s="599"/>
      <c r="N5" s="599"/>
      <c r="O5" s="351"/>
    </row>
    <row r="6" spans="1:16" ht="15.75" thickBot="1" x14ac:dyDescent="0.3">
      <c r="A6" s="1361" t="s">
        <v>2</v>
      </c>
      <c r="B6" s="1361" t="s">
        <v>3</v>
      </c>
      <c r="C6" s="1361" t="s">
        <v>139</v>
      </c>
      <c r="D6" s="1364" t="s">
        <v>92</v>
      </c>
      <c r="E6" s="554"/>
      <c r="F6" s="551"/>
      <c r="G6" s="1360" t="s">
        <v>1486</v>
      </c>
      <c r="H6" s="1360"/>
      <c r="I6" s="1360"/>
      <c r="J6" s="1360"/>
      <c r="K6" s="1360"/>
      <c r="L6" s="1360"/>
      <c r="M6" s="1360"/>
      <c r="N6" s="296"/>
      <c r="O6" s="807"/>
    </row>
    <row r="7" spans="1:16" ht="15.75" thickBot="1" x14ac:dyDescent="0.3">
      <c r="A7" s="1362"/>
      <c r="B7" s="1362"/>
      <c r="C7" s="1362"/>
      <c r="D7" s="1365"/>
      <c r="E7" s="326" t="s">
        <v>406</v>
      </c>
      <c r="F7" s="552" t="s">
        <v>454</v>
      </c>
      <c r="G7" s="837" t="s">
        <v>6</v>
      </c>
      <c r="H7" s="241" t="s">
        <v>455</v>
      </c>
      <c r="I7" s="354" t="s">
        <v>19</v>
      </c>
      <c r="J7" s="241" t="s">
        <v>456</v>
      </c>
      <c r="K7" s="355" t="s">
        <v>80</v>
      </c>
      <c r="L7" s="241" t="s">
        <v>457</v>
      </c>
      <c r="M7" s="415" t="s">
        <v>400</v>
      </c>
      <c r="N7" s="357" t="s">
        <v>79</v>
      </c>
      <c r="O7" s="808" t="s">
        <v>418</v>
      </c>
    </row>
    <row r="8" spans="1:16" ht="15.75" thickBot="1" x14ac:dyDescent="0.3">
      <c r="A8" s="1363"/>
      <c r="B8" s="1363"/>
      <c r="C8" s="1363"/>
      <c r="D8" s="1366"/>
      <c r="E8" s="335"/>
      <c r="F8" s="553" t="s">
        <v>438</v>
      </c>
      <c r="G8" s="548"/>
      <c r="H8" s="247" t="s">
        <v>438</v>
      </c>
      <c r="I8" s="549"/>
      <c r="J8" s="247" t="s">
        <v>438</v>
      </c>
      <c r="K8" s="550"/>
      <c r="L8" s="247" t="s">
        <v>452</v>
      </c>
      <c r="M8" s="838"/>
      <c r="N8" s="333"/>
      <c r="O8" s="809"/>
    </row>
    <row r="9" spans="1:16" x14ac:dyDescent="0.25">
      <c r="A9" s="855" t="s">
        <v>954</v>
      </c>
      <c r="B9" s="855" t="s">
        <v>870</v>
      </c>
      <c r="C9" s="856">
        <v>40926</v>
      </c>
      <c r="D9" s="857">
        <v>41231</v>
      </c>
      <c r="E9" s="860">
        <v>8000</v>
      </c>
      <c r="F9" s="858"/>
      <c r="G9" s="859">
        <v>7400</v>
      </c>
      <c r="H9" s="858"/>
      <c r="I9" s="858">
        <v>8745</v>
      </c>
      <c r="J9" s="858"/>
      <c r="K9" s="858">
        <v>508</v>
      </c>
      <c r="L9" s="255">
        <f t="shared" ref="L9:L37" si="0">F9+H9+J9</f>
        <v>0</v>
      </c>
      <c r="M9" s="981">
        <f t="shared" ref="M9:M37" si="1">G9+I9+K9</f>
        <v>16653</v>
      </c>
      <c r="N9" s="870">
        <v>41540</v>
      </c>
      <c r="O9" s="854" t="s">
        <v>666</v>
      </c>
    </row>
    <row r="10" spans="1:16" x14ac:dyDescent="0.25">
      <c r="A10" s="81" t="s">
        <v>838</v>
      </c>
      <c r="B10" s="81" t="s">
        <v>1044</v>
      </c>
      <c r="C10" s="265">
        <v>41081</v>
      </c>
      <c r="D10" s="275">
        <v>41203</v>
      </c>
      <c r="E10" s="368">
        <v>6000</v>
      </c>
      <c r="F10" s="955"/>
      <c r="G10" s="868">
        <v>2820</v>
      </c>
      <c r="H10" s="256"/>
      <c r="I10" s="256">
        <v>2426</v>
      </c>
      <c r="J10" s="868"/>
      <c r="K10" s="868">
        <v>858</v>
      </c>
      <c r="L10" s="259">
        <f t="shared" si="0"/>
        <v>0</v>
      </c>
      <c r="M10" s="982">
        <f t="shared" si="1"/>
        <v>6104</v>
      </c>
      <c r="N10" s="983">
        <v>41197</v>
      </c>
      <c r="O10" s="616" t="s">
        <v>666</v>
      </c>
    </row>
    <row r="11" spans="1:16" ht="15.75" thickBot="1" x14ac:dyDescent="0.3">
      <c r="A11" s="81" t="s">
        <v>700</v>
      </c>
      <c r="B11" s="81" t="s">
        <v>956</v>
      </c>
      <c r="C11" s="265">
        <v>41265</v>
      </c>
      <c r="D11" s="275">
        <v>41143</v>
      </c>
      <c r="E11" s="368">
        <v>25000</v>
      </c>
      <c r="F11" s="795"/>
      <c r="G11" s="368">
        <v>8602</v>
      </c>
      <c r="H11" s="263"/>
      <c r="I11" s="263">
        <v>10880</v>
      </c>
      <c r="J11" s="368"/>
      <c r="K11" s="368">
        <v>1280</v>
      </c>
      <c r="L11" s="259">
        <f t="shared" si="0"/>
        <v>0</v>
      </c>
      <c r="M11" s="984">
        <f t="shared" si="1"/>
        <v>20762</v>
      </c>
      <c r="N11" s="983">
        <v>41033</v>
      </c>
      <c r="O11" s="616" t="s">
        <v>884</v>
      </c>
    </row>
    <row r="12" spans="1:16" ht="15.75" thickBot="1" x14ac:dyDescent="0.3">
      <c r="A12" s="81" t="s">
        <v>924</v>
      </c>
      <c r="B12" s="81" t="s">
        <v>14</v>
      </c>
      <c r="C12" s="265">
        <v>41124</v>
      </c>
      <c r="D12" s="275">
        <v>41216</v>
      </c>
      <c r="E12" s="368">
        <v>5000</v>
      </c>
      <c r="F12" s="795"/>
      <c r="G12" s="368">
        <v>3498</v>
      </c>
      <c r="H12" s="263"/>
      <c r="I12" s="263">
        <v>2098</v>
      </c>
      <c r="J12" s="368"/>
      <c r="K12" s="368">
        <v>1379</v>
      </c>
      <c r="L12" s="259">
        <f t="shared" si="0"/>
        <v>0</v>
      </c>
      <c r="M12" s="982">
        <f t="shared" si="1"/>
        <v>6975</v>
      </c>
      <c r="N12" s="985">
        <v>41318</v>
      </c>
      <c r="O12" s="977" t="s">
        <v>666</v>
      </c>
    </row>
    <row r="13" spans="1:16" x14ac:dyDescent="0.25">
      <c r="A13" s="81" t="s">
        <v>723</v>
      </c>
      <c r="B13" s="81" t="s">
        <v>9</v>
      </c>
      <c r="C13" s="265">
        <v>40855</v>
      </c>
      <c r="D13" s="275">
        <v>40947</v>
      </c>
      <c r="E13" s="368">
        <v>10000</v>
      </c>
      <c r="F13" s="795"/>
      <c r="G13" s="368">
        <v>1394</v>
      </c>
      <c r="H13" s="263"/>
      <c r="I13" s="263">
        <v>394</v>
      </c>
      <c r="J13" s="368"/>
      <c r="K13" s="368">
        <v>505</v>
      </c>
      <c r="L13" s="259"/>
      <c r="M13" s="982">
        <f t="shared" si="1"/>
        <v>2293</v>
      </c>
      <c r="N13" s="986">
        <v>41627</v>
      </c>
      <c r="O13" s="851" t="s">
        <v>666</v>
      </c>
      <c r="P13" s="625"/>
    </row>
    <row r="14" spans="1:16" x14ac:dyDescent="0.25">
      <c r="A14" s="81" t="s">
        <v>23</v>
      </c>
      <c r="B14" s="81" t="s">
        <v>9</v>
      </c>
      <c r="C14" s="265">
        <v>40767</v>
      </c>
      <c r="D14" s="275">
        <v>41011</v>
      </c>
      <c r="E14" s="368">
        <v>5700</v>
      </c>
      <c r="F14" s="795"/>
      <c r="G14" s="368">
        <v>2011</v>
      </c>
      <c r="H14" s="263"/>
      <c r="I14" s="263">
        <v>1340</v>
      </c>
      <c r="J14" s="368"/>
      <c r="K14" s="368">
        <v>489</v>
      </c>
      <c r="L14" s="259">
        <f t="shared" si="0"/>
        <v>0</v>
      </c>
      <c r="M14" s="982">
        <f t="shared" si="1"/>
        <v>3840</v>
      </c>
      <c r="N14" s="986">
        <v>41380</v>
      </c>
      <c r="O14" s="615" t="s">
        <v>666</v>
      </c>
      <c r="P14" s="625"/>
    </row>
    <row r="15" spans="1:16" x14ac:dyDescent="0.25">
      <c r="A15" s="298" t="s">
        <v>842</v>
      </c>
      <c r="B15" s="298" t="s">
        <v>843</v>
      </c>
      <c r="C15" s="260">
        <v>41231</v>
      </c>
      <c r="D15" s="299">
        <v>41047</v>
      </c>
      <c r="E15" s="259">
        <v>6400</v>
      </c>
      <c r="F15" s="630"/>
      <c r="G15" s="259">
        <v>6400</v>
      </c>
      <c r="H15" s="259"/>
      <c r="I15" s="259">
        <v>8640</v>
      </c>
      <c r="J15" s="259"/>
      <c r="K15" s="704">
        <v>2448</v>
      </c>
      <c r="L15" s="702">
        <f t="shared" si="0"/>
        <v>0</v>
      </c>
      <c r="M15" s="699">
        <f t="shared" si="1"/>
        <v>17488</v>
      </c>
      <c r="N15" s="987" t="s">
        <v>76</v>
      </c>
      <c r="O15" s="814" t="s">
        <v>666</v>
      </c>
      <c r="P15" s="625"/>
    </row>
    <row r="16" spans="1:16" x14ac:dyDescent="0.25">
      <c r="A16" s="298" t="s">
        <v>450</v>
      </c>
      <c r="B16" s="298" t="s">
        <v>451</v>
      </c>
      <c r="C16" s="260">
        <v>40728</v>
      </c>
      <c r="D16" s="299">
        <v>40922</v>
      </c>
      <c r="E16" s="259">
        <v>8000</v>
      </c>
      <c r="F16" s="630">
        <v>220</v>
      </c>
      <c r="G16" s="259">
        <v>5050</v>
      </c>
      <c r="H16" s="259"/>
      <c r="I16" s="259">
        <v>2829</v>
      </c>
      <c r="J16" s="259"/>
      <c r="K16" s="704">
        <v>1020</v>
      </c>
      <c r="L16" s="702">
        <f t="shared" si="0"/>
        <v>220</v>
      </c>
      <c r="M16" s="699">
        <f t="shared" si="1"/>
        <v>8899</v>
      </c>
      <c r="N16" s="987">
        <v>41690</v>
      </c>
      <c r="O16" s="814" t="s">
        <v>666</v>
      </c>
      <c r="P16" s="625"/>
    </row>
    <row r="17" spans="1:16" x14ac:dyDescent="0.25">
      <c r="A17" s="81" t="s">
        <v>761</v>
      </c>
      <c r="B17" s="81" t="s">
        <v>722</v>
      </c>
      <c r="C17" s="265">
        <v>40820</v>
      </c>
      <c r="D17" s="275">
        <v>40943</v>
      </c>
      <c r="E17" s="368">
        <v>5000</v>
      </c>
      <c r="F17" s="795"/>
      <c r="G17" s="368">
        <v>768</v>
      </c>
      <c r="H17" s="263"/>
      <c r="I17" s="263">
        <v>729</v>
      </c>
      <c r="J17" s="368"/>
      <c r="K17" s="368">
        <v>144</v>
      </c>
      <c r="L17" s="259">
        <f t="shared" si="0"/>
        <v>0</v>
      </c>
      <c r="M17" s="699">
        <f t="shared" si="1"/>
        <v>1641</v>
      </c>
      <c r="N17" s="986">
        <v>41093</v>
      </c>
      <c r="O17" s="615" t="s">
        <v>666</v>
      </c>
      <c r="P17" s="625"/>
    </row>
    <row r="18" spans="1:16" x14ac:dyDescent="0.25">
      <c r="A18" s="81" t="s">
        <v>737</v>
      </c>
      <c r="B18" s="81" t="s">
        <v>879</v>
      </c>
      <c r="C18" s="265">
        <v>40962</v>
      </c>
      <c r="D18" s="275">
        <v>41144</v>
      </c>
      <c r="E18" s="368">
        <v>4000</v>
      </c>
      <c r="F18" s="795"/>
      <c r="G18" s="368">
        <v>1950</v>
      </c>
      <c r="H18" s="263"/>
      <c r="I18" s="263">
        <v>1622</v>
      </c>
      <c r="J18" s="368"/>
      <c r="K18" s="368">
        <v>226</v>
      </c>
      <c r="L18" s="259">
        <f t="shared" si="0"/>
        <v>0</v>
      </c>
      <c r="M18" s="984">
        <f t="shared" si="1"/>
        <v>3798</v>
      </c>
      <c r="N18" s="986">
        <v>41240</v>
      </c>
      <c r="O18" s="616" t="s">
        <v>666</v>
      </c>
      <c r="P18" s="625"/>
    </row>
    <row r="19" spans="1:16" ht="15.75" thickBot="1" x14ac:dyDescent="0.3">
      <c r="A19" s="81" t="s">
        <v>844</v>
      </c>
      <c r="B19" s="81" t="s">
        <v>845</v>
      </c>
      <c r="C19" s="265">
        <v>40875</v>
      </c>
      <c r="D19" s="275">
        <v>41057</v>
      </c>
      <c r="E19" s="368">
        <v>5000</v>
      </c>
      <c r="F19" s="795"/>
      <c r="G19" s="368">
        <v>2320</v>
      </c>
      <c r="H19" s="263"/>
      <c r="I19" s="263">
        <v>2165</v>
      </c>
      <c r="J19" s="368"/>
      <c r="K19" s="368">
        <v>2219</v>
      </c>
      <c r="L19" s="259">
        <f t="shared" si="0"/>
        <v>0</v>
      </c>
      <c r="M19" s="984">
        <f t="shared" si="1"/>
        <v>6704</v>
      </c>
      <c r="N19" s="986">
        <v>41121</v>
      </c>
      <c r="O19" s="852" t="s">
        <v>666</v>
      </c>
    </row>
    <row r="20" spans="1:16" x14ac:dyDescent="0.25">
      <c r="A20" s="81" t="s">
        <v>809</v>
      </c>
      <c r="B20" s="81" t="s">
        <v>810</v>
      </c>
      <c r="C20" s="265">
        <v>40897</v>
      </c>
      <c r="D20" s="275">
        <v>41019</v>
      </c>
      <c r="E20" s="368">
        <v>2000</v>
      </c>
      <c r="F20" s="795"/>
      <c r="G20" s="368">
        <v>1385</v>
      </c>
      <c r="H20" s="263"/>
      <c r="I20" s="263">
        <v>2004</v>
      </c>
      <c r="J20" s="368"/>
      <c r="K20" s="368">
        <v>95</v>
      </c>
      <c r="L20" s="255">
        <f t="shared" si="0"/>
        <v>0</v>
      </c>
      <c r="M20" s="984">
        <f t="shared" si="1"/>
        <v>3484</v>
      </c>
      <c r="N20" s="986">
        <v>41167</v>
      </c>
      <c r="O20" s="851" t="s">
        <v>666</v>
      </c>
    </row>
    <row r="21" spans="1:16" x14ac:dyDescent="0.25">
      <c r="A21" s="81" t="s">
        <v>959</v>
      </c>
      <c r="B21" s="81" t="s">
        <v>751</v>
      </c>
      <c r="C21" s="265">
        <v>41066</v>
      </c>
      <c r="D21" s="275">
        <v>41127</v>
      </c>
      <c r="E21" s="368">
        <v>40000</v>
      </c>
      <c r="F21" s="795"/>
      <c r="G21" s="368">
        <v>27100</v>
      </c>
      <c r="H21" s="263"/>
      <c r="I21" s="263">
        <v>14795</v>
      </c>
      <c r="J21" s="368"/>
      <c r="K21" s="368">
        <v>1485</v>
      </c>
      <c r="L21" s="259">
        <f t="shared" si="0"/>
        <v>0</v>
      </c>
      <c r="M21" s="984">
        <f t="shared" si="1"/>
        <v>43380</v>
      </c>
      <c r="N21" s="986">
        <v>41139</v>
      </c>
      <c r="O21" s="851" t="s">
        <v>1447</v>
      </c>
    </row>
    <row r="22" spans="1:16" x14ac:dyDescent="0.25">
      <c r="A22" s="81" t="s">
        <v>754</v>
      </c>
      <c r="B22" s="81" t="s">
        <v>755</v>
      </c>
      <c r="C22" s="265">
        <v>40998</v>
      </c>
      <c r="D22" s="275">
        <v>41212</v>
      </c>
      <c r="E22" s="368">
        <v>28500</v>
      </c>
      <c r="F22" s="795"/>
      <c r="G22" s="368">
        <v>28500</v>
      </c>
      <c r="H22" s="263"/>
      <c r="I22" s="263">
        <v>11675</v>
      </c>
      <c r="J22" s="368"/>
      <c r="K22" s="368">
        <v>2013</v>
      </c>
      <c r="L22" s="259">
        <f t="shared" si="0"/>
        <v>0</v>
      </c>
      <c r="M22" s="984">
        <f t="shared" si="1"/>
        <v>42188</v>
      </c>
      <c r="N22" s="986">
        <v>41328</v>
      </c>
      <c r="O22" s="1121" t="s">
        <v>884</v>
      </c>
    </row>
    <row r="23" spans="1:16" x14ac:dyDescent="0.25">
      <c r="A23" s="81" t="s">
        <v>846</v>
      </c>
      <c r="B23" s="81" t="s">
        <v>54</v>
      </c>
      <c r="C23" s="265">
        <v>40727</v>
      </c>
      <c r="D23" s="275">
        <v>41032</v>
      </c>
      <c r="E23" s="368">
        <v>47000</v>
      </c>
      <c r="F23" s="795"/>
      <c r="G23" s="368">
        <v>37625</v>
      </c>
      <c r="H23" s="263"/>
      <c r="I23" s="263">
        <v>55602</v>
      </c>
      <c r="J23" s="368"/>
      <c r="K23" s="368">
        <v>7214</v>
      </c>
      <c r="L23" s="259">
        <f t="shared" si="0"/>
        <v>0</v>
      </c>
      <c r="M23" s="984">
        <f t="shared" si="1"/>
        <v>100441</v>
      </c>
      <c r="N23" s="986">
        <v>41540</v>
      </c>
      <c r="O23" s="615" t="s">
        <v>666</v>
      </c>
    </row>
    <row r="24" spans="1:16" x14ac:dyDescent="0.25">
      <c r="A24" s="81" t="s">
        <v>961</v>
      </c>
      <c r="B24" s="81" t="s">
        <v>669</v>
      </c>
      <c r="C24" s="265">
        <v>41269</v>
      </c>
      <c r="D24" s="275">
        <v>41147</v>
      </c>
      <c r="E24" s="368">
        <v>43500</v>
      </c>
      <c r="F24" s="795"/>
      <c r="G24" s="368">
        <v>43500</v>
      </c>
      <c r="H24" s="263"/>
      <c r="I24" s="263">
        <v>36975</v>
      </c>
      <c r="J24" s="368"/>
      <c r="K24" s="368">
        <v>4567</v>
      </c>
      <c r="L24" s="259">
        <f t="shared" si="0"/>
        <v>0</v>
      </c>
      <c r="M24" s="984">
        <f t="shared" si="1"/>
        <v>85042</v>
      </c>
      <c r="N24" s="986" t="s">
        <v>76</v>
      </c>
      <c r="O24" s="615" t="s">
        <v>1446</v>
      </c>
    </row>
    <row r="25" spans="1:16" x14ac:dyDescent="0.25">
      <c r="A25" s="81" t="s">
        <v>958</v>
      </c>
      <c r="B25" s="81" t="s">
        <v>672</v>
      </c>
      <c r="C25" s="265">
        <v>41003</v>
      </c>
      <c r="D25" s="275">
        <v>41125</v>
      </c>
      <c r="E25" s="368">
        <v>8500</v>
      </c>
      <c r="F25" s="368"/>
      <c r="G25" s="368">
        <v>8300</v>
      </c>
      <c r="H25" s="263">
        <v>400</v>
      </c>
      <c r="I25" s="263">
        <v>8660</v>
      </c>
      <c r="J25" s="368">
        <v>60</v>
      </c>
      <c r="K25" s="368">
        <v>2079</v>
      </c>
      <c r="L25" s="259">
        <f t="shared" si="0"/>
        <v>460</v>
      </c>
      <c r="M25" s="982">
        <f t="shared" si="1"/>
        <v>19039</v>
      </c>
      <c r="N25" s="986">
        <v>41673</v>
      </c>
      <c r="O25" s="615" t="s">
        <v>666</v>
      </c>
    </row>
    <row r="26" spans="1:16" x14ac:dyDescent="0.25">
      <c r="A26" s="81" t="s">
        <v>960</v>
      </c>
      <c r="B26" s="81" t="s">
        <v>398</v>
      </c>
      <c r="C26" s="265">
        <v>40791</v>
      </c>
      <c r="D26" s="275">
        <v>41126</v>
      </c>
      <c r="E26" s="368">
        <v>10000</v>
      </c>
      <c r="F26" s="795">
        <v>500</v>
      </c>
      <c r="G26" s="368">
        <v>5900</v>
      </c>
      <c r="H26" s="263">
        <v>500</v>
      </c>
      <c r="I26" s="263">
        <v>3410</v>
      </c>
      <c r="J26" s="368"/>
      <c r="K26" s="368">
        <v>207</v>
      </c>
      <c r="L26" s="259">
        <f t="shared" si="0"/>
        <v>1000</v>
      </c>
      <c r="M26" s="982">
        <f t="shared" si="1"/>
        <v>9517</v>
      </c>
      <c r="N26" s="986">
        <v>41396</v>
      </c>
      <c r="O26" s="615" t="s">
        <v>1446</v>
      </c>
    </row>
    <row r="27" spans="1:16" x14ac:dyDescent="0.25">
      <c r="A27" s="81" t="s">
        <v>962</v>
      </c>
      <c r="B27" s="81" t="s">
        <v>511</v>
      </c>
      <c r="C27" s="265">
        <v>41018</v>
      </c>
      <c r="D27" s="275">
        <v>41109</v>
      </c>
      <c r="E27" s="368">
        <v>3000</v>
      </c>
      <c r="F27" s="795"/>
      <c r="G27" s="368">
        <v>2792</v>
      </c>
      <c r="H27" s="263"/>
      <c r="I27" s="263">
        <v>2743</v>
      </c>
      <c r="J27" s="368"/>
      <c r="K27" s="368">
        <v>736</v>
      </c>
      <c r="L27" s="259">
        <f t="shared" si="0"/>
        <v>0</v>
      </c>
      <c r="M27" s="982">
        <f t="shared" si="1"/>
        <v>6271</v>
      </c>
      <c r="N27" s="986">
        <v>41027</v>
      </c>
      <c r="O27" s="615" t="s">
        <v>666</v>
      </c>
    </row>
    <row r="28" spans="1:16" x14ac:dyDescent="0.25">
      <c r="A28" s="81" t="s">
        <v>816</v>
      </c>
      <c r="B28" s="81" t="s">
        <v>672</v>
      </c>
      <c r="C28" s="265">
        <v>40701</v>
      </c>
      <c r="D28" s="275">
        <v>41016</v>
      </c>
      <c r="E28" s="368">
        <v>10000</v>
      </c>
      <c r="F28" s="795">
        <v>300</v>
      </c>
      <c r="G28" s="368">
        <v>5000</v>
      </c>
      <c r="H28" s="263">
        <v>200</v>
      </c>
      <c r="I28" s="263">
        <v>4355.25</v>
      </c>
      <c r="J28" s="368"/>
      <c r="K28" s="368">
        <v>683</v>
      </c>
      <c r="L28" s="259">
        <f t="shared" si="0"/>
        <v>500</v>
      </c>
      <c r="M28" s="982">
        <f t="shared" si="1"/>
        <v>10038.25</v>
      </c>
      <c r="N28" s="986">
        <v>41698</v>
      </c>
      <c r="O28" s="615" t="s">
        <v>666</v>
      </c>
    </row>
    <row r="29" spans="1:16" x14ac:dyDescent="0.25">
      <c r="A29" s="81" t="s">
        <v>817</v>
      </c>
      <c r="B29" s="81" t="s">
        <v>818</v>
      </c>
      <c r="C29" s="265">
        <v>41069</v>
      </c>
      <c r="D29" s="275">
        <v>41008</v>
      </c>
      <c r="E29" s="368">
        <v>20000</v>
      </c>
      <c r="F29" s="795"/>
      <c r="G29" s="368">
        <v>5000</v>
      </c>
      <c r="H29" s="263"/>
      <c r="I29" s="263">
        <v>11000</v>
      </c>
      <c r="J29" s="368"/>
      <c r="K29" s="368">
        <v>1052</v>
      </c>
      <c r="L29" s="259">
        <f t="shared" si="0"/>
        <v>0</v>
      </c>
      <c r="M29" s="982">
        <f t="shared" si="1"/>
        <v>17052</v>
      </c>
      <c r="N29" s="986">
        <v>41001</v>
      </c>
      <c r="O29" s="615" t="s">
        <v>884</v>
      </c>
    </row>
    <row r="30" spans="1:16" x14ac:dyDescent="0.25">
      <c r="A30" s="81" t="s">
        <v>847</v>
      </c>
      <c r="B30" s="81" t="s">
        <v>848</v>
      </c>
      <c r="C30" s="265">
        <v>40956</v>
      </c>
      <c r="D30" s="275">
        <v>41046</v>
      </c>
      <c r="E30" s="368">
        <v>26000</v>
      </c>
      <c r="F30" s="795">
        <v>100</v>
      </c>
      <c r="G30" s="368">
        <v>25400</v>
      </c>
      <c r="H30" s="263">
        <v>200</v>
      </c>
      <c r="I30" s="263">
        <v>22860</v>
      </c>
      <c r="J30" s="368">
        <v>200</v>
      </c>
      <c r="K30" s="368">
        <v>1388</v>
      </c>
      <c r="L30" s="259">
        <f t="shared" si="0"/>
        <v>500</v>
      </c>
      <c r="M30" s="984">
        <f t="shared" si="1"/>
        <v>49648</v>
      </c>
      <c r="N30" s="986">
        <v>41680</v>
      </c>
      <c r="O30" s="615" t="s">
        <v>666</v>
      </c>
    </row>
    <row r="31" spans="1:16" x14ac:dyDescent="0.25">
      <c r="A31" s="81" t="s">
        <v>726</v>
      </c>
      <c r="B31" s="81" t="s">
        <v>54</v>
      </c>
      <c r="C31" s="265">
        <v>40665</v>
      </c>
      <c r="D31" s="275">
        <v>40910</v>
      </c>
      <c r="E31" s="368">
        <v>6000</v>
      </c>
      <c r="F31" s="795"/>
      <c r="G31" s="368">
        <v>3950</v>
      </c>
      <c r="H31" s="263"/>
      <c r="I31" s="263">
        <v>6224</v>
      </c>
      <c r="J31" s="368"/>
      <c r="K31" s="368">
        <v>1050</v>
      </c>
      <c r="L31" s="255">
        <f t="shared" si="0"/>
        <v>0</v>
      </c>
      <c r="M31" s="982">
        <f t="shared" si="1"/>
        <v>11224</v>
      </c>
      <c r="N31" s="986">
        <v>41292</v>
      </c>
      <c r="O31" s="617" t="s">
        <v>666</v>
      </c>
    </row>
    <row r="32" spans="1:16" x14ac:dyDescent="0.25">
      <c r="A32" s="81" t="s">
        <v>972</v>
      </c>
      <c r="B32" s="81" t="s">
        <v>973</v>
      </c>
      <c r="C32" s="265">
        <v>40948</v>
      </c>
      <c r="D32" s="275">
        <v>41191</v>
      </c>
      <c r="E32" s="368">
        <v>24000</v>
      </c>
      <c r="F32" s="795"/>
      <c r="G32" s="368">
        <v>16700</v>
      </c>
      <c r="H32" s="263"/>
      <c r="I32" s="263">
        <v>7917</v>
      </c>
      <c r="J32" s="368"/>
      <c r="K32" s="368">
        <v>1475</v>
      </c>
      <c r="L32" s="255">
        <f t="shared" si="0"/>
        <v>0</v>
      </c>
      <c r="M32" s="982">
        <f t="shared" si="1"/>
        <v>26092</v>
      </c>
      <c r="N32" s="986">
        <v>41606</v>
      </c>
      <c r="O32" s="615" t="s">
        <v>884</v>
      </c>
    </row>
    <row r="33" spans="1:15" x14ac:dyDescent="0.25">
      <c r="A33" s="81" t="s">
        <v>775</v>
      </c>
      <c r="B33" s="81" t="s">
        <v>398</v>
      </c>
      <c r="C33" s="265">
        <v>40862</v>
      </c>
      <c r="D33" s="275">
        <v>40983</v>
      </c>
      <c r="E33" s="368">
        <v>15000</v>
      </c>
      <c r="F33" s="795"/>
      <c r="G33" s="368">
        <v>14350</v>
      </c>
      <c r="H33" s="263"/>
      <c r="I33" s="263">
        <v>19372</v>
      </c>
      <c r="J33" s="368"/>
      <c r="K33" s="368">
        <v>6402</v>
      </c>
      <c r="L33" s="259">
        <f t="shared" si="0"/>
        <v>0</v>
      </c>
      <c r="M33" s="982">
        <f t="shared" si="1"/>
        <v>40124</v>
      </c>
      <c r="N33" s="986">
        <v>40904</v>
      </c>
      <c r="O33" s="615" t="s">
        <v>666</v>
      </c>
    </row>
    <row r="34" spans="1:15" x14ac:dyDescent="0.25">
      <c r="A34" s="81" t="s">
        <v>727</v>
      </c>
      <c r="B34" s="81" t="s">
        <v>27</v>
      </c>
      <c r="C34" s="265">
        <v>40788</v>
      </c>
      <c r="D34" s="275">
        <v>40910</v>
      </c>
      <c r="E34" s="368">
        <v>40000</v>
      </c>
      <c r="F34" s="795"/>
      <c r="G34" s="368">
        <v>28810</v>
      </c>
      <c r="H34" s="263"/>
      <c r="I34" s="263">
        <v>21023</v>
      </c>
      <c r="J34" s="368"/>
      <c r="K34" s="368">
        <v>5335</v>
      </c>
      <c r="L34" s="255">
        <f t="shared" si="0"/>
        <v>0</v>
      </c>
      <c r="M34" s="982">
        <f t="shared" si="1"/>
        <v>55168</v>
      </c>
      <c r="N34" s="986">
        <v>41335</v>
      </c>
      <c r="O34" s="615" t="s">
        <v>1446</v>
      </c>
    </row>
    <row r="35" spans="1:15" x14ac:dyDescent="0.25">
      <c r="A35" s="81" t="s">
        <v>496</v>
      </c>
      <c r="B35" s="81" t="s">
        <v>497</v>
      </c>
      <c r="C35" s="265">
        <v>40645</v>
      </c>
      <c r="D35" s="275">
        <v>40951</v>
      </c>
      <c r="E35" s="368">
        <v>6000</v>
      </c>
      <c r="F35" s="795"/>
      <c r="G35" s="368">
        <v>6000</v>
      </c>
      <c r="H35" s="263"/>
      <c r="I35" s="263">
        <v>6800</v>
      </c>
      <c r="J35" s="368"/>
      <c r="K35" s="368">
        <v>1055</v>
      </c>
      <c r="L35" s="255">
        <f t="shared" si="0"/>
        <v>0</v>
      </c>
      <c r="M35" s="982">
        <f t="shared" si="1"/>
        <v>13855</v>
      </c>
      <c r="N35" s="986">
        <v>41176</v>
      </c>
      <c r="O35" s="615" t="s">
        <v>1446</v>
      </c>
    </row>
    <row r="36" spans="1:15" x14ac:dyDescent="0.25">
      <c r="A36" s="81" t="s">
        <v>106</v>
      </c>
      <c r="B36" s="81" t="s">
        <v>927</v>
      </c>
      <c r="C36" s="265">
        <v>40984</v>
      </c>
      <c r="D36" s="275">
        <v>41106</v>
      </c>
      <c r="E36" s="368">
        <v>18000</v>
      </c>
      <c r="F36" s="795"/>
      <c r="G36" s="368">
        <v>18000</v>
      </c>
      <c r="H36" s="263"/>
      <c r="I36" s="263">
        <v>10200</v>
      </c>
      <c r="J36" s="368"/>
      <c r="K36" s="368">
        <v>3618</v>
      </c>
      <c r="L36" s="255">
        <f t="shared" si="0"/>
        <v>0</v>
      </c>
      <c r="M36" s="982">
        <f t="shared" si="1"/>
        <v>31818</v>
      </c>
      <c r="N36" s="986">
        <v>41647</v>
      </c>
      <c r="O36" s="615" t="s">
        <v>666</v>
      </c>
    </row>
    <row r="37" spans="1:15" x14ac:dyDescent="0.25">
      <c r="A37" s="81" t="s">
        <v>1223</v>
      </c>
      <c r="B37" s="81" t="s">
        <v>722</v>
      </c>
      <c r="C37" s="265">
        <v>40864</v>
      </c>
      <c r="D37" s="275">
        <v>40956</v>
      </c>
      <c r="E37" s="368">
        <v>5000</v>
      </c>
      <c r="F37" s="795"/>
      <c r="G37" s="368">
        <v>5000</v>
      </c>
      <c r="H37" s="263"/>
      <c r="I37" s="263">
        <v>4500</v>
      </c>
      <c r="J37" s="368"/>
      <c r="K37" s="368">
        <v>1437</v>
      </c>
      <c r="L37" s="255">
        <f t="shared" si="0"/>
        <v>0</v>
      </c>
      <c r="M37" s="982">
        <f t="shared" si="1"/>
        <v>10937</v>
      </c>
      <c r="N37" s="986" t="s">
        <v>76</v>
      </c>
      <c r="O37" s="615" t="s">
        <v>1446</v>
      </c>
    </row>
    <row r="38" spans="1:15" x14ac:dyDescent="0.25">
      <c r="A38" s="81" t="s">
        <v>794</v>
      </c>
      <c r="B38" s="81" t="s">
        <v>841</v>
      </c>
      <c r="C38" s="265">
        <v>41169</v>
      </c>
      <c r="D38" s="275">
        <v>41230</v>
      </c>
      <c r="E38" s="368">
        <v>3500</v>
      </c>
      <c r="F38" s="795"/>
      <c r="G38" s="368">
        <v>3239</v>
      </c>
      <c r="H38" s="263"/>
      <c r="I38" s="263">
        <v>3238</v>
      </c>
      <c r="J38" s="368"/>
      <c r="K38" s="368">
        <v>322</v>
      </c>
      <c r="L38" s="255">
        <f t="shared" ref="L38:M41" si="2">F38+H38+J38</f>
        <v>0</v>
      </c>
      <c r="M38" s="982">
        <f t="shared" si="2"/>
        <v>6799</v>
      </c>
      <c r="N38" s="986">
        <v>41271</v>
      </c>
      <c r="O38" s="615" t="s">
        <v>666</v>
      </c>
    </row>
    <row r="39" spans="1:15" x14ac:dyDescent="0.25">
      <c r="A39" s="81" t="s">
        <v>493</v>
      </c>
      <c r="B39" s="81" t="s">
        <v>21</v>
      </c>
      <c r="C39" s="265">
        <v>40745</v>
      </c>
      <c r="D39" s="275">
        <v>40928</v>
      </c>
      <c r="E39" s="368">
        <v>4000</v>
      </c>
      <c r="F39" s="795"/>
      <c r="G39" s="368">
        <v>400</v>
      </c>
      <c r="H39" s="263"/>
      <c r="I39" s="263">
        <v>1120</v>
      </c>
      <c r="J39" s="368"/>
      <c r="K39" s="368">
        <v>1092</v>
      </c>
      <c r="L39" s="255">
        <f t="shared" si="2"/>
        <v>0</v>
      </c>
      <c r="M39" s="982">
        <f t="shared" si="2"/>
        <v>2612</v>
      </c>
      <c r="N39" s="986">
        <v>41297</v>
      </c>
      <c r="O39" s="615" t="s">
        <v>666</v>
      </c>
    </row>
    <row r="40" spans="1:15" x14ac:dyDescent="0.25">
      <c r="A40" s="81" t="s">
        <v>703</v>
      </c>
      <c r="B40" s="81" t="s">
        <v>964</v>
      </c>
      <c r="C40" s="265">
        <v>41030</v>
      </c>
      <c r="D40" s="275">
        <v>41244</v>
      </c>
      <c r="E40" s="368">
        <v>5400</v>
      </c>
      <c r="F40" s="795"/>
      <c r="G40" s="368">
        <v>4400</v>
      </c>
      <c r="H40" s="263"/>
      <c r="I40" s="263">
        <v>2770</v>
      </c>
      <c r="J40" s="368"/>
      <c r="K40" s="368">
        <v>728</v>
      </c>
      <c r="L40" s="259">
        <f t="shared" si="2"/>
        <v>0</v>
      </c>
      <c r="M40" s="982">
        <f t="shared" si="2"/>
        <v>7898</v>
      </c>
      <c r="N40" s="986">
        <v>41325</v>
      </c>
      <c r="O40" s="615" t="s">
        <v>666</v>
      </c>
    </row>
    <row r="41" spans="1:15" x14ac:dyDescent="0.25">
      <c r="A41" s="81" t="s">
        <v>965</v>
      </c>
      <c r="B41" s="81" t="s">
        <v>957</v>
      </c>
      <c r="C41" s="265">
        <v>40725</v>
      </c>
      <c r="D41" s="275">
        <v>41122</v>
      </c>
      <c r="E41" s="368">
        <v>25000</v>
      </c>
      <c r="F41" s="795"/>
      <c r="G41" s="368">
        <v>25000</v>
      </c>
      <c r="H41" s="263"/>
      <c r="I41" s="263">
        <v>37500</v>
      </c>
      <c r="J41" s="368"/>
      <c r="K41" s="368">
        <v>4000</v>
      </c>
      <c r="L41" s="255">
        <f t="shared" si="2"/>
        <v>0</v>
      </c>
      <c r="M41" s="982">
        <f t="shared" si="2"/>
        <v>66500</v>
      </c>
      <c r="N41" s="986" t="s">
        <v>76</v>
      </c>
      <c r="O41" s="615" t="s">
        <v>666</v>
      </c>
    </row>
    <row r="42" spans="1:15" x14ac:dyDescent="0.25">
      <c r="A42" s="81" t="s">
        <v>966</v>
      </c>
      <c r="B42" s="81" t="s">
        <v>967</v>
      </c>
      <c r="C42" s="265">
        <v>41477</v>
      </c>
      <c r="D42" s="275"/>
      <c r="E42" s="368">
        <v>50000</v>
      </c>
      <c r="F42" s="795"/>
      <c r="G42" s="368">
        <v>50000</v>
      </c>
      <c r="H42" s="263"/>
      <c r="I42" s="263">
        <v>5250</v>
      </c>
      <c r="J42" s="368"/>
      <c r="K42" s="368"/>
      <c r="L42" s="255">
        <f t="shared" ref="L42:L43" si="3">F42+H42+J42</f>
        <v>0</v>
      </c>
      <c r="M42" s="982">
        <f t="shared" ref="M42:M43" si="4">G42+I42+K42</f>
        <v>55250</v>
      </c>
      <c r="N42" s="986" t="s">
        <v>76</v>
      </c>
      <c r="O42" s="615" t="s">
        <v>666</v>
      </c>
    </row>
    <row r="43" spans="1:15" x14ac:dyDescent="0.25">
      <c r="A43" s="81" t="s">
        <v>966</v>
      </c>
      <c r="B43" s="81" t="s">
        <v>967</v>
      </c>
      <c r="C43" s="265">
        <v>41216</v>
      </c>
      <c r="D43" s="275"/>
      <c r="E43" s="368">
        <v>45000</v>
      </c>
      <c r="F43" s="795"/>
      <c r="G43" s="368">
        <v>45000</v>
      </c>
      <c r="H43" s="263"/>
      <c r="I43" s="263">
        <v>5400</v>
      </c>
      <c r="J43" s="368"/>
      <c r="K43" s="368"/>
      <c r="L43" s="255">
        <f t="shared" si="3"/>
        <v>0</v>
      </c>
      <c r="M43" s="982">
        <f t="shared" si="4"/>
        <v>50400</v>
      </c>
      <c r="N43" s="986" t="s">
        <v>76</v>
      </c>
      <c r="O43" s="615" t="s">
        <v>666</v>
      </c>
    </row>
    <row r="44" spans="1:15" x14ac:dyDescent="0.25">
      <c r="A44" s="81" t="s">
        <v>968</v>
      </c>
      <c r="B44" s="81" t="s">
        <v>669</v>
      </c>
      <c r="C44" s="265">
        <v>40843</v>
      </c>
      <c r="D44" s="275">
        <v>41148</v>
      </c>
      <c r="E44" s="368">
        <v>10000</v>
      </c>
      <c r="F44" s="795"/>
      <c r="G44" s="368">
        <v>6500</v>
      </c>
      <c r="H44" s="263"/>
      <c r="I44" s="263">
        <v>6357</v>
      </c>
      <c r="J44" s="368"/>
      <c r="K44" s="368">
        <v>1927</v>
      </c>
      <c r="L44" s="255">
        <f t="shared" ref="L44:M49" si="5">F44+H44+J44</f>
        <v>0</v>
      </c>
      <c r="M44" s="982">
        <f t="shared" si="5"/>
        <v>14784</v>
      </c>
      <c r="N44" s="986">
        <v>41456</v>
      </c>
      <c r="O44" s="615" t="s">
        <v>666</v>
      </c>
    </row>
    <row r="45" spans="1:15" x14ac:dyDescent="0.25">
      <c r="A45" s="81" t="s">
        <v>776</v>
      </c>
      <c r="B45" s="81" t="s">
        <v>9</v>
      </c>
      <c r="C45" s="265">
        <v>40676</v>
      </c>
      <c r="D45" s="275">
        <v>40981</v>
      </c>
      <c r="E45" s="368">
        <v>7000</v>
      </c>
      <c r="F45" s="795"/>
      <c r="G45" s="368">
        <v>6900</v>
      </c>
      <c r="H45" s="263"/>
      <c r="I45" s="263">
        <v>6900</v>
      </c>
      <c r="J45" s="368"/>
      <c r="K45" s="368">
        <v>1123</v>
      </c>
      <c r="L45" s="255">
        <f t="shared" si="5"/>
        <v>0</v>
      </c>
      <c r="M45" s="982">
        <f t="shared" si="5"/>
        <v>14923</v>
      </c>
      <c r="N45" s="986">
        <v>41121</v>
      </c>
      <c r="O45" s="615" t="s">
        <v>1446</v>
      </c>
    </row>
    <row r="46" spans="1:15" x14ac:dyDescent="0.25">
      <c r="A46" s="81" t="s">
        <v>518</v>
      </c>
      <c r="B46" s="81" t="s">
        <v>957</v>
      </c>
      <c r="C46" s="265">
        <v>40732</v>
      </c>
      <c r="D46" s="275">
        <v>41098</v>
      </c>
      <c r="E46" s="368">
        <v>20000</v>
      </c>
      <c r="F46" s="795"/>
      <c r="G46" s="368">
        <v>18000</v>
      </c>
      <c r="H46" s="263"/>
      <c r="I46" s="263">
        <v>24700</v>
      </c>
      <c r="J46" s="368"/>
      <c r="K46" s="368">
        <v>2560</v>
      </c>
      <c r="L46" s="255">
        <f t="shared" si="5"/>
        <v>0</v>
      </c>
      <c r="M46" s="982">
        <f t="shared" si="5"/>
        <v>45260</v>
      </c>
      <c r="N46" s="986">
        <v>41192</v>
      </c>
      <c r="O46" s="615" t="s">
        <v>666</v>
      </c>
    </row>
    <row r="47" spans="1:15" x14ac:dyDescent="0.25">
      <c r="A47" s="81" t="s">
        <v>969</v>
      </c>
      <c r="B47" s="81" t="s">
        <v>865</v>
      </c>
      <c r="C47" s="265">
        <v>40861</v>
      </c>
      <c r="D47" s="275">
        <v>41166</v>
      </c>
      <c r="E47" s="368">
        <v>40000</v>
      </c>
      <c r="F47" s="795"/>
      <c r="G47" s="368">
        <v>39650</v>
      </c>
      <c r="H47" s="263"/>
      <c r="I47" s="263">
        <v>53850</v>
      </c>
      <c r="J47" s="368"/>
      <c r="K47" s="368">
        <v>5950</v>
      </c>
      <c r="L47" s="255">
        <f t="shared" si="5"/>
        <v>0</v>
      </c>
      <c r="M47" s="982">
        <f t="shared" si="5"/>
        <v>99450</v>
      </c>
      <c r="N47" s="986">
        <v>40885</v>
      </c>
      <c r="O47" s="615" t="s">
        <v>666</v>
      </c>
    </row>
    <row r="48" spans="1:15" x14ac:dyDescent="0.25">
      <c r="A48" s="81" t="s">
        <v>795</v>
      </c>
      <c r="B48" s="81" t="s">
        <v>796</v>
      </c>
      <c r="C48" s="265">
        <v>41048</v>
      </c>
      <c r="D48" s="275">
        <v>41232</v>
      </c>
      <c r="E48" s="368">
        <v>50000</v>
      </c>
      <c r="F48" s="795"/>
      <c r="G48" s="368">
        <v>40000</v>
      </c>
      <c r="H48" s="263"/>
      <c r="I48" s="263">
        <v>37500</v>
      </c>
      <c r="J48" s="368"/>
      <c r="K48" s="368">
        <v>5150</v>
      </c>
      <c r="L48" s="255">
        <f t="shared" si="5"/>
        <v>0</v>
      </c>
      <c r="M48" s="982">
        <f t="shared" si="5"/>
        <v>82650</v>
      </c>
      <c r="N48" s="986">
        <v>41139</v>
      </c>
      <c r="O48" s="615" t="s">
        <v>666</v>
      </c>
    </row>
    <row r="49" spans="1:15" x14ac:dyDescent="0.25">
      <c r="A49" s="81" t="s">
        <v>795</v>
      </c>
      <c r="B49" s="81" t="s">
        <v>796</v>
      </c>
      <c r="C49" s="265">
        <v>41052</v>
      </c>
      <c r="D49" s="275">
        <v>41266</v>
      </c>
      <c r="E49" s="368">
        <v>50000</v>
      </c>
      <c r="F49" s="795"/>
      <c r="G49" s="368">
        <v>39995</v>
      </c>
      <c r="H49" s="263"/>
      <c r="I49" s="263">
        <v>35496</v>
      </c>
      <c r="J49" s="368"/>
      <c r="K49" s="368">
        <v>4948</v>
      </c>
      <c r="L49" s="255">
        <f t="shared" si="5"/>
        <v>0</v>
      </c>
      <c r="M49" s="982">
        <f t="shared" si="5"/>
        <v>80439</v>
      </c>
      <c r="N49" s="986">
        <v>41139</v>
      </c>
      <c r="O49" s="615" t="s">
        <v>666</v>
      </c>
    </row>
    <row r="50" spans="1:15" x14ac:dyDescent="0.25">
      <c r="A50" s="81" t="s">
        <v>777</v>
      </c>
      <c r="B50" s="81" t="s">
        <v>755</v>
      </c>
      <c r="C50" s="265">
        <v>40744</v>
      </c>
      <c r="D50" s="275">
        <v>40988</v>
      </c>
      <c r="E50" s="368">
        <v>155000</v>
      </c>
      <c r="F50" s="795"/>
      <c r="G50" s="368">
        <v>155000</v>
      </c>
      <c r="H50" s="263"/>
      <c r="I50" s="263">
        <v>202250</v>
      </c>
      <c r="J50" s="368"/>
      <c r="K50" s="368">
        <v>51924</v>
      </c>
      <c r="L50" s="255">
        <f t="shared" ref="L50:L64" si="6">F50+H50+J50</f>
        <v>0</v>
      </c>
      <c r="M50" s="982">
        <f>G50+I50</f>
        <v>357250</v>
      </c>
      <c r="N50" s="986">
        <v>41619</v>
      </c>
      <c r="O50" s="615" t="s">
        <v>666</v>
      </c>
    </row>
    <row r="51" spans="1:15" x14ac:dyDescent="0.25">
      <c r="A51" s="81" t="s">
        <v>974</v>
      </c>
      <c r="B51" s="81" t="s">
        <v>54</v>
      </c>
      <c r="C51" s="265">
        <v>41044</v>
      </c>
      <c r="D51" s="275">
        <v>41167</v>
      </c>
      <c r="E51" s="368">
        <v>5000</v>
      </c>
      <c r="F51" s="795"/>
      <c r="G51" s="368">
        <v>2250</v>
      </c>
      <c r="H51" s="263"/>
      <c r="I51" s="263">
        <v>2162</v>
      </c>
      <c r="J51" s="368"/>
      <c r="K51" s="368">
        <v>375</v>
      </c>
      <c r="L51" s="255">
        <f t="shared" si="6"/>
        <v>0</v>
      </c>
      <c r="M51" s="982">
        <f>G51+I51</f>
        <v>4412</v>
      </c>
      <c r="N51" s="986">
        <v>41302</v>
      </c>
      <c r="O51" s="615" t="s">
        <v>666</v>
      </c>
    </row>
    <row r="52" spans="1:15" x14ac:dyDescent="0.25">
      <c r="A52" s="81" t="s">
        <v>519</v>
      </c>
      <c r="B52" s="81" t="s">
        <v>728</v>
      </c>
      <c r="C52" s="265">
        <v>40574</v>
      </c>
      <c r="D52" s="275">
        <v>40939</v>
      </c>
      <c r="E52" s="368">
        <v>123000</v>
      </c>
      <c r="F52" s="795"/>
      <c r="G52" s="368">
        <v>122500</v>
      </c>
      <c r="H52" s="263"/>
      <c r="I52" s="263">
        <v>117950</v>
      </c>
      <c r="J52" s="368"/>
      <c r="K52" s="368">
        <v>10987</v>
      </c>
      <c r="L52" s="255">
        <f t="shared" si="6"/>
        <v>0</v>
      </c>
      <c r="M52" s="982">
        <f t="shared" ref="M52:M83" si="7">G52+I52+K52</f>
        <v>251437</v>
      </c>
      <c r="N52" s="986">
        <v>41174</v>
      </c>
      <c r="O52" s="615" t="s">
        <v>1227</v>
      </c>
    </row>
    <row r="53" spans="1:15" x14ac:dyDescent="0.25">
      <c r="A53" s="81" t="s">
        <v>1050</v>
      </c>
      <c r="B53" s="81" t="s">
        <v>721</v>
      </c>
      <c r="C53" s="265">
        <v>41057</v>
      </c>
      <c r="D53" s="275">
        <v>41180</v>
      </c>
      <c r="E53" s="368">
        <v>15000</v>
      </c>
      <c r="F53" s="795"/>
      <c r="G53" s="368">
        <v>2180</v>
      </c>
      <c r="H53" s="263"/>
      <c r="I53" s="263">
        <v>1861</v>
      </c>
      <c r="J53" s="368"/>
      <c r="K53" s="368">
        <v>1160</v>
      </c>
      <c r="L53" s="255">
        <f t="shared" si="6"/>
        <v>0</v>
      </c>
      <c r="M53" s="982">
        <f t="shared" si="7"/>
        <v>5201</v>
      </c>
      <c r="N53" s="986">
        <v>41325</v>
      </c>
      <c r="O53" s="615" t="s">
        <v>666</v>
      </c>
    </row>
    <row r="54" spans="1:15" x14ac:dyDescent="0.25">
      <c r="A54" s="81" t="s">
        <v>975</v>
      </c>
      <c r="B54" s="81" t="s">
        <v>499</v>
      </c>
      <c r="C54" s="265">
        <v>40949</v>
      </c>
      <c r="D54" s="275">
        <v>41131</v>
      </c>
      <c r="E54" s="368">
        <v>10000</v>
      </c>
      <c r="F54" s="795"/>
      <c r="G54" s="368">
        <v>4470</v>
      </c>
      <c r="H54" s="263"/>
      <c r="I54" s="263">
        <v>4855</v>
      </c>
      <c r="J54" s="368"/>
      <c r="K54" s="368">
        <v>624</v>
      </c>
      <c r="L54" s="255">
        <f t="shared" si="6"/>
        <v>0</v>
      </c>
      <c r="M54" s="982">
        <f t="shared" si="7"/>
        <v>9949</v>
      </c>
      <c r="N54" s="986">
        <v>41398</v>
      </c>
      <c r="O54" s="615" t="s">
        <v>666</v>
      </c>
    </row>
    <row r="55" spans="1:15" x14ac:dyDescent="0.25">
      <c r="A55" s="81" t="s">
        <v>977</v>
      </c>
      <c r="B55" s="81" t="s">
        <v>721</v>
      </c>
      <c r="C55" s="265">
        <v>41115</v>
      </c>
      <c r="D55" s="275">
        <v>41146</v>
      </c>
      <c r="E55" s="368">
        <v>3000</v>
      </c>
      <c r="F55" s="795"/>
      <c r="G55" s="368">
        <v>3000</v>
      </c>
      <c r="H55" s="263"/>
      <c r="I55" s="263">
        <v>1050</v>
      </c>
      <c r="J55" s="368"/>
      <c r="K55" s="368">
        <v>314</v>
      </c>
      <c r="L55" s="255">
        <f t="shared" si="6"/>
        <v>0</v>
      </c>
      <c r="M55" s="982">
        <f t="shared" si="7"/>
        <v>4364</v>
      </c>
      <c r="N55" s="986">
        <v>41481</v>
      </c>
      <c r="O55" s="615" t="s">
        <v>666</v>
      </c>
    </row>
    <row r="56" spans="1:15" x14ac:dyDescent="0.25">
      <c r="A56" s="81" t="s">
        <v>676</v>
      </c>
      <c r="B56" s="81" t="s">
        <v>978</v>
      </c>
      <c r="C56" s="265">
        <v>40844</v>
      </c>
      <c r="D56" s="275">
        <v>41149</v>
      </c>
      <c r="E56" s="368">
        <v>10000</v>
      </c>
      <c r="F56" s="795"/>
      <c r="G56" s="368">
        <v>10000</v>
      </c>
      <c r="H56" s="263"/>
      <c r="I56" s="263">
        <v>4500</v>
      </c>
      <c r="J56" s="368"/>
      <c r="K56" s="368">
        <v>725</v>
      </c>
      <c r="L56" s="255">
        <f t="shared" si="6"/>
        <v>0</v>
      </c>
      <c r="M56" s="982">
        <f t="shared" si="7"/>
        <v>15225</v>
      </c>
      <c r="N56" s="986" t="s">
        <v>76</v>
      </c>
      <c r="O56" s="615" t="s">
        <v>884</v>
      </c>
    </row>
    <row r="57" spans="1:15" x14ac:dyDescent="0.25">
      <c r="A57" s="81" t="s">
        <v>980</v>
      </c>
      <c r="B57" s="81" t="s">
        <v>873</v>
      </c>
      <c r="C57" s="265">
        <v>41106</v>
      </c>
      <c r="D57" s="275">
        <v>41229</v>
      </c>
      <c r="E57" s="368">
        <v>6000</v>
      </c>
      <c r="F57" s="795">
        <v>1500</v>
      </c>
      <c r="G57" s="368">
        <v>2272</v>
      </c>
      <c r="H57" s="263">
        <v>500</v>
      </c>
      <c r="I57" s="263">
        <v>1416</v>
      </c>
      <c r="J57" s="368"/>
      <c r="K57" s="368">
        <v>201</v>
      </c>
      <c r="L57" s="259">
        <f t="shared" si="6"/>
        <v>2000</v>
      </c>
      <c r="M57" s="982">
        <f t="shared" si="7"/>
        <v>3889</v>
      </c>
      <c r="N57" s="986">
        <v>41677</v>
      </c>
      <c r="O57" s="615" t="s">
        <v>666</v>
      </c>
    </row>
    <row r="58" spans="1:15" x14ac:dyDescent="0.25">
      <c r="A58" s="81" t="s">
        <v>880</v>
      </c>
      <c r="B58" s="81" t="s">
        <v>721</v>
      </c>
      <c r="C58" s="265">
        <v>41266</v>
      </c>
      <c r="D58" s="275">
        <v>41083</v>
      </c>
      <c r="E58" s="368">
        <v>8500</v>
      </c>
      <c r="F58" s="795"/>
      <c r="G58" s="368">
        <v>6900</v>
      </c>
      <c r="H58" s="263"/>
      <c r="I58" s="263">
        <v>6660</v>
      </c>
      <c r="J58" s="368"/>
      <c r="K58" s="368">
        <v>1262</v>
      </c>
      <c r="L58" s="259">
        <f t="shared" si="6"/>
        <v>0</v>
      </c>
      <c r="M58" s="982">
        <f t="shared" si="7"/>
        <v>14822</v>
      </c>
      <c r="N58" s="986">
        <v>41480</v>
      </c>
      <c r="O58" s="615" t="s">
        <v>666</v>
      </c>
    </row>
    <row r="59" spans="1:15" x14ac:dyDescent="0.25">
      <c r="A59" s="81" t="s">
        <v>778</v>
      </c>
      <c r="B59" s="81" t="s">
        <v>779</v>
      </c>
      <c r="C59" s="265">
        <v>40806</v>
      </c>
      <c r="D59" s="275">
        <v>40988</v>
      </c>
      <c r="E59" s="368">
        <v>17000</v>
      </c>
      <c r="F59" s="795"/>
      <c r="G59" s="368">
        <v>3000</v>
      </c>
      <c r="H59" s="263"/>
      <c r="I59" s="263">
        <v>5200</v>
      </c>
      <c r="J59" s="368"/>
      <c r="K59" s="368">
        <v>350</v>
      </c>
      <c r="L59" s="259">
        <f t="shared" si="6"/>
        <v>0</v>
      </c>
      <c r="M59" s="982">
        <f t="shared" si="7"/>
        <v>8550</v>
      </c>
      <c r="N59" s="986">
        <v>41034</v>
      </c>
      <c r="O59" s="1122" t="s">
        <v>1381</v>
      </c>
    </row>
    <row r="60" spans="1:15" x14ac:dyDescent="0.25">
      <c r="A60" s="81" t="s">
        <v>851</v>
      </c>
      <c r="B60" s="81" t="s">
        <v>672</v>
      </c>
      <c r="C60" s="265">
        <v>40903</v>
      </c>
      <c r="D60" s="275">
        <v>41056</v>
      </c>
      <c r="E60" s="368">
        <v>10000</v>
      </c>
      <c r="F60" s="795"/>
      <c r="G60" s="368">
        <v>9440</v>
      </c>
      <c r="H60" s="263"/>
      <c r="I60" s="263">
        <v>9912</v>
      </c>
      <c r="J60" s="368"/>
      <c r="K60" s="368">
        <v>2378</v>
      </c>
      <c r="L60" s="259">
        <f t="shared" si="6"/>
        <v>0</v>
      </c>
      <c r="M60" s="982">
        <f t="shared" si="7"/>
        <v>21730</v>
      </c>
      <c r="N60" s="986">
        <v>40946</v>
      </c>
      <c r="O60" s="615" t="s">
        <v>666</v>
      </c>
    </row>
    <row r="61" spans="1:15" x14ac:dyDescent="0.25">
      <c r="A61" s="81" t="s">
        <v>979</v>
      </c>
      <c r="B61" s="81" t="s">
        <v>955</v>
      </c>
      <c r="C61" s="265">
        <v>41039</v>
      </c>
      <c r="D61" s="275">
        <v>41223</v>
      </c>
      <c r="E61" s="368">
        <v>6000</v>
      </c>
      <c r="F61" s="795"/>
      <c r="G61" s="368">
        <v>1600</v>
      </c>
      <c r="H61" s="263"/>
      <c r="I61" s="263">
        <v>1817</v>
      </c>
      <c r="J61" s="368"/>
      <c r="K61" s="368">
        <v>540</v>
      </c>
      <c r="L61" s="259">
        <f t="shared" si="6"/>
        <v>0</v>
      </c>
      <c r="M61" s="982">
        <f t="shared" si="7"/>
        <v>3957</v>
      </c>
      <c r="N61" s="986">
        <v>41071</v>
      </c>
      <c r="O61" s="615" t="s">
        <v>666</v>
      </c>
    </row>
    <row r="62" spans="1:15" x14ac:dyDescent="0.25">
      <c r="A62" s="81" t="s">
        <v>819</v>
      </c>
      <c r="B62" s="81" t="s">
        <v>813</v>
      </c>
      <c r="C62" s="265">
        <v>41195</v>
      </c>
      <c r="D62" s="275">
        <v>41012</v>
      </c>
      <c r="E62" s="368">
        <v>4000</v>
      </c>
      <c r="F62" s="795"/>
      <c r="G62" s="368">
        <v>3010</v>
      </c>
      <c r="H62" s="263"/>
      <c r="I62" s="263">
        <v>2164</v>
      </c>
      <c r="J62" s="368"/>
      <c r="K62" s="368">
        <v>394</v>
      </c>
      <c r="L62" s="259">
        <f t="shared" si="6"/>
        <v>0</v>
      </c>
      <c r="M62" s="988">
        <f t="shared" si="7"/>
        <v>5568</v>
      </c>
      <c r="N62" s="986">
        <v>40917</v>
      </c>
      <c r="O62" s="615" t="s">
        <v>884</v>
      </c>
    </row>
    <row r="63" spans="1:15" x14ac:dyDescent="0.25">
      <c r="A63" s="81" t="s">
        <v>881</v>
      </c>
      <c r="B63" s="81" t="s">
        <v>882</v>
      </c>
      <c r="C63" s="265">
        <v>40764</v>
      </c>
      <c r="D63" s="275">
        <v>41069</v>
      </c>
      <c r="E63" s="368">
        <v>13000</v>
      </c>
      <c r="F63" s="795"/>
      <c r="G63" s="368">
        <v>12000</v>
      </c>
      <c r="H63" s="263"/>
      <c r="I63" s="263">
        <v>10568</v>
      </c>
      <c r="J63" s="368"/>
      <c r="K63" s="368">
        <v>2692</v>
      </c>
      <c r="L63" s="259">
        <f t="shared" si="6"/>
        <v>0</v>
      </c>
      <c r="M63" s="988">
        <f t="shared" si="7"/>
        <v>25260</v>
      </c>
      <c r="N63" s="986">
        <v>41410</v>
      </c>
      <c r="O63" s="615" t="s">
        <v>666</v>
      </c>
    </row>
    <row r="64" spans="1:15" x14ac:dyDescent="0.25">
      <c r="A64" s="607" t="s">
        <v>729</v>
      </c>
      <c r="B64" s="607" t="s">
        <v>870</v>
      </c>
      <c r="C64" s="989">
        <v>40750</v>
      </c>
      <c r="D64" s="990">
        <v>40934</v>
      </c>
      <c r="E64" s="780">
        <v>21000</v>
      </c>
      <c r="F64" s="991"/>
      <c r="G64" s="780">
        <v>17000</v>
      </c>
      <c r="H64" s="301"/>
      <c r="I64" s="301">
        <v>26724</v>
      </c>
      <c r="J64" s="780"/>
      <c r="K64" s="780">
        <v>3208</v>
      </c>
      <c r="L64" s="255">
        <f t="shared" si="6"/>
        <v>0</v>
      </c>
      <c r="M64" s="982">
        <f t="shared" ref="M64" si="8">G64+I64+K64</f>
        <v>46932</v>
      </c>
      <c r="N64" s="992">
        <v>41540</v>
      </c>
      <c r="O64" s="616" t="s">
        <v>666</v>
      </c>
    </row>
    <row r="65" spans="1:15" x14ac:dyDescent="0.25">
      <c r="A65" s="607" t="s">
        <v>523</v>
      </c>
      <c r="B65" s="607" t="s">
        <v>984</v>
      </c>
      <c r="C65" s="989">
        <v>40877</v>
      </c>
      <c r="D65" s="990">
        <v>41182</v>
      </c>
      <c r="E65" s="780">
        <v>28000</v>
      </c>
      <c r="F65" s="991"/>
      <c r="G65" s="780">
        <v>24000</v>
      </c>
      <c r="H65" s="301"/>
      <c r="I65" s="301">
        <v>25400</v>
      </c>
      <c r="J65" s="780"/>
      <c r="K65" s="780">
        <v>9274</v>
      </c>
      <c r="L65" s="259">
        <f>F65+H65+J65</f>
        <v>0</v>
      </c>
      <c r="M65" s="982">
        <f t="shared" si="7"/>
        <v>58674</v>
      </c>
      <c r="N65" s="992">
        <v>41425</v>
      </c>
      <c r="O65" s="616" t="s">
        <v>666</v>
      </c>
    </row>
    <row r="66" spans="1:15" x14ac:dyDescent="0.25">
      <c r="A66" s="607" t="s">
        <v>820</v>
      </c>
      <c r="B66" s="607" t="s">
        <v>672</v>
      </c>
      <c r="C66" s="989">
        <v>40721</v>
      </c>
      <c r="D66" s="990">
        <v>41026</v>
      </c>
      <c r="E66" s="780">
        <v>150000</v>
      </c>
      <c r="F66" s="991"/>
      <c r="G66" s="780">
        <v>145000</v>
      </c>
      <c r="H66" s="301"/>
      <c r="I66" s="301">
        <v>154250</v>
      </c>
      <c r="J66" s="780"/>
      <c r="K66" s="780">
        <v>10125</v>
      </c>
      <c r="L66" s="259">
        <f>F66+H66+J66</f>
        <v>0</v>
      </c>
      <c r="M66" s="982">
        <f t="shared" si="7"/>
        <v>309375</v>
      </c>
      <c r="N66" s="992">
        <v>41383</v>
      </c>
      <c r="O66" s="616" t="s">
        <v>884</v>
      </c>
    </row>
    <row r="67" spans="1:15" x14ac:dyDescent="0.25">
      <c r="A67" s="607" t="s">
        <v>983</v>
      </c>
      <c r="B67" s="607" t="s">
        <v>803</v>
      </c>
      <c r="C67" s="989">
        <v>41136</v>
      </c>
      <c r="D67" s="990">
        <v>41258</v>
      </c>
      <c r="E67" s="780">
        <v>2500</v>
      </c>
      <c r="F67" s="991"/>
      <c r="G67" s="780">
        <v>490</v>
      </c>
      <c r="H67" s="301"/>
      <c r="I67" s="301">
        <v>269</v>
      </c>
      <c r="J67" s="780"/>
      <c r="K67" s="780">
        <v>350</v>
      </c>
      <c r="L67" s="255">
        <f t="shared" ref="L67:L83" si="9">F67+H67+J67</f>
        <v>0</v>
      </c>
      <c r="M67" s="982">
        <f t="shared" si="7"/>
        <v>1109</v>
      </c>
      <c r="N67" s="992">
        <v>41337</v>
      </c>
      <c r="O67" s="616" t="s">
        <v>666</v>
      </c>
    </row>
    <row r="68" spans="1:15" x14ac:dyDescent="0.25">
      <c r="A68" s="607" t="s">
        <v>773</v>
      </c>
      <c r="B68" s="607" t="s">
        <v>774</v>
      </c>
      <c r="C68" s="989">
        <v>40861</v>
      </c>
      <c r="D68" s="990">
        <v>40982</v>
      </c>
      <c r="E68" s="780">
        <v>13000</v>
      </c>
      <c r="F68" s="991"/>
      <c r="G68" s="780">
        <v>6870</v>
      </c>
      <c r="H68" s="301"/>
      <c r="I68" s="301">
        <v>9390</v>
      </c>
      <c r="J68" s="780"/>
      <c r="K68" s="780">
        <v>2348</v>
      </c>
      <c r="L68" s="255">
        <f t="shared" si="9"/>
        <v>0</v>
      </c>
      <c r="M68" s="982">
        <f t="shared" si="7"/>
        <v>18608</v>
      </c>
      <c r="N68" s="992">
        <v>41276</v>
      </c>
      <c r="O68" s="616" t="s">
        <v>666</v>
      </c>
    </row>
    <row r="69" spans="1:15" x14ac:dyDescent="0.25">
      <c r="A69" s="607" t="s">
        <v>850</v>
      </c>
      <c r="B69" s="607" t="s">
        <v>830</v>
      </c>
      <c r="C69" s="989">
        <v>40856</v>
      </c>
      <c r="D69" s="990">
        <v>41038</v>
      </c>
      <c r="E69" s="780">
        <v>10000</v>
      </c>
      <c r="F69" s="991"/>
      <c r="G69" s="780">
        <v>1925</v>
      </c>
      <c r="H69" s="301"/>
      <c r="I69" s="301">
        <v>2021</v>
      </c>
      <c r="J69" s="780"/>
      <c r="K69" s="780">
        <v>1164</v>
      </c>
      <c r="L69" s="259">
        <f t="shared" si="9"/>
        <v>0</v>
      </c>
      <c r="M69" s="982">
        <f t="shared" si="7"/>
        <v>5110</v>
      </c>
      <c r="N69" s="992">
        <v>41059</v>
      </c>
      <c r="O69" s="616" t="s">
        <v>666</v>
      </c>
    </row>
    <row r="70" spans="1:15" x14ac:dyDescent="0.25">
      <c r="A70" s="607" t="s">
        <v>780</v>
      </c>
      <c r="B70" s="607" t="s">
        <v>774</v>
      </c>
      <c r="C70" s="989">
        <v>40773</v>
      </c>
      <c r="D70" s="990">
        <v>40986</v>
      </c>
      <c r="E70" s="780">
        <v>4000</v>
      </c>
      <c r="F70" s="991"/>
      <c r="G70" s="780">
        <v>987</v>
      </c>
      <c r="H70" s="301"/>
      <c r="I70" s="301">
        <v>1111</v>
      </c>
      <c r="J70" s="780"/>
      <c r="K70" s="780">
        <v>497</v>
      </c>
      <c r="L70" s="255">
        <f t="shared" si="9"/>
        <v>0</v>
      </c>
      <c r="M70" s="982">
        <f t="shared" si="7"/>
        <v>2595</v>
      </c>
      <c r="N70" s="992">
        <v>41551</v>
      </c>
      <c r="O70" s="616" t="s">
        <v>666</v>
      </c>
    </row>
    <row r="71" spans="1:15" x14ac:dyDescent="0.25">
      <c r="A71" s="607" t="s">
        <v>821</v>
      </c>
      <c r="B71" s="607" t="s">
        <v>774</v>
      </c>
      <c r="C71" s="989">
        <v>40857</v>
      </c>
      <c r="D71" s="990">
        <v>41009</v>
      </c>
      <c r="E71" s="780">
        <v>12000</v>
      </c>
      <c r="F71" s="991"/>
      <c r="G71" s="780">
        <v>375</v>
      </c>
      <c r="H71" s="301"/>
      <c r="I71" s="301">
        <v>1177</v>
      </c>
      <c r="J71" s="780"/>
      <c r="K71" s="780">
        <v>284</v>
      </c>
      <c r="L71" s="255">
        <f t="shared" si="9"/>
        <v>0</v>
      </c>
      <c r="M71" s="982">
        <f t="shared" si="7"/>
        <v>1836</v>
      </c>
      <c r="N71" s="992">
        <v>41521</v>
      </c>
      <c r="O71" s="616" t="s">
        <v>666</v>
      </c>
    </row>
    <row r="72" spans="1:15" x14ac:dyDescent="0.25">
      <c r="A72" s="607" t="s">
        <v>833</v>
      </c>
      <c r="B72" s="607" t="s">
        <v>985</v>
      </c>
      <c r="C72" s="989">
        <v>41086</v>
      </c>
      <c r="D72" s="990">
        <v>41269</v>
      </c>
      <c r="E72" s="780">
        <v>5000</v>
      </c>
      <c r="F72" s="991"/>
      <c r="G72" s="780">
        <v>512</v>
      </c>
      <c r="H72" s="301"/>
      <c r="I72" s="301">
        <v>533</v>
      </c>
      <c r="J72" s="780"/>
      <c r="K72" s="780">
        <v>260</v>
      </c>
      <c r="L72" s="255">
        <f t="shared" si="9"/>
        <v>0</v>
      </c>
      <c r="M72" s="982">
        <f t="shared" si="7"/>
        <v>1305</v>
      </c>
      <c r="N72" s="992">
        <v>41300</v>
      </c>
      <c r="O72" s="616" t="s">
        <v>666</v>
      </c>
    </row>
    <row r="73" spans="1:15" x14ac:dyDescent="0.25">
      <c r="A73" s="607" t="s">
        <v>744</v>
      </c>
      <c r="B73" s="607" t="s">
        <v>731</v>
      </c>
      <c r="C73" s="989">
        <v>40822</v>
      </c>
      <c r="D73" s="990">
        <v>40945</v>
      </c>
      <c r="E73" s="780">
        <v>10000</v>
      </c>
      <c r="F73" s="991"/>
      <c r="G73" s="780">
        <v>9780</v>
      </c>
      <c r="H73" s="301"/>
      <c r="I73" s="301">
        <v>11736</v>
      </c>
      <c r="J73" s="780"/>
      <c r="K73" s="780">
        <v>1563</v>
      </c>
      <c r="L73" s="255">
        <f t="shared" si="9"/>
        <v>0</v>
      </c>
      <c r="M73" s="982">
        <f t="shared" si="7"/>
        <v>23079</v>
      </c>
      <c r="N73" s="992">
        <v>40929</v>
      </c>
      <c r="O73" s="616" t="s">
        <v>666</v>
      </c>
    </row>
    <row r="74" spans="1:15" x14ac:dyDescent="0.25">
      <c r="A74" s="607" t="s">
        <v>730</v>
      </c>
      <c r="B74" s="607" t="s">
        <v>461</v>
      </c>
      <c r="C74" s="989">
        <v>41173</v>
      </c>
      <c r="D74" s="990">
        <v>40929</v>
      </c>
      <c r="E74" s="780">
        <v>4000</v>
      </c>
      <c r="F74" s="991"/>
      <c r="G74" s="780">
        <v>1400</v>
      </c>
      <c r="H74" s="301"/>
      <c r="I74" s="301">
        <v>2545</v>
      </c>
      <c r="J74" s="780"/>
      <c r="K74" s="780">
        <v>576</v>
      </c>
      <c r="L74" s="255">
        <f t="shared" si="9"/>
        <v>0</v>
      </c>
      <c r="M74" s="982">
        <f t="shared" si="7"/>
        <v>4521</v>
      </c>
      <c r="N74" s="992">
        <v>41382</v>
      </c>
      <c r="O74" s="616" t="s">
        <v>666</v>
      </c>
    </row>
    <row r="75" spans="1:15" x14ac:dyDescent="0.25">
      <c r="A75" s="607" t="s">
        <v>805</v>
      </c>
      <c r="B75" s="607" t="s">
        <v>992</v>
      </c>
      <c r="C75" s="989">
        <v>41059</v>
      </c>
      <c r="D75" s="990">
        <v>41243</v>
      </c>
      <c r="E75" s="780">
        <v>3000</v>
      </c>
      <c r="F75" s="991"/>
      <c r="G75" s="780">
        <v>1853</v>
      </c>
      <c r="H75" s="301"/>
      <c r="I75" s="301">
        <v>833</v>
      </c>
      <c r="J75" s="780"/>
      <c r="K75" s="780">
        <v>152</v>
      </c>
      <c r="L75" s="255">
        <f t="shared" si="9"/>
        <v>0</v>
      </c>
      <c r="M75" s="982">
        <f t="shared" si="7"/>
        <v>2838</v>
      </c>
      <c r="N75" s="992">
        <v>41401</v>
      </c>
      <c r="O75" s="616" t="s">
        <v>666</v>
      </c>
    </row>
    <row r="76" spans="1:15" x14ac:dyDescent="0.25">
      <c r="A76" s="607" t="s">
        <v>989</v>
      </c>
      <c r="B76" s="607" t="s">
        <v>669</v>
      </c>
      <c r="C76" s="989">
        <v>41121</v>
      </c>
      <c r="D76" s="990">
        <v>41212</v>
      </c>
      <c r="E76" s="780">
        <v>40000</v>
      </c>
      <c r="F76" s="991">
        <v>400</v>
      </c>
      <c r="G76" s="780">
        <v>29000</v>
      </c>
      <c r="H76" s="301">
        <v>100</v>
      </c>
      <c r="I76" s="301">
        <v>26920</v>
      </c>
      <c r="J76" s="780"/>
      <c r="K76" s="780">
        <v>3320</v>
      </c>
      <c r="L76" s="255">
        <f t="shared" si="9"/>
        <v>500</v>
      </c>
      <c r="M76" s="982">
        <f t="shared" si="7"/>
        <v>59240</v>
      </c>
      <c r="N76" s="992">
        <v>41685</v>
      </c>
      <c r="O76" s="616" t="s">
        <v>666</v>
      </c>
    </row>
    <row r="77" spans="1:15" x14ac:dyDescent="0.25">
      <c r="A77" s="607" t="s">
        <v>990</v>
      </c>
      <c r="B77" s="607" t="s">
        <v>991</v>
      </c>
      <c r="C77" s="989">
        <v>41017</v>
      </c>
      <c r="D77" s="990">
        <v>41200</v>
      </c>
      <c r="E77" s="780">
        <v>5000</v>
      </c>
      <c r="F77" s="991">
        <v>200</v>
      </c>
      <c r="G77" s="780">
        <v>2510</v>
      </c>
      <c r="H77" s="301"/>
      <c r="I77" s="301">
        <v>2506</v>
      </c>
      <c r="J77" s="780"/>
      <c r="K77" s="780">
        <v>686</v>
      </c>
      <c r="L77" s="255">
        <f t="shared" si="9"/>
        <v>200</v>
      </c>
      <c r="M77" s="982">
        <f t="shared" si="7"/>
        <v>5702</v>
      </c>
      <c r="N77" s="992">
        <v>41698</v>
      </c>
      <c r="O77" s="616" t="s">
        <v>666</v>
      </c>
    </row>
    <row r="78" spans="1:15" x14ac:dyDescent="0.25">
      <c r="A78" s="607" t="s">
        <v>823</v>
      </c>
      <c r="B78" s="607" t="s">
        <v>824</v>
      </c>
      <c r="C78" s="989">
        <v>40767</v>
      </c>
      <c r="D78" s="990">
        <v>41011</v>
      </c>
      <c r="E78" s="780">
        <v>19000</v>
      </c>
      <c r="F78" s="991"/>
      <c r="G78" s="780">
        <v>17365</v>
      </c>
      <c r="H78" s="301"/>
      <c r="I78" s="301">
        <v>18851</v>
      </c>
      <c r="J78" s="780"/>
      <c r="K78" s="780">
        <v>3332</v>
      </c>
      <c r="L78" s="255">
        <f t="shared" si="9"/>
        <v>0</v>
      </c>
      <c r="M78" s="982">
        <f t="shared" si="7"/>
        <v>39548</v>
      </c>
      <c r="N78" s="992">
        <v>41296</v>
      </c>
      <c r="O78" s="616" t="s">
        <v>666</v>
      </c>
    </row>
    <row r="79" spans="1:15" x14ac:dyDescent="0.25">
      <c r="A79" s="607" t="s">
        <v>822</v>
      </c>
      <c r="B79" s="607" t="s">
        <v>813</v>
      </c>
      <c r="C79" s="989">
        <v>40724</v>
      </c>
      <c r="D79" s="990">
        <v>41029</v>
      </c>
      <c r="E79" s="780">
        <v>5000</v>
      </c>
      <c r="F79" s="991"/>
      <c r="G79" s="780">
        <v>1190</v>
      </c>
      <c r="H79" s="301"/>
      <c r="I79" s="301">
        <v>1021</v>
      </c>
      <c r="J79" s="780"/>
      <c r="K79" s="780">
        <v>177</v>
      </c>
      <c r="L79" s="255">
        <f t="shared" si="9"/>
        <v>0</v>
      </c>
      <c r="M79" s="982">
        <f t="shared" si="7"/>
        <v>2388</v>
      </c>
      <c r="N79" s="992">
        <v>41163</v>
      </c>
      <c r="O79" s="616" t="s">
        <v>666</v>
      </c>
    </row>
    <row r="80" spans="1:15" x14ac:dyDescent="0.25">
      <c r="A80" s="607" t="s">
        <v>732</v>
      </c>
      <c r="B80" s="607" t="s">
        <v>13</v>
      </c>
      <c r="C80" s="989">
        <v>40819</v>
      </c>
      <c r="D80" s="990">
        <v>40942</v>
      </c>
      <c r="E80" s="780">
        <v>40000</v>
      </c>
      <c r="F80" s="991"/>
      <c r="G80" s="780">
        <v>40000</v>
      </c>
      <c r="H80" s="301"/>
      <c r="I80" s="301">
        <v>30000</v>
      </c>
      <c r="J80" s="780"/>
      <c r="K80" s="780">
        <v>3620</v>
      </c>
      <c r="L80" s="259">
        <f t="shared" si="9"/>
        <v>0</v>
      </c>
      <c r="M80" s="982">
        <f t="shared" si="7"/>
        <v>73620</v>
      </c>
      <c r="N80" s="992" t="s">
        <v>76</v>
      </c>
      <c r="O80" s="616" t="s">
        <v>884</v>
      </c>
    </row>
    <row r="81" spans="1:15" x14ac:dyDescent="0.25">
      <c r="A81" s="607" t="s">
        <v>733</v>
      </c>
      <c r="B81" s="980" t="s">
        <v>9</v>
      </c>
      <c r="C81" s="989">
        <v>40823</v>
      </c>
      <c r="D81" s="990">
        <v>40946</v>
      </c>
      <c r="E81" s="780">
        <v>11000</v>
      </c>
      <c r="F81" s="991"/>
      <c r="G81" s="780">
        <v>9240</v>
      </c>
      <c r="H81" s="301"/>
      <c r="I81" s="301">
        <v>12878</v>
      </c>
      <c r="J81" s="780"/>
      <c r="K81" s="780">
        <v>4248</v>
      </c>
      <c r="L81" s="255">
        <f t="shared" si="9"/>
        <v>0</v>
      </c>
      <c r="M81" s="982">
        <f t="shared" si="7"/>
        <v>26366</v>
      </c>
      <c r="N81" s="992">
        <v>40850</v>
      </c>
      <c r="O81" s="616" t="s">
        <v>666</v>
      </c>
    </row>
    <row r="82" spans="1:15" x14ac:dyDescent="0.25">
      <c r="A82" s="607" t="s">
        <v>734</v>
      </c>
      <c r="B82" s="607" t="s">
        <v>21</v>
      </c>
      <c r="C82" s="989">
        <v>40672</v>
      </c>
      <c r="D82" s="990">
        <v>40917</v>
      </c>
      <c r="E82" s="780">
        <v>8000</v>
      </c>
      <c r="F82" s="991"/>
      <c r="G82" s="780">
        <v>3568</v>
      </c>
      <c r="H82" s="301"/>
      <c r="I82" s="301">
        <v>3746</v>
      </c>
      <c r="J82" s="780"/>
      <c r="K82" s="780">
        <v>1332</v>
      </c>
      <c r="L82" s="255">
        <f t="shared" si="9"/>
        <v>0</v>
      </c>
      <c r="M82" s="982">
        <f t="shared" si="7"/>
        <v>8646</v>
      </c>
      <c r="N82" s="992">
        <v>41033</v>
      </c>
      <c r="O82" s="616" t="s">
        <v>666</v>
      </c>
    </row>
    <row r="83" spans="1:15" ht="15.75" thickBot="1" x14ac:dyDescent="0.3">
      <c r="A83" s="607" t="s">
        <v>808</v>
      </c>
      <c r="B83" s="607" t="s">
        <v>511</v>
      </c>
      <c r="C83" s="989">
        <v>41036</v>
      </c>
      <c r="D83" s="990">
        <v>41159</v>
      </c>
      <c r="E83" s="780">
        <v>5000</v>
      </c>
      <c r="F83" s="991"/>
      <c r="G83" s="780">
        <v>3750</v>
      </c>
      <c r="H83" s="301"/>
      <c r="I83" s="301">
        <v>3937</v>
      </c>
      <c r="J83" s="780"/>
      <c r="K83" s="780">
        <v>450</v>
      </c>
      <c r="L83" s="255">
        <f t="shared" si="9"/>
        <v>0</v>
      </c>
      <c r="M83" s="993">
        <f t="shared" si="7"/>
        <v>8137</v>
      </c>
      <c r="N83" s="992">
        <v>41083</v>
      </c>
      <c r="O83" s="616" t="s">
        <v>666</v>
      </c>
    </row>
    <row r="84" spans="1:15" ht="15.75" thickBot="1" x14ac:dyDescent="0.3">
      <c r="A84" s="633" t="s">
        <v>1449</v>
      </c>
      <c r="B84" s="633"/>
      <c r="C84" s="634"/>
      <c r="D84" s="634"/>
      <c r="E84" s="806">
        <f t="shared" ref="E84:M84" si="10">SUM(E9:E83)</f>
        <v>1531500</v>
      </c>
      <c r="F84" s="309">
        <f t="shared" si="10"/>
        <v>3220</v>
      </c>
      <c r="G84" s="309">
        <f t="shared" si="10"/>
        <v>1259046</v>
      </c>
      <c r="H84" s="309">
        <f t="shared" si="10"/>
        <v>1900</v>
      </c>
      <c r="I84" s="310">
        <f t="shared" si="10"/>
        <v>1220277.25</v>
      </c>
      <c r="J84" s="310">
        <f t="shared" si="10"/>
        <v>260</v>
      </c>
      <c r="K84" s="310">
        <f t="shared" si="10"/>
        <v>201659</v>
      </c>
      <c r="L84" s="311">
        <f t="shared" si="10"/>
        <v>5380</v>
      </c>
      <c r="M84" s="312">
        <f t="shared" si="10"/>
        <v>2628683.25</v>
      </c>
      <c r="N84" s="562"/>
      <c r="O84" s="563"/>
    </row>
    <row r="85" spans="1:15" x14ac:dyDescent="0.25">
      <c r="A85" s="351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1"/>
      <c r="N85" s="351"/>
      <c r="O85" s="351"/>
    </row>
  </sheetData>
  <sortState ref="A9:O100">
    <sortCondition ref="A9"/>
  </sortState>
  <mergeCells count="7">
    <mergeCell ref="A1:N1"/>
    <mergeCell ref="A2:N2"/>
    <mergeCell ref="G6:M6"/>
    <mergeCell ref="A6:A8"/>
    <mergeCell ref="B6:B8"/>
    <mergeCell ref="C6:C8"/>
    <mergeCell ref="D6:D8"/>
  </mergeCells>
  <pageMargins left="0.5" right="0.5" top="0.75" bottom="0.75" header="0.3" footer="0.3"/>
  <pageSetup paperSize="5" orientation="landscape" horizontalDpi="4294967293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O56"/>
  <sheetViews>
    <sheetView topLeftCell="A19" workbookViewId="0">
      <selection activeCell="F6" sqref="F6:M6"/>
    </sheetView>
  </sheetViews>
  <sheetFormatPr defaultRowHeight="15" x14ac:dyDescent="0.25"/>
  <cols>
    <col min="1" max="1" width="18.140625" customWidth="1"/>
    <col min="2" max="2" width="16" customWidth="1"/>
    <col min="3" max="3" width="9.140625" customWidth="1"/>
    <col min="4" max="4" width="8.28515625" customWidth="1"/>
    <col min="5" max="5" width="11.28515625" customWidth="1"/>
    <col min="6" max="6" width="9.85546875" customWidth="1"/>
    <col min="7" max="7" width="10.7109375" customWidth="1"/>
    <col min="8" max="8" width="9.28515625" customWidth="1"/>
    <col min="9" max="9" width="10.28515625" customWidth="1"/>
    <col min="11" max="11" width="10.140625" customWidth="1"/>
    <col min="12" max="12" width="12.140625" customWidth="1"/>
    <col min="13" max="13" width="11.7109375" customWidth="1"/>
    <col min="14" max="14" width="9.5703125" style="612" customWidth="1"/>
    <col min="15" max="15" width="9.5703125" customWidth="1"/>
  </cols>
  <sheetData>
    <row r="1" spans="1:15" x14ac:dyDescent="0.25">
      <c r="A1" s="1358" t="s">
        <v>87</v>
      </c>
      <c r="B1" s="1358"/>
      <c r="C1" s="1358"/>
      <c r="D1" s="1358"/>
      <c r="E1" s="1358"/>
      <c r="F1" s="1358"/>
      <c r="G1" s="1358"/>
      <c r="H1" s="1358"/>
      <c r="I1" s="1358"/>
      <c r="J1" s="1358"/>
      <c r="K1" s="1358"/>
      <c r="L1" s="1358"/>
      <c r="M1" s="1358"/>
      <c r="N1" s="1358"/>
      <c r="O1" s="201"/>
    </row>
    <row r="2" spans="1:15" x14ac:dyDescent="0.25">
      <c r="A2" s="595"/>
      <c r="B2" s="595"/>
      <c r="C2" s="595"/>
      <c r="D2" s="595" t="s">
        <v>763</v>
      </c>
      <c r="E2" s="595"/>
      <c r="F2" s="595"/>
      <c r="G2" s="595"/>
      <c r="H2" s="595"/>
      <c r="I2" s="595"/>
      <c r="J2" s="595"/>
      <c r="K2" s="595"/>
      <c r="L2" s="595"/>
      <c r="M2" s="595"/>
      <c r="N2" s="608"/>
      <c r="O2" s="201"/>
    </row>
    <row r="3" spans="1:15" x14ac:dyDescent="0.25">
      <c r="A3" s="202"/>
      <c r="B3" s="203"/>
      <c r="C3" s="203"/>
      <c r="D3" s="203"/>
      <c r="E3" s="177" t="s">
        <v>1488</v>
      </c>
      <c r="F3" s="203"/>
      <c r="G3" s="203"/>
      <c r="H3" s="203"/>
      <c r="I3" s="203"/>
      <c r="J3" s="203"/>
      <c r="K3" s="203"/>
      <c r="L3" s="203"/>
      <c r="M3" s="203"/>
      <c r="N3" s="609"/>
      <c r="O3" s="201"/>
    </row>
    <row r="4" spans="1:15" x14ac:dyDescent="0.25">
      <c r="A4" s="202"/>
      <c r="B4" s="203"/>
      <c r="C4" s="203"/>
      <c r="D4" s="203"/>
      <c r="E4" s="177"/>
      <c r="F4" s="203"/>
      <c r="G4" s="203"/>
      <c r="H4" s="203"/>
      <c r="I4" s="203"/>
      <c r="J4" s="203"/>
      <c r="K4" s="203"/>
      <c r="L4" s="203"/>
      <c r="M4" s="203"/>
      <c r="N4" s="609"/>
      <c r="O4" s="201"/>
    </row>
    <row r="5" spans="1:15" ht="15.75" thickBot="1" x14ac:dyDescent="0.3">
      <c r="A5" s="202" t="s">
        <v>762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610"/>
      <c r="O5" s="201"/>
    </row>
    <row r="6" spans="1:15" ht="15.75" thickBot="1" x14ac:dyDescent="0.3">
      <c r="A6" s="604"/>
      <c r="B6" s="204"/>
      <c r="C6" s="204" t="s">
        <v>139</v>
      </c>
      <c r="D6" s="205" t="s">
        <v>92</v>
      </c>
      <c r="E6" s="206" t="s">
        <v>574</v>
      </c>
      <c r="F6" s="1367" t="s">
        <v>1489</v>
      </c>
      <c r="G6" s="1367"/>
      <c r="H6" s="1367"/>
      <c r="I6" s="1367"/>
      <c r="J6" s="1367"/>
      <c r="K6" s="1367"/>
      <c r="L6" s="1367"/>
      <c r="M6" s="1368"/>
      <c r="N6" s="817"/>
      <c r="O6" s="201"/>
    </row>
    <row r="7" spans="1:15" ht="15.75" thickBot="1" x14ac:dyDescent="0.3">
      <c r="A7" s="605" t="s">
        <v>2</v>
      </c>
      <c r="B7" s="207" t="s">
        <v>3</v>
      </c>
      <c r="C7" s="207" t="s">
        <v>90</v>
      </c>
      <c r="D7" s="208" t="s">
        <v>91</v>
      </c>
      <c r="E7" s="209" t="s">
        <v>575</v>
      </c>
      <c r="F7" s="493" t="s">
        <v>447</v>
      </c>
      <c r="G7" s="493" t="s">
        <v>6</v>
      </c>
      <c r="H7" s="493" t="s">
        <v>448</v>
      </c>
      <c r="I7" s="494" t="s">
        <v>19</v>
      </c>
      <c r="J7" s="494" t="s">
        <v>449</v>
      </c>
      <c r="K7" s="494" t="s">
        <v>80</v>
      </c>
      <c r="L7" s="523" t="s">
        <v>453</v>
      </c>
      <c r="M7" s="524" t="s">
        <v>400</v>
      </c>
      <c r="N7" s="818" t="s">
        <v>79</v>
      </c>
      <c r="O7" s="810" t="s">
        <v>418</v>
      </c>
    </row>
    <row r="8" spans="1:15" x14ac:dyDescent="0.25">
      <c r="A8" s="606"/>
      <c r="B8" s="210"/>
      <c r="C8" s="210"/>
      <c r="D8" s="211"/>
      <c r="E8" s="206"/>
      <c r="F8" s="687" t="s">
        <v>438</v>
      </c>
      <c r="G8" s="688"/>
      <c r="H8" s="687" t="s">
        <v>438</v>
      </c>
      <c r="I8" s="689"/>
      <c r="J8" s="690" t="s">
        <v>438</v>
      </c>
      <c r="K8" s="689"/>
      <c r="L8" s="213" t="s">
        <v>452</v>
      </c>
      <c r="M8" s="212"/>
      <c r="N8" s="819"/>
      <c r="O8" s="811"/>
    </row>
    <row r="9" spans="1:15" x14ac:dyDescent="0.25">
      <c r="A9" s="341" t="s">
        <v>576</v>
      </c>
      <c r="B9" s="691" t="s">
        <v>13</v>
      </c>
      <c r="C9" s="342">
        <v>40505</v>
      </c>
      <c r="D9" s="343">
        <v>40686</v>
      </c>
      <c r="E9" s="692">
        <v>6000</v>
      </c>
      <c r="F9" s="693"/>
      <c r="G9" s="365">
        <v>3100</v>
      </c>
      <c r="H9" s="694"/>
      <c r="I9" s="631">
        <v>2018</v>
      </c>
      <c r="J9" s="631"/>
      <c r="K9" s="631">
        <v>476</v>
      </c>
      <c r="L9" s="530">
        <f>+F9+H9+J9</f>
        <v>0</v>
      </c>
      <c r="M9" s="695">
        <f>+G9+I9</f>
        <v>5118</v>
      </c>
      <c r="N9" s="820">
        <v>41624</v>
      </c>
      <c r="O9" s="812" t="s">
        <v>666</v>
      </c>
    </row>
    <row r="10" spans="1:15" x14ac:dyDescent="0.25">
      <c r="A10" s="341" t="s">
        <v>661</v>
      </c>
      <c r="B10" s="691" t="s">
        <v>9</v>
      </c>
      <c r="C10" s="342">
        <v>40490</v>
      </c>
      <c r="D10" s="343">
        <v>40641</v>
      </c>
      <c r="E10" s="344">
        <v>5000</v>
      </c>
      <c r="F10" s="696">
        <v>100</v>
      </c>
      <c r="G10" s="303">
        <v>1009</v>
      </c>
      <c r="H10" s="697"/>
      <c r="I10" s="383">
        <v>215</v>
      </c>
      <c r="J10" s="383"/>
      <c r="K10" s="383">
        <v>268</v>
      </c>
      <c r="L10" s="530">
        <f t="shared" ref="L10:L34" si="0">+F10+H10+J10</f>
        <v>100</v>
      </c>
      <c r="M10" s="695">
        <f t="shared" ref="M10:M34" si="1">+G10+I10</f>
        <v>1224</v>
      </c>
      <c r="N10" s="820">
        <v>41325</v>
      </c>
      <c r="O10" s="813" t="s">
        <v>666</v>
      </c>
    </row>
    <row r="11" spans="1:15" x14ac:dyDescent="0.25">
      <c r="A11" s="298" t="s">
        <v>527</v>
      </c>
      <c r="B11" s="298" t="s">
        <v>500</v>
      </c>
      <c r="C11" s="260">
        <v>40477</v>
      </c>
      <c r="D11" s="299">
        <v>40569</v>
      </c>
      <c r="E11" s="262">
        <v>5000</v>
      </c>
      <c r="F11" s="630"/>
      <c r="G11" s="632">
        <v>3365</v>
      </c>
      <c r="H11" s="259"/>
      <c r="I11" s="630">
        <v>4119</v>
      </c>
      <c r="J11" s="259"/>
      <c r="K11" s="259">
        <v>1116</v>
      </c>
      <c r="L11" s="530">
        <f t="shared" si="0"/>
        <v>0</v>
      </c>
      <c r="M11" s="695">
        <f t="shared" si="1"/>
        <v>7484</v>
      </c>
      <c r="N11" s="821">
        <v>41331</v>
      </c>
      <c r="O11" s="811" t="s">
        <v>666</v>
      </c>
    </row>
    <row r="12" spans="1:15" x14ac:dyDescent="0.25">
      <c r="A12" s="298" t="s">
        <v>577</v>
      </c>
      <c r="B12" s="298" t="s">
        <v>578</v>
      </c>
      <c r="C12" s="260">
        <v>40570</v>
      </c>
      <c r="D12" s="299">
        <v>40702</v>
      </c>
      <c r="E12" s="262">
        <v>10000</v>
      </c>
      <c r="F12" s="630"/>
      <c r="G12" s="632">
        <v>2030</v>
      </c>
      <c r="H12" s="259"/>
      <c r="I12" s="630">
        <v>734</v>
      </c>
      <c r="J12" s="259"/>
      <c r="K12" s="259">
        <v>738</v>
      </c>
      <c r="L12" s="530">
        <f t="shared" si="0"/>
        <v>0</v>
      </c>
      <c r="M12" s="695">
        <f t="shared" si="1"/>
        <v>2764</v>
      </c>
      <c r="N12" s="821">
        <v>41625</v>
      </c>
      <c r="O12" s="812" t="s">
        <v>666</v>
      </c>
    </row>
    <row r="13" spans="1:15" x14ac:dyDescent="0.25">
      <c r="A13" s="298" t="s">
        <v>431</v>
      </c>
      <c r="B13" s="298" t="s">
        <v>500</v>
      </c>
      <c r="C13" s="260">
        <v>40409</v>
      </c>
      <c r="D13" s="299">
        <v>40593</v>
      </c>
      <c r="E13" s="262">
        <v>15000</v>
      </c>
      <c r="F13" s="630"/>
      <c r="G13" s="632">
        <v>3113</v>
      </c>
      <c r="H13" s="259"/>
      <c r="I13" s="630">
        <v>4822</v>
      </c>
      <c r="J13" s="259"/>
      <c r="K13" s="259">
        <v>958</v>
      </c>
      <c r="L13" s="530">
        <f t="shared" si="0"/>
        <v>0</v>
      </c>
      <c r="M13" s="695">
        <f t="shared" si="1"/>
        <v>7935</v>
      </c>
      <c r="N13" s="821">
        <v>41066</v>
      </c>
      <c r="O13" s="811" t="s">
        <v>666</v>
      </c>
    </row>
    <row r="14" spans="1:15" x14ac:dyDescent="0.25">
      <c r="A14" s="298" t="s">
        <v>579</v>
      </c>
      <c r="B14" s="298" t="s">
        <v>21</v>
      </c>
      <c r="C14" s="260">
        <v>40453</v>
      </c>
      <c r="D14" s="299">
        <v>40604</v>
      </c>
      <c r="E14" s="262">
        <v>4000</v>
      </c>
      <c r="F14" s="630">
        <v>200</v>
      </c>
      <c r="G14" s="632">
        <v>2480</v>
      </c>
      <c r="H14" s="259">
        <v>200</v>
      </c>
      <c r="I14" s="630">
        <v>1087</v>
      </c>
      <c r="J14" s="259">
        <v>100</v>
      </c>
      <c r="K14" s="259">
        <v>576</v>
      </c>
      <c r="L14" s="530">
        <f t="shared" si="0"/>
        <v>500</v>
      </c>
      <c r="M14" s="695">
        <f t="shared" si="1"/>
        <v>3567</v>
      </c>
      <c r="N14" s="821">
        <v>41442</v>
      </c>
      <c r="O14" s="811" t="s">
        <v>1446</v>
      </c>
    </row>
    <row r="15" spans="1:15" x14ac:dyDescent="0.25">
      <c r="A15" s="298" t="s">
        <v>539</v>
      </c>
      <c r="B15" s="298" t="s">
        <v>540</v>
      </c>
      <c r="C15" s="260">
        <v>40738</v>
      </c>
      <c r="D15" s="299">
        <v>40861</v>
      </c>
      <c r="E15" s="262">
        <v>50000</v>
      </c>
      <c r="F15" s="698"/>
      <c r="G15" s="632">
        <v>41000</v>
      </c>
      <c r="H15" s="259"/>
      <c r="I15" s="630">
        <v>61400</v>
      </c>
      <c r="J15" s="259"/>
      <c r="K15" s="601">
        <v>21400</v>
      </c>
      <c r="L15" s="530">
        <f t="shared" si="0"/>
        <v>0</v>
      </c>
      <c r="M15" s="695">
        <f t="shared" si="1"/>
        <v>102400</v>
      </c>
      <c r="N15" s="822">
        <v>41241</v>
      </c>
      <c r="O15" s="814" t="s">
        <v>666</v>
      </c>
    </row>
    <row r="16" spans="1:15" x14ac:dyDescent="0.25">
      <c r="A16" s="298" t="s">
        <v>541</v>
      </c>
      <c r="B16" s="298" t="s">
        <v>540</v>
      </c>
      <c r="C16" s="260">
        <v>40724</v>
      </c>
      <c r="D16" s="260">
        <v>40907</v>
      </c>
      <c r="E16" s="462">
        <v>60000</v>
      </c>
      <c r="F16" s="541"/>
      <c r="G16" s="632">
        <v>54000</v>
      </c>
      <c r="H16" s="259"/>
      <c r="I16" s="630">
        <v>84000</v>
      </c>
      <c r="J16" s="601"/>
      <c r="K16" s="705">
        <v>19430</v>
      </c>
      <c r="L16" s="530">
        <f t="shared" si="0"/>
        <v>0</v>
      </c>
      <c r="M16" s="699">
        <f t="shared" si="1"/>
        <v>138000</v>
      </c>
      <c r="N16" s="706">
        <v>41277</v>
      </c>
      <c r="O16" s="193" t="s">
        <v>666</v>
      </c>
    </row>
    <row r="17" spans="1:15" x14ac:dyDescent="0.25">
      <c r="A17" s="298" t="s">
        <v>580</v>
      </c>
      <c r="B17" s="298" t="s">
        <v>9</v>
      </c>
      <c r="C17" s="260">
        <v>40346</v>
      </c>
      <c r="D17" s="299">
        <v>40709</v>
      </c>
      <c r="E17" s="262">
        <v>14000</v>
      </c>
      <c r="F17" s="630"/>
      <c r="G17" s="259">
        <v>14000</v>
      </c>
      <c r="H17" s="259"/>
      <c r="I17" s="259">
        <v>28700</v>
      </c>
      <c r="J17" s="259"/>
      <c r="K17" s="259">
        <v>2456</v>
      </c>
      <c r="L17" s="530">
        <f t="shared" si="0"/>
        <v>0</v>
      </c>
      <c r="M17" s="695">
        <f t="shared" si="1"/>
        <v>42700</v>
      </c>
      <c r="N17" s="821">
        <v>40442</v>
      </c>
      <c r="O17" s="811" t="s">
        <v>666</v>
      </c>
    </row>
    <row r="18" spans="1:15" x14ac:dyDescent="0.25">
      <c r="A18" s="298" t="s">
        <v>581</v>
      </c>
      <c r="B18" s="298" t="s">
        <v>532</v>
      </c>
      <c r="C18" s="260">
        <v>40584</v>
      </c>
      <c r="D18" s="299">
        <v>40765</v>
      </c>
      <c r="E18" s="262">
        <v>15000</v>
      </c>
      <c r="F18" s="630"/>
      <c r="G18" s="259">
        <v>15000</v>
      </c>
      <c r="H18" s="259"/>
      <c r="I18" s="259">
        <v>12750</v>
      </c>
      <c r="J18" s="259"/>
      <c r="K18" s="259">
        <v>2946</v>
      </c>
      <c r="L18" s="530">
        <f t="shared" si="0"/>
        <v>0</v>
      </c>
      <c r="M18" s="695">
        <f t="shared" si="1"/>
        <v>27750</v>
      </c>
      <c r="N18" s="821" t="s">
        <v>76</v>
      </c>
      <c r="O18" s="811" t="s">
        <v>884</v>
      </c>
    </row>
    <row r="19" spans="1:15" x14ac:dyDescent="0.25">
      <c r="A19" s="298" t="s">
        <v>582</v>
      </c>
      <c r="B19" s="298" t="s">
        <v>18</v>
      </c>
      <c r="C19" s="260">
        <v>40505</v>
      </c>
      <c r="D19" s="299">
        <v>40747</v>
      </c>
      <c r="E19" s="262">
        <v>9000</v>
      </c>
      <c r="F19" s="630"/>
      <c r="G19" s="259">
        <v>9000</v>
      </c>
      <c r="H19" s="259"/>
      <c r="I19" s="259">
        <v>17550</v>
      </c>
      <c r="J19" s="259"/>
      <c r="K19" s="259">
        <v>6307</v>
      </c>
      <c r="L19" s="530">
        <f t="shared" si="0"/>
        <v>0</v>
      </c>
      <c r="M19" s="695">
        <f t="shared" si="1"/>
        <v>26550</v>
      </c>
      <c r="N19" s="821" t="s">
        <v>76</v>
      </c>
      <c r="O19" s="811" t="s">
        <v>666</v>
      </c>
    </row>
    <row r="20" spans="1:15" x14ac:dyDescent="0.25">
      <c r="A20" s="298" t="s">
        <v>583</v>
      </c>
      <c r="B20" s="298" t="s">
        <v>550</v>
      </c>
      <c r="C20" s="260">
        <v>40641</v>
      </c>
      <c r="D20" s="299">
        <v>40763</v>
      </c>
      <c r="E20" s="262">
        <v>10000</v>
      </c>
      <c r="F20" s="630"/>
      <c r="G20" s="259">
        <v>4748</v>
      </c>
      <c r="H20" s="259"/>
      <c r="I20" s="259">
        <v>6874</v>
      </c>
      <c r="J20" s="259"/>
      <c r="K20" s="259">
        <v>3588</v>
      </c>
      <c r="L20" s="530">
        <f t="shared" si="0"/>
        <v>0</v>
      </c>
      <c r="M20" s="695">
        <f t="shared" si="1"/>
        <v>11622</v>
      </c>
      <c r="N20" s="821">
        <v>41095</v>
      </c>
      <c r="O20" s="811" t="s">
        <v>666</v>
      </c>
    </row>
    <row r="21" spans="1:15" x14ac:dyDescent="0.25">
      <c r="A21" s="298" t="s">
        <v>515</v>
      </c>
      <c r="B21" s="298" t="s">
        <v>13</v>
      </c>
      <c r="C21" s="260">
        <v>40367</v>
      </c>
      <c r="D21" s="299">
        <v>40551</v>
      </c>
      <c r="E21" s="262">
        <v>25000</v>
      </c>
      <c r="F21" s="630">
        <v>1000</v>
      </c>
      <c r="G21" s="259">
        <v>17800</v>
      </c>
      <c r="H21" s="259">
        <v>1500</v>
      </c>
      <c r="I21" s="259">
        <v>19516</v>
      </c>
      <c r="J21" s="632"/>
      <c r="K21" s="259">
        <v>3979</v>
      </c>
      <c r="L21" s="530">
        <f t="shared" si="0"/>
        <v>2500</v>
      </c>
      <c r="M21" s="695">
        <f t="shared" si="1"/>
        <v>37316</v>
      </c>
      <c r="N21" s="823">
        <v>41697</v>
      </c>
      <c r="O21" s="812" t="s">
        <v>666</v>
      </c>
    </row>
    <row r="22" spans="1:15" x14ac:dyDescent="0.25">
      <c r="A22" s="298" t="s">
        <v>434</v>
      </c>
      <c r="B22" s="298" t="s">
        <v>521</v>
      </c>
      <c r="C22" s="260">
        <v>40479</v>
      </c>
      <c r="D22" s="299">
        <v>40602</v>
      </c>
      <c r="E22" s="262">
        <v>10000</v>
      </c>
      <c r="F22" s="630"/>
      <c r="G22" s="259">
        <v>835</v>
      </c>
      <c r="H22" s="259"/>
      <c r="I22" s="259">
        <v>1679</v>
      </c>
      <c r="J22" s="632"/>
      <c r="K22" s="259">
        <v>1612</v>
      </c>
      <c r="L22" s="530">
        <f t="shared" si="0"/>
        <v>0</v>
      </c>
      <c r="M22" s="695">
        <f t="shared" si="1"/>
        <v>2514</v>
      </c>
      <c r="N22" s="823">
        <v>41052</v>
      </c>
      <c r="O22" s="812" t="s">
        <v>666</v>
      </c>
    </row>
    <row r="23" spans="1:15" x14ac:dyDescent="0.25">
      <c r="A23" s="298" t="s">
        <v>477</v>
      </c>
      <c r="B23" s="298" t="s">
        <v>8</v>
      </c>
      <c r="C23" s="260">
        <v>40599</v>
      </c>
      <c r="D23" s="299">
        <v>40688</v>
      </c>
      <c r="E23" s="262">
        <v>30000</v>
      </c>
      <c r="F23" s="630"/>
      <c r="G23" s="259">
        <v>26000</v>
      </c>
      <c r="H23" s="259"/>
      <c r="I23" s="259">
        <v>35360</v>
      </c>
      <c r="J23" s="632"/>
      <c r="K23" s="259">
        <v>16062</v>
      </c>
      <c r="L23" s="530">
        <f t="shared" si="0"/>
        <v>0</v>
      </c>
      <c r="M23" s="695">
        <f t="shared" si="1"/>
        <v>61360</v>
      </c>
      <c r="N23" s="823">
        <v>41313</v>
      </c>
      <c r="O23" s="813" t="s">
        <v>666</v>
      </c>
    </row>
    <row r="24" spans="1:15" x14ac:dyDescent="0.25">
      <c r="A24" s="298" t="s">
        <v>584</v>
      </c>
      <c r="B24" s="298" t="s">
        <v>9</v>
      </c>
      <c r="C24" s="260">
        <v>40438</v>
      </c>
      <c r="D24" s="299">
        <v>40741</v>
      </c>
      <c r="E24" s="262">
        <v>11000</v>
      </c>
      <c r="F24" s="630"/>
      <c r="G24" s="259">
        <v>8000</v>
      </c>
      <c r="H24" s="259"/>
      <c r="I24" s="259">
        <v>12735</v>
      </c>
      <c r="J24" s="632"/>
      <c r="K24" s="259">
        <v>3720</v>
      </c>
      <c r="L24" s="530">
        <f t="shared" si="0"/>
        <v>0</v>
      </c>
      <c r="M24" s="695">
        <f t="shared" si="1"/>
        <v>20735</v>
      </c>
      <c r="N24" s="823">
        <v>41083</v>
      </c>
      <c r="O24" s="813" t="s">
        <v>666</v>
      </c>
    </row>
    <row r="25" spans="1:15" x14ac:dyDescent="0.25">
      <c r="A25" s="298" t="s">
        <v>442</v>
      </c>
      <c r="B25" s="298" t="s">
        <v>443</v>
      </c>
      <c r="C25" s="260">
        <v>40364</v>
      </c>
      <c r="D25" s="299">
        <v>40668</v>
      </c>
      <c r="E25" s="262">
        <v>8000</v>
      </c>
      <c r="F25" s="630"/>
      <c r="G25" s="259">
        <v>7900</v>
      </c>
      <c r="H25" s="259"/>
      <c r="I25" s="259">
        <v>15525</v>
      </c>
      <c r="J25" s="632"/>
      <c r="K25" s="259">
        <v>1328</v>
      </c>
      <c r="L25" s="530">
        <f t="shared" si="0"/>
        <v>0</v>
      </c>
      <c r="M25" s="695">
        <f t="shared" si="1"/>
        <v>23425</v>
      </c>
      <c r="N25" s="823">
        <v>40614</v>
      </c>
      <c r="O25" s="811" t="s">
        <v>666</v>
      </c>
    </row>
    <row r="26" spans="1:15" x14ac:dyDescent="0.25">
      <c r="A26" s="298" t="s">
        <v>649</v>
      </c>
      <c r="B26" s="298" t="s">
        <v>538</v>
      </c>
      <c r="C26" s="260">
        <v>40793</v>
      </c>
      <c r="D26" s="260">
        <v>40884</v>
      </c>
      <c r="E26" s="462">
        <v>13000</v>
      </c>
      <c r="F26" s="541">
        <v>500</v>
      </c>
      <c r="G26" s="259">
        <v>5616</v>
      </c>
      <c r="H26" s="259">
        <v>550</v>
      </c>
      <c r="I26" s="259">
        <v>4314</v>
      </c>
      <c r="J26" s="70"/>
      <c r="K26" s="601">
        <v>2897</v>
      </c>
      <c r="L26" s="530">
        <f t="shared" si="0"/>
        <v>1050</v>
      </c>
      <c r="M26" s="695">
        <f t="shared" si="1"/>
        <v>9930</v>
      </c>
      <c r="N26" s="706">
        <v>41673</v>
      </c>
      <c r="O26" s="193" t="s">
        <v>1228</v>
      </c>
    </row>
    <row r="27" spans="1:15" x14ac:dyDescent="0.25">
      <c r="A27" s="298" t="s">
        <v>393</v>
      </c>
      <c r="B27" s="298" t="s">
        <v>585</v>
      </c>
      <c r="C27" s="260">
        <v>40477</v>
      </c>
      <c r="D27" s="299">
        <v>40659</v>
      </c>
      <c r="E27" s="262">
        <v>10000</v>
      </c>
      <c r="F27" s="630"/>
      <c r="G27" s="259">
        <v>5600</v>
      </c>
      <c r="H27" s="259"/>
      <c r="I27" s="259">
        <v>6690</v>
      </c>
      <c r="J27" s="632"/>
      <c r="K27" s="259">
        <v>1618</v>
      </c>
      <c r="L27" s="530">
        <f t="shared" si="0"/>
        <v>0</v>
      </c>
      <c r="M27" s="695">
        <f t="shared" si="1"/>
        <v>12290</v>
      </c>
      <c r="N27" s="821">
        <v>41265</v>
      </c>
      <c r="O27" s="811" t="s">
        <v>666</v>
      </c>
    </row>
    <row r="28" spans="1:15" x14ac:dyDescent="0.25">
      <c r="A28" s="298" t="s">
        <v>1059</v>
      </c>
      <c r="B28" s="298" t="s">
        <v>538</v>
      </c>
      <c r="C28" s="260">
        <v>40626</v>
      </c>
      <c r="D28" s="299">
        <v>40810</v>
      </c>
      <c r="E28" s="262">
        <v>35000</v>
      </c>
      <c r="F28" s="630"/>
      <c r="G28" s="259">
        <v>35000</v>
      </c>
      <c r="H28" s="259"/>
      <c r="I28" s="259">
        <v>36750</v>
      </c>
      <c r="J28" s="632"/>
      <c r="K28" s="259">
        <v>5030</v>
      </c>
      <c r="L28" s="530">
        <f t="shared" si="0"/>
        <v>0</v>
      </c>
      <c r="M28" s="695">
        <f t="shared" si="1"/>
        <v>71750</v>
      </c>
      <c r="N28" s="821">
        <v>40691</v>
      </c>
      <c r="O28" s="811" t="s">
        <v>1446</v>
      </c>
    </row>
    <row r="29" spans="1:15" x14ac:dyDescent="0.25">
      <c r="A29" s="298" t="s">
        <v>656</v>
      </c>
      <c r="B29" s="298" t="s">
        <v>9</v>
      </c>
      <c r="C29" s="260">
        <v>40490</v>
      </c>
      <c r="D29" s="299">
        <v>40794</v>
      </c>
      <c r="E29" s="262">
        <v>10500</v>
      </c>
      <c r="F29" s="630"/>
      <c r="G29" s="259">
        <v>9123</v>
      </c>
      <c r="H29" s="259"/>
      <c r="I29" s="259">
        <v>11171</v>
      </c>
      <c r="J29" s="632"/>
      <c r="K29" s="259">
        <v>1228</v>
      </c>
      <c r="L29" s="530">
        <f t="shared" si="0"/>
        <v>0</v>
      </c>
      <c r="M29" s="695">
        <f t="shared" si="1"/>
        <v>20294</v>
      </c>
      <c r="N29" s="821">
        <v>41121</v>
      </c>
      <c r="O29" s="812" t="s">
        <v>1446</v>
      </c>
    </row>
    <row r="30" spans="1:15" x14ac:dyDescent="0.25">
      <c r="A30" s="298" t="s">
        <v>695</v>
      </c>
      <c r="B30" s="298" t="s">
        <v>696</v>
      </c>
      <c r="C30" s="260">
        <v>40669</v>
      </c>
      <c r="D30" s="299">
        <v>40822</v>
      </c>
      <c r="E30" s="262">
        <v>35000</v>
      </c>
      <c r="F30" s="630"/>
      <c r="G30" s="259">
        <v>24800</v>
      </c>
      <c r="H30" s="259"/>
      <c r="I30" s="259">
        <v>28300</v>
      </c>
      <c r="J30" s="632"/>
      <c r="K30" s="259">
        <v>9000</v>
      </c>
      <c r="L30" s="530">
        <f t="shared" si="0"/>
        <v>0</v>
      </c>
      <c r="M30" s="695">
        <f t="shared" si="1"/>
        <v>53100</v>
      </c>
      <c r="N30" s="821">
        <v>41646</v>
      </c>
      <c r="O30" s="811" t="s">
        <v>666</v>
      </c>
    </row>
    <row r="31" spans="1:15" x14ac:dyDescent="0.25">
      <c r="A31" s="298" t="s">
        <v>572</v>
      </c>
      <c r="B31" s="298" t="s">
        <v>657</v>
      </c>
      <c r="C31" s="260">
        <v>40606</v>
      </c>
      <c r="D31" s="299">
        <v>40790</v>
      </c>
      <c r="E31" s="262">
        <v>7000</v>
      </c>
      <c r="F31" s="630"/>
      <c r="G31" s="259">
        <v>3345</v>
      </c>
      <c r="H31" s="259"/>
      <c r="I31" s="259">
        <v>3574</v>
      </c>
      <c r="J31" s="632"/>
      <c r="K31" s="259">
        <v>1310</v>
      </c>
      <c r="L31" s="530">
        <f t="shared" si="0"/>
        <v>0</v>
      </c>
      <c r="M31" s="695">
        <f t="shared" si="1"/>
        <v>6919</v>
      </c>
      <c r="N31" s="821">
        <v>41292</v>
      </c>
      <c r="O31" s="811" t="s">
        <v>666</v>
      </c>
    </row>
    <row r="32" spans="1:15" x14ac:dyDescent="0.25">
      <c r="A32" s="575" t="s">
        <v>554</v>
      </c>
      <c r="B32" s="298" t="s">
        <v>555</v>
      </c>
      <c r="C32" s="260">
        <v>40662</v>
      </c>
      <c r="D32" s="260">
        <v>40906</v>
      </c>
      <c r="E32" s="462">
        <v>40000</v>
      </c>
      <c r="F32" s="541"/>
      <c r="G32" s="259">
        <v>37500</v>
      </c>
      <c r="H32" s="259"/>
      <c r="I32" s="259">
        <v>59050</v>
      </c>
      <c r="J32" s="70"/>
      <c r="K32" s="601">
        <v>9248</v>
      </c>
      <c r="L32" s="530">
        <f t="shared" si="0"/>
        <v>0</v>
      </c>
      <c r="M32" s="695">
        <f t="shared" si="1"/>
        <v>96550</v>
      </c>
      <c r="N32" s="706">
        <v>41503</v>
      </c>
      <c r="O32" s="197" t="s">
        <v>666</v>
      </c>
    </row>
    <row r="33" spans="1:15" x14ac:dyDescent="0.25">
      <c r="A33" s="575" t="s">
        <v>650</v>
      </c>
      <c r="B33" s="298" t="s">
        <v>545</v>
      </c>
      <c r="C33" s="260">
        <v>40807</v>
      </c>
      <c r="D33" s="299">
        <v>40868</v>
      </c>
      <c r="E33" s="262">
        <v>20000</v>
      </c>
      <c r="F33" s="272"/>
      <c r="G33" s="259">
        <v>20000</v>
      </c>
      <c r="H33" s="541"/>
      <c r="I33" s="701">
        <v>27000</v>
      </c>
      <c r="J33" s="632"/>
      <c r="K33" s="702">
        <v>8432</v>
      </c>
      <c r="L33" s="530">
        <f t="shared" si="0"/>
        <v>0</v>
      </c>
      <c r="M33" s="695">
        <f t="shared" si="1"/>
        <v>47000</v>
      </c>
      <c r="N33" s="824" t="s">
        <v>76</v>
      </c>
      <c r="O33" s="815" t="s">
        <v>666</v>
      </c>
    </row>
    <row r="34" spans="1:15" x14ac:dyDescent="0.25">
      <c r="A34" s="575" t="s">
        <v>670</v>
      </c>
      <c r="B34" s="298" t="s">
        <v>33</v>
      </c>
      <c r="C34" s="260">
        <v>40704</v>
      </c>
      <c r="D34" s="260">
        <v>40887</v>
      </c>
      <c r="E34" s="462">
        <v>6000</v>
      </c>
      <c r="F34" s="541"/>
      <c r="G34" s="259">
        <v>3550</v>
      </c>
      <c r="H34" s="259"/>
      <c r="I34" s="259">
        <v>3892</v>
      </c>
      <c r="J34" s="70"/>
      <c r="K34" s="601">
        <v>296</v>
      </c>
      <c r="L34" s="530">
        <f t="shared" si="0"/>
        <v>0</v>
      </c>
      <c r="M34" s="695">
        <f t="shared" si="1"/>
        <v>7442</v>
      </c>
      <c r="N34" s="706">
        <v>41261</v>
      </c>
      <c r="O34" s="197" t="s">
        <v>884</v>
      </c>
    </row>
    <row r="35" spans="1:15" x14ac:dyDescent="0.25">
      <c r="A35" s="298" t="s">
        <v>586</v>
      </c>
      <c r="B35" s="298" t="s">
        <v>9</v>
      </c>
      <c r="C35" s="260">
        <v>40296</v>
      </c>
      <c r="D35" s="299">
        <v>40602</v>
      </c>
      <c r="E35" s="262">
        <v>9000</v>
      </c>
      <c r="F35" s="630"/>
      <c r="G35" s="259">
        <v>8000</v>
      </c>
      <c r="H35" s="259"/>
      <c r="I35" s="259">
        <v>18600</v>
      </c>
      <c r="J35" s="632"/>
      <c r="K35" s="259">
        <v>3420</v>
      </c>
      <c r="L35" s="530">
        <f t="shared" ref="L35:L55" si="2">+F35+H35+J35</f>
        <v>0</v>
      </c>
      <c r="M35" s="695">
        <f t="shared" ref="M35:M55" si="3">+G35+I35</f>
        <v>26600</v>
      </c>
      <c r="N35" s="821">
        <v>40694</v>
      </c>
      <c r="O35" s="811" t="s">
        <v>666</v>
      </c>
    </row>
    <row r="36" spans="1:15" x14ac:dyDescent="0.25">
      <c r="A36" s="298" t="s">
        <v>658</v>
      </c>
      <c r="B36" s="298" t="s">
        <v>659</v>
      </c>
      <c r="C36" s="260">
        <v>40428</v>
      </c>
      <c r="D36" s="299">
        <v>40854</v>
      </c>
      <c r="E36" s="262">
        <v>5000</v>
      </c>
      <c r="F36" s="630"/>
      <c r="G36" s="259">
        <v>1930</v>
      </c>
      <c r="H36" s="259"/>
      <c r="I36" s="259">
        <v>2925</v>
      </c>
      <c r="J36" s="632"/>
      <c r="K36" s="259">
        <v>3099</v>
      </c>
      <c r="L36" s="530">
        <f t="shared" si="2"/>
        <v>0</v>
      </c>
      <c r="M36" s="695">
        <f t="shared" si="3"/>
        <v>4855</v>
      </c>
      <c r="N36" s="821">
        <v>41134</v>
      </c>
      <c r="O36" s="811" t="s">
        <v>666</v>
      </c>
    </row>
    <row r="37" spans="1:15" x14ac:dyDescent="0.25">
      <c r="A37" s="298" t="s">
        <v>682</v>
      </c>
      <c r="B37" s="298" t="s">
        <v>521</v>
      </c>
      <c r="C37" s="260">
        <v>40564</v>
      </c>
      <c r="D37" s="299">
        <v>40715</v>
      </c>
      <c r="E37" s="262">
        <v>25000</v>
      </c>
      <c r="F37" s="630"/>
      <c r="G37" s="259">
        <v>19230</v>
      </c>
      <c r="H37" s="259"/>
      <c r="I37" s="259">
        <v>32081</v>
      </c>
      <c r="J37" s="632"/>
      <c r="K37" s="259">
        <v>8131</v>
      </c>
      <c r="L37" s="530">
        <f t="shared" si="2"/>
        <v>0</v>
      </c>
      <c r="M37" s="695">
        <f t="shared" si="3"/>
        <v>51311</v>
      </c>
      <c r="N37" s="821">
        <v>40929</v>
      </c>
      <c r="O37" s="813" t="s">
        <v>666</v>
      </c>
    </row>
    <row r="38" spans="1:15" x14ac:dyDescent="0.25">
      <c r="A38" s="298" t="s">
        <v>520</v>
      </c>
      <c r="B38" s="298" t="s">
        <v>13</v>
      </c>
      <c r="C38" s="260">
        <v>40523</v>
      </c>
      <c r="D38" s="299">
        <v>40554</v>
      </c>
      <c r="E38" s="262">
        <v>8000</v>
      </c>
      <c r="F38" s="630"/>
      <c r="G38" s="259">
        <v>2300</v>
      </c>
      <c r="H38" s="259"/>
      <c r="I38" s="259">
        <v>3443</v>
      </c>
      <c r="J38" s="632"/>
      <c r="K38" s="259">
        <v>7552</v>
      </c>
      <c r="L38" s="530">
        <f t="shared" si="2"/>
        <v>0</v>
      </c>
      <c r="M38" s="695">
        <f t="shared" si="3"/>
        <v>5743</v>
      </c>
      <c r="N38" s="821">
        <v>41320</v>
      </c>
      <c r="O38" s="813" t="s">
        <v>666</v>
      </c>
    </row>
    <row r="39" spans="1:15" x14ac:dyDescent="0.25">
      <c r="A39" s="298" t="s">
        <v>697</v>
      </c>
      <c r="B39" s="298" t="s">
        <v>680</v>
      </c>
      <c r="C39" s="260">
        <v>40634</v>
      </c>
      <c r="D39" s="299">
        <v>40817</v>
      </c>
      <c r="E39" s="262">
        <v>7000</v>
      </c>
      <c r="F39" s="630"/>
      <c r="G39" s="259">
        <v>4383</v>
      </c>
      <c r="H39" s="259"/>
      <c r="I39" s="259">
        <v>2209</v>
      </c>
      <c r="J39" s="632"/>
      <c r="K39" s="259">
        <v>672</v>
      </c>
      <c r="L39" s="530">
        <f t="shared" si="2"/>
        <v>0</v>
      </c>
      <c r="M39" s="695">
        <f t="shared" si="3"/>
        <v>6592</v>
      </c>
      <c r="N39" s="821">
        <v>40855</v>
      </c>
      <c r="O39" s="813" t="s">
        <v>884</v>
      </c>
    </row>
    <row r="40" spans="1:15" x14ac:dyDescent="0.25">
      <c r="A40" s="298" t="s">
        <v>587</v>
      </c>
      <c r="B40" s="304" t="s">
        <v>421</v>
      </c>
      <c r="C40" s="260">
        <v>40562</v>
      </c>
      <c r="D40" s="299">
        <v>40682</v>
      </c>
      <c r="E40" s="262">
        <v>4000</v>
      </c>
      <c r="F40" s="630"/>
      <c r="G40" s="259">
        <v>1000</v>
      </c>
      <c r="H40" s="259"/>
      <c r="I40" s="259">
        <v>1010</v>
      </c>
      <c r="J40" s="632"/>
      <c r="K40" s="259">
        <v>794</v>
      </c>
      <c r="L40" s="530">
        <f t="shared" si="2"/>
        <v>0</v>
      </c>
      <c r="M40" s="695">
        <f t="shared" si="3"/>
        <v>2010</v>
      </c>
      <c r="N40" s="821">
        <v>41444</v>
      </c>
      <c r="O40" s="816" t="s">
        <v>666</v>
      </c>
    </row>
    <row r="41" spans="1:15" x14ac:dyDescent="0.25">
      <c r="A41" s="575" t="s">
        <v>559</v>
      </c>
      <c r="B41" s="298" t="s">
        <v>560</v>
      </c>
      <c r="C41" s="260">
        <v>40679</v>
      </c>
      <c r="D41" s="299">
        <v>40863</v>
      </c>
      <c r="E41" s="262">
        <v>18000</v>
      </c>
      <c r="F41" s="630"/>
      <c r="G41" s="259">
        <v>14402</v>
      </c>
      <c r="H41" s="259"/>
      <c r="I41" s="259">
        <v>4480</v>
      </c>
      <c r="J41" s="700"/>
      <c r="K41" s="602">
        <v>612</v>
      </c>
      <c r="L41" s="530">
        <f t="shared" si="2"/>
        <v>0</v>
      </c>
      <c r="M41" s="695">
        <f t="shared" si="3"/>
        <v>18882</v>
      </c>
      <c r="N41" s="824">
        <v>41169</v>
      </c>
      <c r="O41" s="978" t="s">
        <v>1446</v>
      </c>
    </row>
    <row r="42" spans="1:15" x14ac:dyDescent="0.25">
      <c r="A42" s="298" t="s">
        <v>589</v>
      </c>
      <c r="B42" s="298" t="s">
        <v>590</v>
      </c>
      <c r="C42" s="260">
        <v>40595</v>
      </c>
      <c r="D42" s="299">
        <v>40776</v>
      </c>
      <c r="E42" s="262">
        <v>3500</v>
      </c>
      <c r="F42" s="630"/>
      <c r="G42" s="259">
        <v>3100</v>
      </c>
      <c r="H42" s="259"/>
      <c r="I42" s="259">
        <v>1170</v>
      </c>
      <c r="J42" s="632"/>
      <c r="K42" s="259">
        <v>459</v>
      </c>
      <c r="L42" s="530">
        <f t="shared" si="2"/>
        <v>0</v>
      </c>
      <c r="M42" s="695">
        <f t="shared" si="3"/>
        <v>4270</v>
      </c>
      <c r="N42" s="821">
        <v>40828</v>
      </c>
      <c r="O42" s="811" t="s">
        <v>884</v>
      </c>
    </row>
    <row r="43" spans="1:15" x14ac:dyDescent="0.25">
      <c r="A43" s="298" t="s">
        <v>1450</v>
      </c>
      <c r="B43" s="298" t="s">
        <v>1451</v>
      </c>
      <c r="C43" s="260">
        <v>40662</v>
      </c>
      <c r="D43" s="299">
        <v>40845</v>
      </c>
      <c r="E43" s="262">
        <v>3500</v>
      </c>
      <c r="F43" s="630"/>
      <c r="G43" s="259">
        <v>606</v>
      </c>
      <c r="H43" s="259"/>
      <c r="I43" s="259">
        <v>1090</v>
      </c>
      <c r="J43" s="632"/>
      <c r="K43" s="259">
        <v>231</v>
      </c>
      <c r="L43" s="530"/>
      <c r="M43" s="695">
        <f t="shared" si="3"/>
        <v>1696</v>
      </c>
      <c r="N43" s="821">
        <v>41171</v>
      </c>
      <c r="O43" s="811" t="s">
        <v>666</v>
      </c>
    </row>
    <row r="44" spans="1:15" x14ac:dyDescent="0.25">
      <c r="A44" s="298" t="s">
        <v>591</v>
      </c>
      <c r="B44" s="298" t="s">
        <v>578</v>
      </c>
      <c r="C44" s="260">
        <v>40438</v>
      </c>
      <c r="D44" s="299">
        <v>40741</v>
      </c>
      <c r="E44" s="262">
        <v>3500</v>
      </c>
      <c r="F44" s="630"/>
      <c r="G44" s="259">
        <v>2550</v>
      </c>
      <c r="H44" s="259"/>
      <c r="I44" s="259">
        <v>3363</v>
      </c>
      <c r="J44" s="632"/>
      <c r="K44" s="259">
        <v>664</v>
      </c>
      <c r="L44" s="530">
        <f t="shared" si="2"/>
        <v>0</v>
      </c>
      <c r="M44" s="695">
        <f t="shared" si="3"/>
        <v>5913</v>
      </c>
      <c r="N44" s="821">
        <v>41400</v>
      </c>
      <c r="O44" s="812" t="s">
        <v>666</v>
      </c>
    </row>
    <row r="45" spans="1:15" x14ac:dyDescent="0.25">
      <c r="A45" s="298" t="s">
        <v>593</v>
      </c>
      <c r="B45" s="304" t="s">
        <v>594</v>
      </c>
      <c r="C45" s="260">
        <v>40449</v>
      </c>
      <c r="D45" s="299">
        <v>40722</v>
      </c>
      <c r="E45" s="262">
        <v>15000</v>
      </c>
      <c r="F45" s="630"/>
      <c r="G45" s="259">
        <v>7100</v>
      </c>
      <c r="H45" s="259"/>
      <c r="I45" s="259">
        <v>10950</v>
      </c>
      <c r="J45" s="632"/>
      <c r="K45" s="259">
        <v>1792</v>
      </c>
      <c r="L45" s="530">
        <f t="shared" si="2"/>
        <v>0</v>
      </c>
      <c r="M45" s="695">
        <f t="shared" si="3"/>
        <v>18050</v>
      </c>
      <c r="N45" s="821">
        <v>41667</v>
      </c>
      <c r="O45" s="812" t="s">
        <v>666</v>
      </c>
    </row>
    <row r="46" spans="1:15" x14ac:dyDescent="0.25">
      <c r="A46" s="298" t="s">
        <v>1081</v>
      </c>
      <c r="B46" s="304" t="s">
        <v>595</v>
      </c>
      <c r="C46" s="260">
        <v>40470</v>
      </c>
      <c r="D46" s="299">
        <v>40593</v>
      </c>
      <c r="E46" s="262">
        <v>2700</v>
      </c>
      <c r="F46" s="630"/>
      <c r="G46" s="259">
        <v>2025</v>
      </c>
      <c r="H46" s="259"/>
      <c r="I46" s="259">
        <v>2935</v>
      </c>
      <c r="J46" s="632"/>
      <c r="K46" s="259">
        <v>405</v>
      </c>
      <c r="L46" s="530">
        <f t="shared" si="2"/>
        <v>0</v>
      </c>
      <c r="M46" s="695">
        <f t="shared" si="3"/>
        <v>4960</v>
      </c>
      <c r="N46" s="825">
        <v>40500</v>
      </c>
      <c r="O46" s="816" t="s">
        <v>666</v>
      </c>
    </row>
    <row r="47" spans="1:15" x14ac:dyDescent="0.25">
      <c r="A47" s="298" t="s">
        <v>592</v>
      </c>
      <c r="B47" s="298" t="s">
        <v>42</v>
      </c>
      <c r="C47" s="260">
        <v>40399</v>
      </c>
      <c r="D47" s="299">
        <v>40642</v>
      </c>
      <c r="E47" s="262">
        <v>10000</v>
      </c>
      <c r="F47" s="630"/>
      <c r="G47" s="259">
        <v>7328</v>
      </c>
      <c r="H47" s="259"/>
      <c r="I47" s="259">
        <v>11885</v>
      </c>
      <c r="J47" s="632"/>
      <c r="K47" s="259">
        <v>1060</v>
      </c>
      <c r="L47" s="530">
        <f t="shared" si="2"/>
        <v>0</v>
      </c>
      <c r="M47" s="695">
        <f t="shared" si="3"/>
        <v>19213</v>
      </c>
      <c r="N47" s="821">
        <v>41096</v>
      </c>
      <c r="O47" s="816" t="s">
        <v>666</v>
      </c>
    </row>
    <row r="48" spans="1:15" x14ac:dyDescent="0.25">
      <c r="A48" s="298" t="s">
        <v>698</v>
      </c>
      <c r="B48" s="304" t="s">
        <v>699</v>
      </c>
      <c r="C48" s="260">
        <v>40718</v>
      </c>
      <c r="D48" s="299">
        <v>40840</v>
      </c>
      <c r="E48" s="262">
        <v>3000</v>
      </c>
      <c r="F48" s="630"/>
      <c r="G48" s="259">
        <v>3000</v>
      </c>
      <c r="H48" s="259"/>
      <c r="I48" s="259">
        <v>1650</v>
      </c>
      <c r="J48" s="632"/>
      <c r="K48" s="259">
        <v>387</v>
      </c>
      <c r="L48" s="530">
        <f t="shared" si="2"/>
        <v>0</v>
      </c>
      <c r="M48" s="695">
        <f t="shared" si="3"/>
        <v>4650</v>
      </c>
      <c r="N48" s="821">
        <v>40864</v>
      </c>
      <c r="O48" s="812" t="s">
        <v>884</v>
      </c>
    </row>
    <row r="49" spans="1:15" x14ac:dyDescent="0.25">
      <c r="A49" s="607" t="s">
        <v>988</v>
      </c>
      <c r="B49" s="607" t="s">
        <v>982</v>
      </c>
      <c r="C49" s="989">
        <v>40672</v>
      </c>
      <c r="D49" s="990">
        <v>40826</v>
      </c>
      <c r="E49" s="780">
        <v>10000</v>
      </c>
      <c r="F49" s="991"/>
      <c r="G49" s="780">
        <v>3850</v>
      </c>
      <c r="H49" s="301"/>
      <c r="I49" s="301">
        <v>2018</v>
      </c>
      <c r="J49" s="780"/>
      <c r="K49" s="780">
        <v>2050</v>
      </c>
      <c r="L49" s="530">
        <f t="shared" si="2"/>
        <v>0</v>
      </c>
      <c r="M49" s="695">
        <f t="shared" si="3"/>
        <v>5868</v>
      </c>
      <c r="N49" s="1123">
        <v>41263</v>
      </c>
      <c r="O49" s="812" t="s">
        <v>666</v>
      </c>
    </row>
    <row r="50" spans="1:15" x14ac:dyDescent="0.25">
      <c r="A50" s="298" t="s">
        <v>525</v>
      </c>
      <c r="B50" s="298" t="s">
        <v>526</v>
      </c>
      <c r="C50" s="260">
        <v>40330</v>
      </c>
      <c r="D50" s="299">
        <v>40574</v>
      </c>
      <c r="E50" s="262">
        <v>10000</v>
      </c>
      <c r="F50" s="630"/>
      <c r="G50" s="259">
        <v>8000</v>
      </c>
      <c r="H50" s="259"/>
      <c r="I50" s="259">
        <v>10549.25</v>
      </c>
      <c r="J50" s="632"/>
      <c r="K50" s="259">
        <v>2087</v>
      </c>
      <c r="L50" s="530">
        <f t="shared" si="2"/>
        <v>0</v>
      </c>
      <c r="M50" s="695">
        <f t="shared" si="3"/>
        <v>18549.25</v>
      </c>
      <c r="N50" s="821">
        <v>41169</v>
      </c>
      <c r="O50" s="813" t="s">
        <v>666</v>
      </c>
    </row>
    <row r="51" spans="1:15" x14ac:dyDescent="0.25">
      <c r="A51" s="298" t="s">
        <v>660</v>
      </c>
      <c r="B51" s="298" t="s">
        <v>13</v>
      </c>
      <c r="C51" s="260">
        <v>40490</v>
      </c>
      <c r="D51" s="299">
        <v>40794</v>
      </c>
      <c r="E51" s="262">
        <v>14000</v>
      </c>
      <c r="F51" s="630"/>
      <c r="G51" s="259">
        <v>12200</v>
      </c>
      <c r="H51" s="259"/>
      <c r="I51" s="259">
        <v>14015</v>
      </c>
      <c r="J51" s="632"/>
      <c r="K51" s="704">
        <v>2009</v>
      </c>
      <c r="L51" s="530">
        <f t="shared" si="2"/>
        <v>0</v>
      </c>
      <c r="M51" s="695">
        <f t="shared" si="3"/>
        <v>26215</v>
      </c>
      <c r="N51" s="823">
        <v>41337</v>
      </c>
      <c r="O51" s="811" t="s">
        <v>1228</v>
      </c>
    </row>
    <row r="52" spans="1:15" x14ac:dyDescent="0.25">
      <c r="A52" s="298" t="s">
        <v>445</v>
      </c>
      <c r="B52" s="298" t="s">
        <v>9</v>
      </c>
      <c r="C52" s="260">
        <v>40567</v>
      </c>
      <c r="D52" s="299">
        <v>40810</v>
      </c>
      <c r="E52" s="262">
        <v>5000</v>
      </c>
      <c r="F52" s="630"/>
      <c r="G52" s="259">
        <v>1200</v>
      </c>
      <c r="H52" s="259"/>
      <c r="I52" s="259">
        <v>1600</v>
      </c>
      <c r="J52" s="632"/>
      <c r="K52" s="704">
        <v>436</v>
      </c>
      <c r="L52" s="530">
        <f t="shared" si="2"/>
        <v>0</v>
      </c>
      <c r="M52" s="695">
        <f t="shared" si="3"/>
        <v>2800</v>
      </c>
      <c r="N52" s="823">
        <v>41151</v>
      </c>
      <c r="O52" s="813" t="s">
        <v>666</v>
      </c>
    </row>
    <row r="53" spans="1:15" x14ac:dyDescent="0.25">
      <c r="A53" s="298" t="s">
        <v>596</v>
      </c>
      <c r="B53" s="298" t="s">
        <v>597</v>
      </c>
      <c r="C53" s="260">
        <v>40625</v>
      </c>
      <c r="D53" s="299">
        <v>40686</v>
      </c>
      <c r="E53" s="262">
        <v>50000</v>
      </c>
      <c r="F53" s="630"/>
      <c r="G53" s="259">
        <v>41000</v>
      </c>
      <c r="H53" s="259"/>
      <c r="I53" s="259">
        <v>18450</v>
      </c>
      <c r="J53" s="259"/>
      <c r="K53" s="704">
        <v>18798</v>
      </c>
      <c r="L53" s="530">
        <f t="shared" si="2"/>
        <v>0</v>
      </c>
      <c r="M53" s="695">
        <f t="shared" si="3"/>
        <v>59450</v>
      </c>
      <c r="N53" s="823">
        <v>41416</v>
      </c>
      <c r="O53" s="811" t="s">
        <v>666</v>
      </c>
    </row>
    <row r="54" spans="1:15" x14ac:dyDescent="0.25">
      <c r="A54" s="298" t="s">
        <v>781</v>
      </c>
      <c r="B54" s="298" t="s">
        <v>468</v>
      </c>
      <c r="C54" s="260">
        <v>40505</v>
      </c>
      <c r="D54" s="299">
        <v>40686</v>
      </c>
      <c r="E54" s="262">
        <v>4000</v>
      </c>
      <c r="F54" s="630"/>
      <c r="G54" s="259">
        <v>2180</v>
      </c>
      <c r="H54" s="259"/>
      <c r="I54" s="259">
        <v>1717</v>
      </c>
      <c r="J54" s="259"/>
      <c r="K54" s="704">
        <v>431</v>
      </c>
      <c r="L54" s="530">
        <f t="shared" si="2"/>
        <v>0</v>
      </c>
      <c r="M54" s="695">
        <f t="shared" si="3"/>
        <v>3897</v>
      </c>
      <c r="N54" s="823">
        <v>41650</v>
      </c>
      <c r="O54" s="811" t="s">
        <v>666</v>
      </c>
    </row>
    <row r="55" spans="1:15" ht="15.75" thickBot="1" x14ac:dyDescent="0.3">
      <c r="A55" s="298" t="s">
        <v>598</v>
      </c>
      <c r="B55" s="298" t="s">
        <v>599</v>
      </c>
      <c r="C55" s="260">
        <v>40598</v>
      </c>
      <c r="D55" s="299">
        <v>40779</v>
      </c>
      <c r="E55" s="262">
        <v>15000</v>
      </c>
      <c r="F55" s="630"/>
      <c r="G55" s="259">
        <v>12300</v>
      </c>
      <c r="H55" s="259"/>
      <c r="I55" s="259">
        <v>17445</v>
      </c>
      <c r="J55" s="259"/>
      <c r="K55" s="259">
        <v>2170</v>
      </c>
      <c r="L55" s="530">
        <f t="shared" si="2"/>
        <v>0</v>
      </c>
      <c r="M55" s="695">
        <f t="shared" si="3"/>
        <v>29745</v>
      </c>
      <c r="N55" s="821">
        <v>41474</v>
      </c>
      <c r="O55" s="811" t="s">
        <v>666</v>
      </c>
    </row>
    <row r="56" spans="1:15" ht="15.75" thickBot="1" x14ac:dyDescent="0.3">
      <c r="A56" s="501" t="s">
        <v>1452</v>
      </c>
      <c r="B56" s="501"/>
      <c r="C56" s="502"/>
      <c r="D56" s="502"/>
      <c r="E56" s="226">
        <f t="shared" ref="E56:M56" si="4">SUM(E9:E55)</f>
        <v>688700</v>
      </c>
      <c r="F56" s="222">
        <f t="shared" si="4"/>
        <v>1800</v>
      </c>
      <c r="G56" s="223">
        <f t="shared" si="4"/>
        <v>515598</v>
      </c>
      <c r="H56" s="223">
        <f t="shared" si="4"/>
        <v>2250</v>
      </c>
      <c r="I56" s="224">
        <f t="shared" si="4"/>
        <v>653410.25</v>
      </c>
      <c r="J56" s="224">
        <f t="shared" si="4"/>
        <v>100</v>
      </c>
      <c r="K56" s="224">
        <f t="shared" si="4"/>
        <v>183278</v>
      </c>
      <c r="L56" s="225">
        <f t="shared" si="4"/>
        <v>4150</v>
      </c>
      <c r="M56" s="226">
        <f t="shared" si="4"/>
        <v>1169008.25</v>
      </c>
      <c r="N56" s="611"/>
      <c r="O56" s="555"/>
    </row>
  </sheetData>
  <sortState ref="A7:O105">
    <sortCondition ref="A7:A105"/>
  </sortState>
  <mergeCells count="2">
    <mergeCell ref="A1:N1"/>
    <mergeCell ref="F6:M6"/>
  </mergeCells>
  <pageMargins left="0.5" right="0.5" top="0.75" bottom="0.75" header="0.3" footer="0.3"/>
  <pageSetup paperSize="5" orientation="landscape" horizontalDpi="4294967293" verticalDpi="14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7"/>
  <sheetViews>
    <sheetView topLeftCell="A7" workbookViewId="0">
      <selection activeCell="A19" sqref="A19:XFD19"/>
    </sheetView>
  </sheetViews>
  <sheetFormatPr defaultRowHeight="15" x14ac:dyDescent="0.25"/>
  <cols>
    <col min="1" max="1" width="21.42578125" style="121" customWidth="1"/>
    <col min="2" max="2" width="11" customWidth="1"/>
    <col min="3" max="3" width="9.42578125" customWidth="1"/>
    <col min="4" max="4" width="9.7109375" customWidth="1"/>
    <col min="5" max="5" width="11.42578125" customWidth="1"/>
    <col min="6" max="6" width="9.140625" customWidth="1"/>
    <col min="7" max="7" width="10.5703125" customWidth="1"/>
    <col min="8" max="8" width="9.140625" customWidth="1"/>
    <col min="9" max="9" width="10" customWidth="1"/>
    <col min="10" max="10" width="9.7109375" customWidth="1"/>
    <col min="11" max="11" width="11.5703125" customWidth="1"/>
    <col min="12" max="12" width="10" customWidth="1"/>
    <col min="13" max="13" width="11.42578125" customWidth="1"/>
    <col min="14" max="14" width="11" customWidth="1"/>
    <col min="15" max="15" width="9.140625" style="15" customWidth="1"/>
    <col min="18" max="18" width="20.5703125" customWidth="1"/>
    <col min="19" max="19" width="15" customWidth="1"/>
    <col min="20" max="20" width="10" customWidth="1"/>
    <col min="21" max="21" width="12.42578125" customWidth="1"/>
    <col min="22" max="22" width="10.7109375" customWidth="1"/>
  </cols>
  <sheetData>
    <row r="1" spans="1:15" x14ac:dyDescent="0.25">
      <c r="A1" s="1358" t="s">
        <v>765</v>
      </c>
      <c r="B1" s="1358"/>
      <c r="C1" s="1358"/>
      <c r="D1" s="1358"/>
      <c r="E1" s="1358"/>
      <c r="F1" s="1358"/>
      <c r="G1" s="1358"/>
      <c r="H1" s="1358"/>
      <c r="I1" s="1358"/>
      <c r="J1" s="1358"/>
      <c r="K1" s="1358"/>
      <c r="L1" s="1358"/>
      <c r="M1" s="1358"/>
      <c r="N1" s="1358"/>
      <c r="O1" s="314"/>
    </row>
    <row r="2" spans="1:15" x14ac:dyDescent="0.25">
      <c r="A2" s="177"/>
      <c r="B2" s="314"/>
      <c r="C2" s="314"/>
      <c r="D2" s="314"/>
      <c r="E2" s="314"/>
      <c r="F2" s="177" t="s">
        <v>764</v>
      </c>
      <c r="G2" s="314"/>
      <c r="H2" s="314"/>
      <c r="I2" s="314"/>
      <c r="J2" s="314"/>
      <c r="K2" s="314"/>
      <c r="L2" s="314"/>
      <c r="M2" s="314"/>
      <c r="N2" s="314"/>
      <c r="O2" s="314"/>
    </row>
    <row r="3" spans="1:15" x14ac:dyDescent="0.25">
      <c r="A3" s="177"/>
      <c r="B3" s="314"/>
      <c r="C3" s="314"/>
      <c r="D3" s="314"/>
      <c r="E3" s="314"/>
      <c r="F3" s="177" t="s">
        <v>1437</v>
      </c>
      <c r="G3" s="314"/>
      <c r="H3" s="314"/>
      <c r="I3" s="314"/>
      <c r="J3" s="314"/>
      <c r="K3" s="314"/>
      <c r="L3" s="314"/>
      <c r="M3" s="314"/>
      <c r="N3" s="314"/>
      <c r="O3" s="314"/>
    </row>
    <row r="4" spans="1:15" x14ac:dyDescent="0.25">
      <c r="A4" s="177"/>
      <c r="B4" s="314"/>
      <c r="C4" s="314"/>
      <c r="D4" s="314"/>
      <c r="E4" s="314"/>
      <c r="F4" s="177"/>
      <c r="G4" s="314"/>
      <c r="H4" s="314"/>
      <c r="I4" s="314"/>
      <c r="J4" s="314"/>
      <c r="K4" s="314"/>
      <c r="L4" s="314"/>
      <c r="M4" s="314"/>
      <c r="N4" s="314"/>
      <c r="O4" s="314"/>
    </row>
    <row r="5" spans="1:15" ht="15.75" thickBot="1" x14ac:dyDescent="0.3">
      <c r="A5" s="177" t="s">
        <v>766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</row>
    <row r="6" spans="1:15" x14ac:dyDescent="0.25">
      <c r="A6" s="315"/>
      <c r="B6" s="316"/>
      <c r="C6" s="316" t="s">
        <v>139</v>
      </c>
      <c r="D6" s="317" t="s">
        <v>92</v>
      </c>
      <c r="E6" s="318" t="s">
        <v>574</v>
      </c>
      <c r="F6" s="319"/>
      <c r="G6" s="1369" t="s">
        <v>1438</v>
      </c>
      <c r="H6" s="1369"/>
      <c r="I6" s="1369"/>
      <c r="J6" s="1369"/>
      <c r="K6" s="1369"/>
      <c r="L6" s="1369"/>
      <c r="M6" s="1370"/>
      <c r="N6" s="320"/>
      <c r="O6" s="303"/>
    </row>
    <row r="7" spans="1:15" ht="15.75" thickBot="1" x14ac:dyDescent="0.3">
      <c r="A7" s="321" t="s">
        <v>2</v>
      </c>
      <c r="B7" s="322" t="s">
        <v>3</v>
      </c>
      <c r="C7" s="322" t="s">
        <v>90</v>
      </c>
      <c r="D7" s="323" t="s">
        <v>91</v>
      </c>
      <c r="E7" s="324" t="s">
        <v>575</v>
      </c>
      <c r="F7" s="325" t="s">
        <v>454</v>
      </c>
      <c r="G7" s="326" t="s">
        <v>6</v>
      </c>
      <c r="H7" s="326" t="s">
        <v>455</v>
      </c>
      <c r="I7" s="326" t="s">
        <v>19</v>
      </c>
      <c r="J7" s="326" t="s">
        <v>456</v>
      </c>
      <c r="K7" s="326" t="s">
        <v>80</v>
      </c>
      <c r="L7" s="326" t="s">
        <v>457</v>
      </c>
      <c r="M7" s="327" t="s">
        <v>400</v>
      </c>
      <c r="N7" s="328" t="s">
        <v>79</v>
      </c>
      <c r="O7" s="469" t="s">
        <v>418</v>
      </c>
    </row>
    <row r="8" spans="1:15" ht="15.75" thickBot="1" x14ac:dyDescent="0.3">
      <c r="A8" s="330"/>
      <c r="B8" s="330"/>
      <c r="C8" s="330"/>
      <c r="D8" s="331"/>
      <c r="E8" s="332"/>
      <c r="F8" s="333" t="s">
        <v>438</v>
      </c>
      <c r="G8" s="334"/>
      <c r="H8" s="335" t="s">
        <v>438</v>
      </c>
      <c r="I8" s="335"/>
      <c r="J8" s="335" t="s">
        <v>438</v>
      </c>
      <c r="K8" s="335"/>
      <c r="L8" s="335" t="s">
        <v>452</v>
      </c>
      <c r="M8" s="336"/>
      <c r="N8" s="320"/>
      <c r="O8" s="467"/>
    </row>
    <row r="9" spans="1:15" x14ac:dyDescent="0.25">
      <c r="A9" s="298" t="s">
        <v>390</v>
      </c>
      <c r="B9" s="298" t="s">
        <v>21</v>
      </c>
      <c r="C9" s="260">
        <v>40232</v>
      </c>
      <c r="D9" s="299">
        <v>40352</v>
      </c>
      <c r="E9" s="262">
        <v>5000</v>
      </c>
      <c r="F9" s="539"/>
      <c r="G9" s="255">
        <v>2500</v>
      </c>
      <c r="H9" s="255"/>
      <c r="I9" s="255">
        <v>4125</v>
      </c>
      <c r="J9" s="255"/>
      <c r="K9" s="255">
        <v>2287</v>
      </c>
      <c r="L9" s="255">
        <f t="shared" ref="L9:L36" si="0">+F9+H9+J9</f>
        <v>0</v>
      </c>
      <c r="M9" s="540">
        <f t="shared" ref="M9:M36" si="1">+G9+I9+K9</f>
        <v>8912</v>
      </c>
      <c r="N9" s="258">
        <v>40288</v>
      </c>
      <c r="O9" s="214"/>
    </row>
    <row r="10" spans="1:15" x14ac:dyDescent="0.25">
      <c r="A10" s="298" t="s">
        <v>1117</v>
      </c>
      <c r="B10" s="298" t="s">
        <v>1090</v>
      </c>
      <c r="C10" s="260">
        <v>40220</v>
      </c>
      <c r="D10" s="299">
        <v>40340</v>
      </c>
      <c r="E10" s="262">
        <v>5000</v>
      </c>
      <c r="F10" s="539"/>
      <c r="G10" s="255">
        <v>4645</v>
      </c>
      <c r="H10" s="255"/>
      <c r="I10" s="255">
        <v>10450</v>
      </c>
      <c r="J10" s="255"/>
      <c r="K10" s="255">
        <v>719</v>
      </c>
      <c r="L10" s="255">
        <f t="shared" ref="L10" si="2">+F10+H10+J10</f>
        <v>0</v>
      </c>
      <c r="M10" s="540">
        <f t="shared" ref="M10" si="3">+G10+I10+K10</f>
        <v>15814</v>
      </c>
      <c r="N10" s="258">
        <v>40256</v>
      </c>
      <c r="O10" s="214"/>
    </row>
    <row r="11" spans="1:15" x14ac:dyDescent="0.25">
      <c r="A11" s="298" t="s">
        <v>86</v>
      </c>
      <c r="B11" s="298" t="s">
        <v>9</v>
      </c>
      <c r="C11" s="260">
        <v>40232</v>
      </c>
      <c r="D11" s="299">
        <v>40413</v>
      </c>
      <c r="E11" s="262">
        <v>10000</v>
      </c>
      <c r="F11" s="541"/>
      <c r="G11" s="259">
        <v>1580</v>
      </c>
      <c r="H11" s="259">
        <v>10</v>
      </c>
      <c r="I11" s="259">
        <v>2571</v>
      </c>
      <c r="J11" s="259">
        <v>10</v>
      </c>
      <c r="K11" s="259">
        <v>3597</v>
      </c>
      <c r="L11" s="255">
        <f t="shared" si="0"/>
        <v>20</v>
      </c>
      <c r="M11" s="540">
        <f t="shared" si="1"/>
        <v>7748</v>
      </c>
      <c r="N11" s="258">
        <v>41635</v>
      </c>
      <c r="O11" s="468" t="s">
        <v>666</v>
      </c>
    </row>
    <row r="12" spans="1:15" x14ac:dyDescent="0.25">
      <c r="A12" s="300" t="s">
        <v>414</v>
      </c>
      <c r="B12" s="300" t="s">
        <v>15</v>
      </c>
      <c r="C12" s="304">
        <v>39872</v>
      </c>
      <c r="D12" s="337">
        <v>40237</v>
      </c>
      <c r="E12" s="338">
        <v>37000</v>
      </c>
      <c r="F12" s="542"/>
      <c r="G12" s="339">
        <v>36120</v>
      </c>
      <c r="H12" s="339"/>
      <c r="I12" s="339">
        <v>34529</v>
      </c>
      <c r="J12" s="339"/>
      <c r="K12" s="259">
        <v>4459</v>
      </c>
      <c r="L12" s="255">
        <f t="shared" si="0"/>
        <v>0</v>
      </c>
      <c r="M12" s="540">
        <f t="shared" si="1"/>
        <v>75108</v>
      </c>
      <c r="N12" s="258">
        <v>41055</v>
      </c>
      <c r="O12" s="214"/>
    </row>
    <row r="13" spans="1:15" x14ac:dyDescent="0.25">
      <c r="A13" s="298" t="s">
        <v>108</v>
      </c>
      <c r="B13" s="298" t="s">
        <v>15</v>
      </c>
      <c r="C13" s="260">
        <v>40312</v>
      </c>
      <c r="D13" s="299">
        <v>40435</v>
      </c>
      <c r="E13" s="262">
        <v>20000</v>
      </c>
      <c r="F13" s="541">
        <v>200</v>
      </c>
      <c r="G13" s="259">
        <v>8740</v>
      </c>
      <c r="H13" s="259">
        <v>400</v>
      </c>
      <c r="I13" s="259">
        <v>10864</v>
      </c>
      <c r="J13" s="259">
        <v>400</v>
      </c>
      <c r="K13" s="259">
        <v>2832</v>
      </c>
      <c r="L13" s="255">
        <f t="shared" si="0"/>
        <v>1000</v>
      </c>
      <c r="M13" s="540">
        <f t="shared" si="1"/>
        <v>22436</v>
      </c>
      <c r="N13" s="258">
        <v>41440</v>
      </c>
      <c r="O13" s="468"/>
    </row>
    <row r="14" spans="1:15" x14ac:dyDescent="0.25">
      <c r="A14" s="298" t="s">
        <v>30</v>
      </c>
      <c r="B14" s="298" t="s">
        <v>13</v>
      </c>
      <c r="C14" s="260">
        <v>39896</v>
      </c>
      <c r="D14" s="299">
        <v>40202</v>
      </c>
      <c r="E14" s="262">
        <v>4500</v>
      </c>
      <c r="F14" s="541"/>
      <c r="G14" s="259">
        <v>3368</v>
      </c>
      <c r="H14" s="259"/>
      <c r="I14" s="259">
        <v>5876</v>
      </c>
      <c r="J14" s="259"/>
      <c r="K14" s="259">
        <v>1319</v>
      </c>
      <c r="L14" s="255">
        <f t="shared" si="0"/>
        <v>0</v>
      </c>
      <c r="M14" s="540">
        <f t="shared" si="1"/>
        <v>10563</v>
      </c>
      <c r="N14" s="537">
        <v>40558</v>
      </c>
      <c r="O14" s="214"/>
    </row>
    <row r="15" spans="1:15" x14ac:dyDescent="0.25">
      <c r="A15" s="298" t="s">
        <v>432</v>
      </c>
      <c r="B15" s="304" t="s">
        <v>28</v>
      </c>
      <c r="C15" s="260">
        <v>40334</v>
      </c>
      <c r="D15" s="299">
        <v>40517</v>
      </c>
      <c r="E15" s="340">
        <v>15000</v>
      </c>
      <c r="F15" s="541"/>
      <c r="G15" s="259">
        <v>13895</v>
      </c>
      <c r="H15" s="259"/>
      <c r="I15" s="259">
        <v>15283</v>
      </c>
      <c r="J15" s="259"/>
      <c r="K15" s="259">
        <v>2837</v>
      </c>
      <c r="L15" s="255">
        <f t="shared" si="0"/>
        <v>0</v>
      </c>
      <c r="M15" s="540">
        <f t="shared" si="1"/>
        <v>32015</v>
      </c>
      <c r="N15" s="258">
        <v>40568</v>
      </c>
      <c r="O15" s="214"/>
    </row>
    <row r="16" spans="1:15" x14ac:dyDescent="0.25">
      <c r="A16" s="341" t="s">
        <v>505</v>
      </c>
      <c r="B16" s="341" t="s">
        <v>13</v>
      </c>
      <c r="C16" s="342">
        <v>40205</v>
      </c>
      <c r="D16" s="343">
        <v>40295</v>
      </c>
      <c r="E16" s="344">
        <v>200000</v>
      </c>
      <c r="F16" s="325"/>
      <c r="G16" s="346">
        <v>200000</v>
      </c>
      <c r="H16" s="346"/>
      <c r="I16" s="347">
        <v>250000</v>
      </c>
      <c r="J16" s="347"/>
      <c r="K16" s="259">
        <v>91999</v>
      </c>
      <c r="L16" s="255">
        <f t="shared" si="0"/>
        <v>0</v>
      </c>
      <c r="M16" s="540">
        <f t="shared" si="1"/>
        <v>541999</v>
      </c>
      <c r="N16" s="345" t="s">
        <v>76</v>
      </c>
      <c r="O16" s="214"/>
    </row>
    <row r="17" spans="1:15" x14ac:dyDescent="0.25">
      <c r="A17" s="341" t="s">
        <v>1118</v>
      </c>
      <c r="B17" s="341" t="s">
        <v>1119</v>
      </c>
      <c r="C17" s="342">
        <v>40378</v>
      </c>
      <c r="D17" s="343">
        <v>40470</v>
      </c>
      <c r="E17" s="344">
        <v>4000</v>
      </c>
      <c r="F17" s="325"/>
      <c r="G17" s="346">
        <v>1550</v>
      </c>
      <c r="H17" s="346"/>
      <c r="I17" s="347">
        <v>477</v>
      </c>
      <c r="J17" s="347"/>
      <c r="K17" s="259">
        <v>81</v>
      </c>
      <c r="L17" s="255">
        <f t="shared" si="0"/>
        <v>0</v>
      </c>
      <c r="M17" s="540">
        <f t="shared" si="1"/>
        <v>2108</v>
      </c>
      <c r="N17" s="937">
        <v>41083</v>
      </c>
      <c r="O17" s="214"/>
    </row>
    <row r="18" spans="1:15" x14ac:dyDescent="0.25">
      <c r="A18" s="298" t="s">
        <v>101</v>
      </c>
      <c r="B18" s="298" t="s">
        <v>102</v>
      </c>
      <c r="C18" s="260">
        <v>40102</v>
      </c>
      <c r="D18" s="299">
        <v>40225</v>
      </c>
      <c r="E18" s="262">
        <v>3500</v>
      </c>
      <c r="F18" s="541">
        <v>50</v>
      </c>
      <c r="G18" s="259">
        <v>2300</v>
      </c>
      <c r="H18" s="259">
        <v>50</v>
      </c>
      <c r="I18" s="259">
        <v>2774</v>
      </c>
      <c r="J18" s="259"/>
      <c r="K18" s="259">
        <v>1826</v>
      </c>
      <c r="L18" s="255">
        <f t="shared" si="0"/>
        <v>100</v>
      </c>
      <c r="M18" s="540">
        <f t="shared" si="1"/>
        <v>6900</v>
      </c>
      <c r="N18" s="258">
        <v>41442</v>
      </c>
      <c r="O18" s="468"/>
    </row>
    <row r="19" spans="1:15" x14ac:dyDescent="0.25">
      <c r="A19" s="298" t="s">
        <v>111</v>
      </c>
      <c r="B19" s="298" t="s">
        <v>8</v>
      </c>
      <c r="C19" s="260">
        <v>40340</v>
      </c>
      <c r="D19" s="299">
        <v>40432</v>
      </c>
      <c r="E19" s="262">
        <v>13000</v>
      </c>
      <c r="F19" s="541"/>
      <c r="G19" s="259">
        <v>9050</v>
      </c>
      <c r="H19" s="259"/>
      <c r="I19" s="259">
        <v>5562</v>
      </c>
      <c r="J19" s="259"/>
      <c r="K19" s="259">
        <v>759</v>
      </c>
      <c r="L19" s="255">
        <f t="shared" si="0"/>
        <v>0</v>
      </c>
      <c r="M19" s="540">
        <f t="shared" si="1"/>
        <v>15371</v>
      </c>
      <c r="N19" s="258">
        <v>40973</v>
      </c>
      <c r="O19" s="214"/>
    </row>
    <row r="20" spans="1:15" x14ac:dyDescent="0.25">
      <c r="A20" s="298" t="s">
        <v>825</v>
      </c>
      <c r="B20" s="298" t="s">
        <v>826</v>
      </c>
      <c r="C20" s="260">
        <v>39991</v>
      </c>
      <c r="D20" s="299">
        <v>40295</v>
      </c>
      <c r="E20" s="262">
        <v>24000</v>
      </c>
      <c r="F20" s="541"/>
      <c r="G20" s="259">
        <v>23360</v>
      </c>
      <c r="H20" s="259"/>
      <c r="I20" s="259">
        <v>30100</v>
      </c>
      <c r="J20" s="259"/>
      <c r="K20" s="259">
        <v>7652</v>
      </c>
      <c r="L20" s="255">
        <f t="shared" si="0"/>
        <v>0</v>
      </c>
      <c r="M20" s="540">
        <f t="shared" si="1"/>
        <v>61112</v>
      </c>
      <c r="N20" s="258">
        <v>40640</v>
      </c>
      <c r="O20" s="214"/>
    </row>
    <row r="21" spans="1:15" x14ac:dyDescent="0.25">
      <c r="A21" s="298" t="s">
        <v>62</v>
      </c>
      <c r="B21" s="304" t="s">
        <v>32</v>
      </c>
      <c r="C21" s="260">
        <v>40346</v>
      </c>
      <c r="D21" s="299">
        <v>40499</v>
      </c>
      <c r="E21" s="340">
        <v>15000</v>
      </c>
      <c r="F21" s="541"/>
      <c r="G21" s="259">
        <v>2710</v>
      </c>
      <c r="H21" s="259"/>
      <c r="I21" s="259">
        <v>10009</v>
      </c>
      <c r="J21" s="259"/>
      <c r="K21" s="259">
        <v>1200</v>
      </c>
      <c r="L21" s="255">
        <f t="shared" si="0"/>
        <v>0</v>
      </c>
      <c r="M21" s="540">
        <f t="shared" si="1"/>
        <v>13919</v>
      </c>
      <c r="N21" s="258">
        <v>41380</v>
      </c>
      <c r="O21" s="468"/>
    </row>
    <row r="22" spans="1:15" x14ac:dyDescent="0.25">
      <c r="A22" s="298" t="s">
        <v>66</v>
      </c>
      <c r="B22" s="298" t="s">
        <v>17</v>
      </c>
      <c r="C22" s="260">
        <v>40140</v>
      </c>
      <c r="D22" s="299">
        <v>40321</v>
      </c>
      <c r="E22" s="262">
        <v>10000</v>
      </c>
      <c r="F22" s="541">
        <v>100</v>
      </c>
      <c r="G22" s="259">
        <v>9750</v>
      </c>
      <c r="H22" s="259">
        <v>200</v>
      </c>
      <c r="I22" s="259">
        <v>12549</v>
      </c>
      <c r="J22" s="259">
        <v>100</v>
      </c>
      <c r="K22" s="259">
        <v>2197</v>
      </c>
      <c r="L22" s="255">
        <f t="shared" si="0"/>
        <v>400</v>
      </c>
      <c r="M22" s="540">
        <f t="shared" si="1"/>
        <v>24496</v>
      </c>
      <c r="N22" s="258">
        <v>41414</v>
      </c>
      <c r="O22" s="214"/>
    </row>
    <row r="23" spans="1:15" x14ac:dyDescent="0.25">
      <c r="A23" s="298" t="s">
        <v>395</v>
      </c>
      <c r="B23" s="298" t="s">
        <v>21</v>
      </c>
      <c r="C23" s="260">
        <v>40200</v>
      </c>
      <c r="D23" s="299">
        <v>40381</v>
      </c>
      <c r="E23" s="262">
        <v>10000</v>
      </c>
      <c r="F23" s="541"/>
      <c r="G23" s="259">
        <v>1833</v>
      </c>
      <c r="H23" s="259"/>
      <c r="I23" s="259">
        <v>988</v>
      </c>
      <c r="J23" s="259"/>
      <c r="K23" s="259">
        <v>2307</v>
      </c>
      <c r="L23" s="255">
        <f t="shared" si="0"/>
        <v>0</v>
      </c>
      <c r="M23" s="540">
        <f t="shared" si="1"/>
        <v>5128</v>
      </c>
      <c r="N23" s="258">
        <v>41387</v>
      </c>
      <c r="O23" s="468"/>
    </row>
    <row r="24" spans="1:15" x14ac:dyDescent="0.25">
      <c r="A24" s="298" t="s">
        <v>506</v>
      </c>
      <c r="B24" s="298" t="s">
        <v>104</v>
      </c>
      <c r="C24" s="260">
        <v>40374</v>
      </c>
      <c r="D24" s="299">
        <v>40527</v>
      </c>
      <c r="E24" s="262">
        <v>9000</v>
      </c>
      <c r="F24" s="561">
        <v>90</v>
      </c>
      <c r="G24" s="259">
        <v>1720</v>
      </c>
      <c r="H24" s="561">
        <v>160</v>
      </c>
      <c r="I24" s="259">
        <v>565</v>
      </c>
      <c r="J24" s="561">
        <v>160</v>
      </c>
      <c r="K24" s="259">
        <v>36</v>
      </c>
      <c r="L24" s="255">
        <f t="shared" si="0"/>
        <v>410</v>
      </c>
      <c r="M24" s="540">
        <f t="shared" si="1"/>
        <v>2321</v>
      </c>
      <c r="N24" s="258">
        <v>41424</v>
      </c>
      <c r="O24" s="470"/>
    </row>
    <row r="25" spans="1:15" x14ac:dyDescent="0.25">
      <c r="A25" s="298" t="s">
        <v>39</v>
      </c>
      <c r="B25" s="298" t="s">
        <v>416</v>
      </c>
      <c r="C25" s="260">
        <v>40032</v>
      </c>
      <c r="D25" s="299">
        <v>40397</v>
      </c>
      <c r="E25" s="262">
        <v>6500</v>
      </c>
      <c r="F25" s="541">
        <v>100</v>
      </c>
      <c r="G25" s="259">
        <v>3400</v>
      </c>
      <c r="H25" s="259">
        <v>200</v>
      </c>
      <c r="I25" s="259">
        <v>5125</v>
      </c>
      <c r="J25" s="259">
        <v>200</v>
      </c>
      <c r="K25" s="259">
        <v>783</v>
      </c>
      <c r="L25" s="255">
        <f t="shared" si="0"/>
        <v>500</v>
      </c>
      <c r="M25" s="540">
        <f t="shared" si="1"/>
        <v>9308</v>
      </c>
      <c r="N25" s="258">
        <v>41408</v>
      </c>
      <c r="O25" s="468"/>
    </row>
    <row r="26" spans="1:15" x14ac:dyDescent="0.25">
      <c r="A26" s="298" t="s">
        <v>396</v>
      </c>
      <c r="B26" s="304" t="s">
        <v>391</v>
      </c>
      <c r="C26" s="260">
        <v>40200</v>
      </c>
      <c r="D26" s="348">
        <v>40290</v>
      </c>
      <c r="E26" s="262">
        <v>5000</v>
      </c>
      <c r="F26" s="541"/>
      <c r="G26" s="259">
        <v>4250</v>
      </c>
      <c r="H26" s="259"/>
      <c r="I26" s="259">
        <v>6236</v>
      </c>
      <c r="J26" s="259"/>
      <c r="K26" s="259">
        <v>958</v>
      </c>
      <c r="L26" s="255">
        <f t="shared" si="0"/>
        <v>0</v>
      </c>
      <c r="M26" s="540">
        <f t="shared" si="1"/>
        <v>11444</v>
      </c>
      <c r="N26" s="258">
        <v>40236</v>
      </c>
      <c r="O26" s="214"/>
    </row>
    <row r="27" spans="1:15" x14ac:dyDescent="0.25">
      <c r="A27" s="298" t="s">
        <v>103</v>
      </c>
      <c r="B27" s="298" t="s">
        <v>9</v>
      </c>
      <c r="C27" s="260">
        <v>40093</v>
      </c>
      <c r="D27" s="299">
        <v>40244</v>
      </c>
      <c r="E27" s="262">
        <v>4000</v>
      </c>
      <c r="F27" s="541"/>
      <c r="G27" s="259">
        <v>4000</v>
      </c>
      <c r="H27" s="259"/>
      <c r="I27" s="259">
        <v>7370</v>
      </c>
      <c r="J27" s="259"/>
      <c r="K27" s="259">
        <v>1122</v>
      </c>
      <c r="L27" s="255">
        <f t="shared" si="0"/>
        <v>0</v>
      </c>
      <c r="M27" s="540">
        <f t="shared" si="1"/>
        <v>12492</v>
      </c>
      <c r="N27" s="258">
        <v>40701</v>
      </c>
      <c r="O27" s="214"/>
    </row>
    <row r="28" spans="1:15" x14ac:dyDescent="0.25">
      <c r="A28" s="298" t="s">
        <v>85</v>
      </c>
      <c r="B28" s="298" t="s">
        <v>15</v>
      </c>
      <c r="C28" s="260">
        <v>39997</v>
      </c>
      <c r="D28" s="299">
        <v>40181</v>
      </c>
      <c r="E28" s="262">
        <v>4000</v>
      </c>
      <c r="F28" s="541"/>
      <c r="G28" s="259">
        <v>340</v>
      </c>
      <c r="H28" s="259"/>
      <c r="I28" s="259">
        <v>307</v>
      </c>
      <c r="J28" s="259"/>
      <c r="K28" s="259">
        <v>100</v>
      </c>
      <c r="L28" s="255">
        <f t="shared" si="0"/>
        <v>0</v>
      </c>
      <c r="M28" s="540">
        <f t="shared" si="1"/>
        <v>747</v>
      </c>
      <c r="N28" s="537">
        <v>40883</v>
      </c>
      <c r="O28" s="214"/>
    </row>
    <row r="29" spans="1:15" x14ac:dyDescent="0.25">
      <c r="A29" s="298" t="s">
        <v>501</v>
      </c>
      <c r="B29" s="298" t="s">
        <v>502</v>
      </c>
      <c r="C29" s="260">
        <v>40364</v>
      </c>
      <c r="D29" s="299">
        <v>40487</v>
      </c>
      <c r="E29" s="305">
        <v>4000</v>
      </c>
      <c r="F29" s="541"/>
      <c r="G29" s="259">
        <v>1115</v>
      </c>
      <c r="H29" s="259"/>
      <c r="I29" s="259">
        <v>549</v>
      </c>
      <c r="J29" s="259"/>
      <c r="K29" s="259">
        <v>50</v>
      </c>
      <c r="L29" s="255">
        <f t="shared" si="0"/>
        <v>0</v>
      </c>
      <c r="M29" s="540">
        <f t="shared" si="1"/>
        <v>1714</v>
      </c>
      <c r="N29" s="258">
        <v>41276</v>
      </c>
      <c r="O29" s="214"/>
    </row>
    <row r="30" spans="1:15" x14ac:dyDescent="0.25">
      <c r="A30" s="298" t="s">
        <v>508</v>
      </c>
      <c r="B30" s="298" t="s">
        <v>509</v>
      </c>
      <c r="C30" s="260">
        <v>40402</v>
      </c>
      <c r="D30" s="299">
        <v>40494</v>
      </c>
      <c r="E30" s="305">
        <v>12000</v>
      </c>
      <c r="F30" s="541">
        <v>400</v>
      </c>
      <c r="G30" s="259">
        <v>1916</v>
      </c>
      <c r="H30" s="259"/>
      <c r="I30" s="259">
        <v>838</v>
      </c>
      <c r="J30" s="259"/>
      <c r="K30" s="259">
        <v>1100</v>
      </c>
      <c r="L30" s="255">
        <f t="shared" si="0"/>
        <v>400</v>
      </c>
      <c r="M30" s="540">
        <f t="shared" si="1"/>
        <v>3854</v>
      </c>
      <c r="N30" s="258">
        <v>41439</v>
      </c>
      <c r="O30" s="214"/>
    </row>
    <row r="31" spans="1:15" x14ac:dyDescent="0.25">
      <c r="A31" s="298" t="s">
        <v>69</v>
      </c>
      <c r="B31" s="298" t="s">
        <v>54</v>
      </c>
      <c r="C31" s="260">
        <v>40093</v>
      </c>
      <c r="D31" s="299">
        <v>40216</v>
      </c>
      <c r="E31" s="262">
        <v>10000</v>
      </c>
      <c r="F31" s="541">
        <v>50</v>
      </c>
      <c r="G31" s="259">
        <v>5534</v>
      </c>
      <c r="H31" s="259">
        <v>50</v>
      </c>
      <c r="I31" s="259">
        <v>4728</v>
      </c>
      <c r="J31" s="259"/>
      <c r="K31" s="259">
        <v>1370</v>
      </c>
      <c r="L31" s="255">
        <f t="shared" si="0"/>
        <v>100</v>
      </c>
      <c r="M31" s="540">
        <f t="shared" si="1"/>
        <v>11632</v>
      </c>
      <c r="N31" s="258">
        <v>41436</v>
      </c>
      <c r="O31" s="214"/>
    </row>
    <row r="32" spans="1:15" x14ac:dyDescent="0.25">
      <c r="A32" s="298" t="s">
        <v>41</v>
      </c>
      <c r="B32" s="298" t="s">
        <v>13</v>
      </c>
      <c r="C32" s="260">
        <v>39864</v>
      </c>
      <c r="D32" s="299">
        <v>40229</v>
      </c>
      <c r="E32" s="262">
        <v>10000</v>
      </c>
      <c r="F32" s="541">
        <v>200</v>
      </c>
      <c r="G32" s="259">
        <v>2601</v>
      </c>
      <c r="H32" s="259">
        <v>200</v>
      </c>
      <c r="I32" s="259">
        <v>2240</v>
      </c>
      <c r="J32" s="259">
        <v>200</v>
      </c>
      <c r="K32" s="259">
        <v>590</v>
      </c>
      <c r="L32" s="255">
        <f t="shared" si="0"/>
        <v>600</v>
      </c>
      <c r="M32" s="540">
        <f t="shared" si="1"/>
        <v>5431</v>
      </c>
      <c r="N32" s="258">
        <v>41422</v>
      </c>
      <c r="O32" s="214"/>
    </row>
    <row r="33" spans="1:15" x14ac:dyDescent="0.25">
      <c r="A33" s="298" t="s">
        <v>415</v>
      </c>
      <c r="B33" s="298" t="s">
        <v>416</v>
      </c>
      <c r="C33" s="260">
        <v>40190</v>
      </c>
      <c r="D33" s="299">
        <v>40249</v>
      </c>
      <c r="E33" s="262">
        <v>2500</v>
      </c>
      <c r="F33" s="541"/>
      <c r="G33" s="259">
        <v>2500</v>
      </c>
      <c r="H33" s="259"/>
      <c r="I33" s="259">
        <v>4875</v>
      </c>
      <c r="J33" s="259"/>
      <c r="K33" s="259">
        <v>2061</v>
      </c>
      <c r="L33" s="255">
        <f t="shared" si="0"/>
        <v>0</v>
      </c>
      <c r="M33" s="540">
        <f t="shared" si="1"/>
        <v>9436</v>
      </c>
      <c r="N33" s="538" t="s">
        <v>76</v>
      </c>
      <c r="O33" s="214"/>
    </row>
    <row r="34" spans="1:15" x14ac:dyDescent="0.25">
      <c r="A34" s="298" t="s">
        <v>510</v>
      </c>
      <c r="B34" s="298" t="s">
        <v>511</v>
      </c>
      <c r="C34" s="260">
        <v>40480</v>
      </c>
      <c r="D34" s="299">
        <v>40511</v>
      </c>
      <c r="E34" s="262">
        <v>10000</v>
      </c>
      <c r="F34" s="541"/>
      <c r="G34" s="259">
        <v>4000</v>
      </c>
      <c r="H34" s="259"/>
      <c r="I34" s="259">
        <v>6950</v>
      </c>
      <c r="J34" s="259"/>
      <c r="K34" s="259">
        <v>5017</v>
      </c>
      <c r="L34" s="255">
        <f t="shared" si="0"/>
        <v>0</v>
      </c>
      <c r="M34" s="540">
        <f t="shared" si="1"/>
        <v>15967</v>
      </c>
      <c r="N34" s="258">
        <v>41187</v>
      </c>
      <c r="O34" s="468"/>
    </row>
    <row r="35" spans="1:15" x14ac:dyDescent="0.25">
      <c r="A35" s="298" t="s">
        <v>78</v>
      </c>
      <c r="B35" s="298" t="s">
        <v>27</v>
      </c>
      <c r="C35" s="260">
        <v>39945</v>
      </c>
      <c r="D35" s="299">
        <v>40310</v>
      </c>
      <c r="E35" s="262">
        <v>10000</v>
      </c>
      <c r="F35" s="541">
        <v>150</v>
      </c>
      <c r="G35" s="259">
        <v>4100</v>
      </c>
      <c r="H35" s="259">
        <v>200</v>
      </c>
      <c r="I35" s="259">
        <v>7407</v>
      </c>
      <c r="J35" s="259">
        <v>50</v>
      </c>
      <c r="K35" s="259">
        <v>344</v>
      </c>
      <c r="L35" s="255">
        <f t="shared" si="0"/>
        <v>400</v>
      </c>
      <c r="M35" s="540">
        <f t="shared" si="1"/>
        <v>11851</v>
      </c>
      <c r="N35" s="258">
        <v>41450</v>
      </c>
      <c r="O35" s="468"/>
    </row>
    <row r="36" spans="1:15" ht="15.75" thickBot="1" x14ac:dyDescent="0.3">
      <c r="A36" s="707" t="s">
        <v>46</v>
      </c>
      <c r="B36" s="707" t="s">
        <v>21</v>
      </c>
      <c r="C36" s="618">
        <v>40501</v>
      </c>
      <c r="D36" s="708">
        <v>40317</v>
      </c>
      <c r="E36" s="465">
        <v>10000</v>
      </c>
      <c r="F36" s="543"/>
      <c r="G36" s="544">
        <v>6709</v>
      </c>
      <c r="H36" s="544"/>
      <c r="I36" s="544">
        <v>7916</v>
      </c>
      <c r="J36" s="544"/>
      <c r="K36" s="544">
        <v>2608</v>
      </c>
      <c r="L36" s="545">
        <f t="shared" si="0"/>
        <v>0</v>
      </c>
      <c r="M36" s="546">
        <f t="shared" si="1"/>
        <v>17233</v>
      </c>
      <c r="N36" s="258">
        <v>40408</v>
      </c>
      <c r="O36" s="214"/>
    </row>
    <row r="37" spans="1:15" ht="15.75" thickBot="1" x14ac:dyDescent="0.3">
      <c r="A37" s="633" t="s">
        <v>1134</v>
      </c>
      <c r="B37" s="633"/>
      <c r="C37" s="634"/>
      <c r="D37" s="634"/>
      <c r="E37" s="466">
        <f t="shared" ref="E37:M37" si="4">SUM(E9:E36)</f>
        <v>473000</v>
      </c>
      <c r="F37" s="449">
        <f t="shared" si="4"/>
        <v>1340</v>
      </c>
      <c r="G37" s="449">
        <f t="shared" si="4"/>
        <v>363586</v>
      </c>
      <c r="H37" s="449">
        <f t="shared" si="4"/>
        <v>1470</v>
      </c>
      <c r="I37" s="447">
        <f t="shared" si="4"/>
        <v>451263</v>
      </c>
      <c r="J37" s="447">
        <f t="shared" si="4"/>
        <v>1120</v>
      </c>
      <c r="K37" s="447">
        <f t="shared" si="4"/>
        <v>142210</v>
      </c>
      <c r="L37" s="448">
        <f t="shared" si="4"/>
        <v>3930</v>
      </c>
      <c r="M37" s="466">
        <f t="shared" si="4"/>
        <v>957059</v>
      </c>
      <c r="N37" s="313"/>
      <c r="O37" s="177"/>
    </row>
  </sheetData>
  <sortState ref="A7:O88">
    <sortCondition ref="A7"/>
  </sortState>
  <mergeCells count="2">
    <mergeCell ref="G6:M6"/>
    <mergeCell ref="A1:N1"/>
  </mergeCells>
  <pageMargins left="0.7" right="0.7" top="0.75" bottom="0.75" header="0.3" footer="0.3"/>
  <pageSetup paperSize="5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55"/>
  <sheetViews>
    <sheetView topLeftCell="A7" workbookViewId="0">
      <selection activeCell="E51" sqref="E51"/>
    </sheetView>
  </sheetViews>
  <sheetFormatPr defaultRowHeight="15" x14ac:dyDescent="0.25"/>
  <cols>
    <col min="1" max="1" width="18.28515625" customWidth="1"/>
    <col min="2" max="2" width="14.85546875" customWidth="1"/>
    <col min="3" max="3" width="8.5703125" customWidth="1"/>
    <col min="4" max="4" width="9" customWidth="1"/>
    <col min="5" max="5" width="11.28515625" customWidth="1"/>
    <col min="6" max="6" width="9.7109375" customWidth="1"/>
    <col min="7" max="7" width="10.5703125" customWidth="1"/>
    <col min="8" max="8" width="9.5703125" customWidth="1"/>
    <col min="9" max="9" width="10.5703125" customWidth="1"/>
    <col min="10" max="10" width="9.140625" customWidth="1"/>
    <col min="11" max="11" width="9.5703125" customWidth="1"/>
    <col min="12" max="12" width="10.28515625" customWidth="1"/>
    <col min="13" max="13" width="10.7109375" customWidth="1"/>
    <col min="14" max="14" width="9.7109375" style="971" customWidth="1"/>
    <col min="15" max="16" width="9.140625" customWidth="1"/>
    <col min="17" max="17" width="11.42578125" customWidth="1"/>
    <col min="18" max="18" width="11.28515625" customWidth="1"/>
    <col min="19" max="19" width="15.140625" customWidth="1"/>
    <col min="20" max="20" width="11.42578125" customWidth="1"/>
    <col min="21" max="21" width="11.7109375" customWidth="1"/>
    <col min="22" max="22" width="11.28515625" customWidth="1"/>
    <col min="23" max="23" width="12" customWidth="1"/>
  </cols>
  <sheetData>
    <row r="1" spans="1:23" x14ac:dyDescent="0.25">
      <c r="A1" s="291" t="s">
        <v>474</v>
      </c>
      <c r="B1" s="291"/>
      <c r="C1" s="292"/>
      <c r="D1" s="293"/>
      <c r="E1" s="292"/>
      <c r="F1" s="292"/>
      <c r="G1" s="292"/>
      <c r="H1" s="292"/>
      <c r="I1" s="291"/>
      <c r="J1" s="291"/>
      <c r="K1" s="291"/>
      <c r="L1" s="291"/>
      <c r="M1" s="291"/>
      <c r="N1" s="229"/>
      <c r="O1" s="294"/>
      <c r="P1" s="294"/>
      <c r="Q1" s="119"/>
      <c r="R1" s="120"/>
      <c r="S1" s="120"/>
      <c r="T1" s="120"/>
      <c r="U1" s="121"/>
      <c r="V1" s="121"/>
      <c r="W1" s="121"/>
    </row>
    <row r="2" spans="1:23" x14ac:dyDescent="0.25">
      <c r="A2" s="291" t="s">
        <v>475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29"/>
      <c r="O2" s="294"/>
      <c r="P2" s="294"/>
      <c r="Q2" s="108"/>
      <c r="R2" s="109"/>
      <c r="S2" s="109"/>
      <c r="T2" s="110"/>
      <c r="U2" s="122"/>
      <c r="V2" s="121"/>
      <c r="W2" s="121"/>
    </row>
    <row r="3" spans="1:23" x14ac:dyDescent="0.25">
      <c r="A3" s="291" t="s">
        <v>684</v>
      </c>
      <c r="B3" s="1356" t="s">
        <v>1439</v>
      </c>
      <c r="C3" s="1356"/>
      <c r="D3" s="1356"/>
      <c r="E3" s="1356"/>
      <c r="F3" s="1356"/>
      <c r="G3" s="1356"/>
      <c r="H3" s="1356"/>
      <c r="I3" s="291"/>
      <c r="J3" s="291"/>
      <c r="K3" s="291"/>
      <c r="L3" s="291"/>
      <c r="M3" s="291"/>
      <c r="N3" s="229"/>
      <c r="O3" s="291"/>
      <c r="P3" s="291"/>
      <c r="Q3" s="112"/>
      <c r="R3" s="109"/>
      <c r="S3" s="109"/>
      <c r="T3" s="109"/>
      <c r="U3" s="122"/>
      <c r="V3" s="121"/>
      <c r="W3" s="121"/>
    </row>
    <row r="4" spans="1:23" ht="15.75" thickBot="1" x14ac:dyDescent="0.3">
      <c r="A4" s="476" t="s">
        <v>399</v>
      </c>
      <c r="B4" s="476"/>
      <c r="C4" s="476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995"/>
      <c r="O4" s="295"/>
      <c r="P4" s="295"/>
      <c r="Q4" s="113"/>
      <c r="R4" s="114"/>
      <c r="S4" s="115"/>
      <c r="T4" s="110"/>
      <c r="U4" s="122"/>
      <c r="V4" s="121"/>
      <c r="W4" s="121"/>
    </row>
    <row r="5" spans="1:23" ht="15.75" thickBot="1" x14ac:dyDescent="0.3">
      <c r="A5" s="477" t="s">
        <v>2</v>
      </c>
      <c r="B5" s="243" t="s">
        <v>3</v>
      </c>
      <c r="C5" s="243" t="s">
        <v>90</v>
      </c>
      <c r="D5" s="478" t="s">
        <v>5</v>
      </c>
      <c r="E5" s="239" t="s">
        <v>574</v>
      </c>
      <c r="F5" s="1371" t="s">
        <v>1440</v>
      </c>
      <c r="G5" s="1372"/>
      <c r="H5" s="1372"/>
      <c r="I5" s="1372"/>
      <c r="J5" s="1372"/>
      <c r="K5" s="1372"/>
      <c r="L5" s="1372"/>
      <c r="M5" s="1373"/>
      <c r="N5" s="996"/>
      <c r="O5" s="473"/>
      <c r="P5" s="564"/>
      <c r="Q5" s="123"/>
      <c r="R5" s="124"/>
      <c r="S5" s="124"/>
      <c r="T5" s="125"/>
      <c r="U5" s="126"/>
      <c r="V5" s="121"/>
      <c r="W5" s="121"/>
    </row>
    <row r="6" spans="1:23" ht="15.75" thickBot="1" x14ac:dyDescent="0.3">
      <c r="A6" s="280"/>
      <c r="B6" s="479"/>
      <c r="C6" s="220" t="s">
        <v>476</v>
      </c>
      <c r="D6" s="480"/>
      <c r="E6" s="481" t="s">
        <v>575</v>
      </c>
      <c r="F6" s="482" t="s">
        <v>454</v>
      </c>
      <c r="G6" s="483" t="s">
        <v>6</v>
      </c>
      <c r="H6" s="484" t="s">
        <v>455</v>
      </c>
      <c r="I6" s="483" t="s">
        <v>19</v>
      </c>
      <c r="J6" s="485" t="s">
        <v>456</v>
      </c>
      <c r="K6" s="483" t="s">
        <v>80</v>
      </c>
      <c r="L6" s="485" t="s">
        <v>457</v>
      </c>
      <c r="M6" s="486" t="s">
        <v>400</v>
      </c>
      <c r="N6" s="487" t="s">
        <v>79</v>
      </c>
      <c r="O6" s="475" t="s">
        <v>418</v>
      </c>
      <c r="P6" s="565"/>
      <c r="Q6" s="127"/>
      <c r="R6" s="128"/>
      <c r="S6" s="128"/>
      <c r="T6" s="129"/>
      <c r="U6" s="126"/>
      <c r="V6" s="121"/>
      <c r="W6" s="121"/>
    </row>
    <row r="7" spans="1:23" ht="15.75" thickBot="1" x14ac:dyDescent="0.3">
      <c r="A7" s="196"/>
      <c r="B7" s="488"/>
      <c r="C7" s="489"/>
      <c r="D7" s="490"/>
      <c r="E7" s="239"/>
      <c r="F7" s="491" t="s">
        <v>438</v>
      </c>
      <c r="G7" s="492" t="s">
        <v>7</v>
      </c>
      <c r="H7" s="493" t="s">
        <v>438</v>
      </c>
      <c r="I7" s="492" t="s">
        <v>7</v>
      </c>
      <c r="J7" s="494" t="s">
        <v>438</v>
      </c>
      <c r="K7" s="492" t="s">
        <v>7</v>
      </c>
      <c r="L7" s="494" t="s">
        <v>452</v>
      </c>
      <c r="M7" s="495"/>
      <c r="N7" s="997"/>
      <c r="O7" s="474"/>
      <c r="P7" s="566"/>
      <c r="Q7" s="123"/>
      <c r="R7" s="124"/>
      <c r="S7" s="124"/>
      <c r="T7" s="125"/>
      <c r="U7" s="126"/>
      <c r="V7" s="121"/>
      <c r="W7" s="121"/>
    </row>
    <row r="8" spans="1:23" x14ac:dyDescent="0.25">
      <c r="A8" s="298" t="s">
        <v>82</v>
      </c>
      <c r="B8" s="298" t="s">
        <v>13</v>
      </c>
      <c r="C8" s="260">
        <v>39995</v>
      </c>
      <c r="D8" s="299">
        <v>40118</v>
      </c>
      <c r="E8" s="262">
        <v>8000</v>
      </c>
      <c r="F8" s="541"/>
      <c r="G8" s="259">
        <v>2718</v>
      </c>
      <c r="H8" s="263"/>
      <c r="I8" s="263">
        <v>2976</v>
      </c>
      <c r="J8" s="263"/>
      <c r="K8" s="259">
        <v>2152</v>
      </c>
      <c r="L8" s="255">
        <f>F8+H8+J8</f>
        <v>0</v>
      </c>
      <c r="M8" s="540">
        <f>G8+I8+K8</f>
        <v>7846</v>
      </c>
      <c r="N8" s="998">
        <v>41196</v>
      </c>
      <c r="O8" s="192"/>
      <c r="P8" s="218"/>
      <c r="Q8" s="127"/>
      <c r="R8" s="124">
        <f>G8*0.05+Q8</f>
        <v>135.9</v>
      </c>
      <c r="S8" s="131">
        <f>+G8*0.05+R8</f>
        <v>271.8</v>
      </c>
      <c r="T8" s="131">
        <f>+G8*0.05+S8-188</f>
        <v>219.70000000000005</v>
      </c>
      <c r="U8" s="132">
        <f>+G8*0.05+T8</f>
        <v>355.6</v>
      </c>
      <c r="V8" s="131">
        <f>+G8*0.05+U8</f>
        <v>491.5</v>
      </c>
      <c r="W8" s="131">
        <f>G8*0.05+V8</f>
        <v>627.4</v>
      </c>
    </row>
    <row r="9" spans="1:23" x14ac:dyDescent="0.25">
      <c r="A9" s="298" t="s">
        <v>606</v>
      </c>
      <c r="B9" s="298" t="s">
        <v>607</v>
      </c>
      <c r="C9" s="260">
        <v>39659</v>
      </c>
      <c r="D9" s="299">
        <v>40024</v>
      </c>
      <c r="E9" s="262">
        <v>10000</v>
      </c>
      <c r="F9" s="541">
        <v>1500</v>
      </c>
      <c r="G9" s="259">
        <v>5400</v>
      </c>
      <c r="H9" s="263">
        <v>500</v>
      </c>
      <c r="I9" s="263">
        <v>7800</v>
      </c>
      <c r="J9" s="263"/>
      <c r="K9" s="259">
        <v>3217</v>
      </c>
      <c r="L9" s="255">
        <f t="shared" ref="L9:L50" si="0">F9+H9+J9</f>
        <v>2000</v>
      </c>
      <c r="M9" s="540">
        <f t="shared" ref="M9:M50" si="1">G9+I9+K9</f>
        <v>16417</v>
      </c>
      <c r="N9" s="998">
        <v>41426</v>
      </c>
      <c r="O9" s="192"/>
      <c r="P9" s="218"/>
      <c r="Q9" s="127">
        <f>1345+175</f>
        <v>1520</v>
      </c>
      <c r="R9" s="124">
        <v>1270</v>
      </c>
      <c r="S9" s="131">
        <v>1200</v>
      </c>
      <c r="T9" s="131">
        <v>1150</v>
      </c>
      <c r="U9" s="132">
        <f>+G9*0.05+T9</f>
        <v>1420</v>
      </c>
      <c r="V9" s="131">
        <f>+G9*0.05+U9</f>
        <v>1690</v>
      </c>
      <c r="W9" s="131">
        <f>G9*0.05+V9</f>
        <v>1960</v>
      </c>
    </row>
    <row r="10" spans="1:23" x14ac:dyDescent="0.25">
      <c r="A10" s="298" t="s">
        <v>81</v>
      </c>
      <c r="B10" s="298" t="s">
        <v>27</v>
      </c>
      <c r="C10" s="260">
        <v>39884</v>
      </c>
      <c r="D10" s="299">
        <v>40006</v>
      </c>
      <c r="E10" s="262">
        <v>3500</v>
      </c>
      <c r="F10" s="541"/>
      <c r="G10" s="259">
        <v>2535</v>
      </c>
      <c r="H10" s="263"/>
      <c r="I10" s="263">
        <v>6140</v>
      </c>
      <c r="J10" s="263"/>
      <c r="K10" s="259">
        <v>1037</v>
      </c>
      <c r="L10" s="255">
        <f t="shared" si="0"/>
        <v>0</v>
      </c>
      <c r="M10" s="540">
        <f t="shared" si="1"/>
        <v>9712</v>
      </c>
      <c r="N10" s="998">
        <v>40827</v>
      </c>
      <c r="O10" s="192"/>
      <c r="P10" s="218"/>
      <c r="Q10" s="127">
        <v>1130</v>
      </c>
      <c r="R10" s="124">
        <v>780</v>
      </c>
      <c r="S10" s="131">
        <v>510</v>
      </c>
      <c r="T10" s="131">
        <v>335</v>
      </c>
      <c r="U10" s="132">
        <v>180</v>
      </c>
      <c r="V10" s="131">
        <v>1392</v>
      </c>
      <c r="W10" s="131">
        <f>G10*0.05+V10</f>
        <v>1518.75</v>
      </c>
    </row>
    <row r="11" spans="1:23" x14ac:dyDescent="0.25">
      <c r="A11" s="298" t="s">
        <v>401</v>
      </c>
      <c r="B11" s="298" t="s">
        <v>10</v>
      </c>
      <c r="C11" s="260">
        <v>40009</v>
      </c>
      <c r="D11" s="299">
        <v>40132</v>
      </c>
      <c r="E11" s="262">
        <v>7000</v>
      </c>
      <c r="F11" s="541"/>
      <c r="G11" s="259">
        <v>3070</v>
      </c>
      <c r="H11" s="263"/>
      <c r="I11" s="263">
        <v>2608</v>
      </c>
      <c r="J11" s="263"/>
      <c r="K11" s="259">
        <v>1464</v>
      </c>
      <c r="L11" s="255">
        <f t="shared" si="0"/>
        <v>0</v>
      </c>
      <c r="M11" s="540">
        <f t="shared" si="1"/>
        <v>7142</v>
      </c>
      <c r="N11" s="998">
        <v>40939</v>
      </c>
      <c r="O11" s="192"/>
      <c r="P11" s="218"/>
      <c r="Q11" s="127"/>
      <c r="R11" s="124"/>
      <c r="S11" s="131"/>
      <c r="T11" s="131"/>
      <c r="U11" s="132"/>
      <c r="V11" s="131"/>
      <c r="W11" s="131"/>
    </row>
    <row r="12" spans="1:23" x14ac:dyDescent="0.25">
      <c r="A12" s="298" t="s">
        <v>1120</v>
      </c>
      <c r="B12" s="298" t="s">
        <v>1121</v>
      </c>
      <c r="C12" s="260">
        <v>39959</v>
      </c>
      <c r="D12" s="299">
        <v>40051</v>
      </c>
      <c r="E12" s="262">
        <v>8500</v>
      </c>
      <c r="F12" s="541"/>
      <c r="G12" s="259">
        <v>6570</v>
      </c>
      <c r="H12" s="263"/>
      <c r="I12" s="263">
        <v>15787</v>
      </c>
      <c r="J12" s="263"/>
      <c r="K12" s="259">
        <v>1068</v>
      </c>
      <c r="L12" s="255">
        <f t="shared" si="0"/>
        <v>0</v>
      </c>
      <c r="M12" s="540">
        <f t="shared" si="1"/>
        <v>23425</v>
      </c>
      <c r="N12" s="998">
        <v>39994</v>
      </c>
      <c r="O12" s="192"/>
      <c r="P12" s="218"/>
      <c r="Q12" s="127"/>
      <c r="R12" s="124"/>
      <c r="S12" s="131"/>
      <c r="T12" s="131"/>
      <c r="U12" s="132"/>
      <c r="V12" s="131"/>
      <c r="W12" s="131"/>
    </row>
    <row r="13" spans="1:23" x14ac:dyDescent="0.25">
      <c r="A13" s="298" t="s">
        <v>402</v>
      </c>
      <c r="B13" s="298" t="s">
        <v>128</v>
      </c>
      <c r="C13" s="260">
        <v>40051</v>
      </c>
      <c r="D13" s="299">
        <v>40173</v>
      </c>
      <c r="E13" s="262">
        <v>9000</v>
      </c>
      <c r="F13" s="541"/>
      <c r="G13" s="259">
        <v>3734</v>
      </c>
      <c r="H13" s="263"/>
      <c r="I13" s="263">
        <v>5202</v>
      </c>
      <c r="J13" s="263"/>
      <c r="K13" s="259">
        <v>458</v>
      </c>
      <c r="L13" s="255">
        <f t="shared" si="0"/>
        <v>0</v>
      </c>
      <c r="M13" s="540">
        <f t="shared" si="1"/>
        <v>9394</v>
      </c>
      <c r="N13" s="998">
        <v>41308</v>
      </c>
      <c r="O13" s="506"/>
      <c r="P13" s="567"/>
      <c r="Q13" s="127">
        <f>2250+450</f>
        <v>2700</v>
      </c>
      <c r="R13" s="124">
        <v>1730</v>
      </c>
      <c r="S13" s="131">
        <v>1400</v>
      </c>
      <c r="T13" s="131">
        <v>1210</v>
      </c>
      <c r="U13" s="132">
        <v>1010</v>
      </c>
      <c r="V13" s="131">
        <v>920</v>
      </c>
      <c r="W13" s="131">
        <f>G13*0.05+V13</f>
        <v>1106.7</v>
      </c>
    </row>
    <row r="14" spans="1:23" x14ac:dyDescent="0.25">
      <c r="A14" s="298" t="s">
        <v>49</v>
      </c>
      <c r="B14" s="298" t="s">
        <v>48</v>
      </c>
      <c r="C14" s="260">
        <v>40037</v>
      </c>
      <c r="D14" s="299">
        <v>40159</v>
      </c>
      <c r="E14" s="262">
        <v>300000</v>
      </c>
      <c r="F14" s="541"/>
      <c r="G14" s="259">
        <v>225000</v>
      </c>
      <c r="H14" s="263">
        <v>10000</v>
      </c>
      <c r="I14" s="263">
        <v>226820</v>
      </c>
      <c r="J14" s="263">
        <v>10000</v>
      </c>
      <c r="K14" s="259">
        <v>101428</v>
      </c>
      <c r="L14" s="255">
        <f t="shared" si="0"/>
        <v>20000</v>
      </c>
      <c r="M14" s="540">
        <f t="shared" si="1"/>
        <v>553248</v>
      </c>
      <c r="N14" s="999">
        <v>41439</v>
      </c>
      <c r="O14" s="472"/>
      <c r="P14" s="568"/>
      <c r="Q14" s="133">
        <v>21000</v>
      </c>
      <c r="R14" s="124">
        <f>G14*0.05+Q14</f>
        <v>32250</v>
      </c>
      <c r="S14" s="131">
        <f>+G14*0.05+R14</f>
        <v>43500</v>
      </c>
      <c r="T14" s="131">
        <f>+G14*0.05+S14</f>
        <v>54750</v>
      </c>
      <c r="U14" s="132">
        <f>+G14*0.05+T14</f>
        <v>66000</v>
      </c>
      <c r="V14" s="131">
        <f>+G14*0.05+U14</f>
        <v>77250</v>
      </c>
      <c r="W14" s="131">
        <f>G14*0.05+V14</f>
        <v>88500</v>
      </c>
    </row>
    <row r="15" spans="1:23" x14ac:dyDescent="0.25">
      <c r="A15" s="298" t="s">
        <v>1122</v>
      </c>
      <c r="B15" s="298" t="s">
        <v>669</v>
      </c>
      <c r="C15" s="260">
        <v>40029</v>
      </c>
      <c r="D15" s="299">
        <v>40151</v>
      </c>
      <c r="E15" s="262">
        <v>4000</v>
      </c>
      <c r="F15" s="541"/>
      <c r="G15" s="259">
        <v>3490</v>
      </c>
      <c r="H15" s="263"/>
      <c r="I15" s="263">
        <v>8826</v>
      </c>
      <c r="J15" s="263"/>
      <c r="K15" s="259">
        <v>2725</v>
      </c>
      <c r="L15" s="255">
        <f t="shared" si="0"/>
        <v>0</v>
      </c>
      <c r="M15" s="540">
        <f t="shared" si="1"/>
        <v>15041</v>
      </c>
      <c r="N15" s="999">
        <v>40149</v>
      </c>
      <c r="O15" s="472"/>
      <c r="P15" s="568"/>
      <c r="Q15" s="133"/>
      <c r="R15" s="124"/>
      <c r="S15" s="131"/>
      <c r="T15" s="131"/>
      <c r="U15" s="132"/>
      <c r="V15" s="131"/>
      <c r="W15" s="131"/>
    </row>
    <row r="16" spans="1:23" x14ac:dyDescent="0.25">
      <c r="A16" s="298" t="s">
        <v>883</v>
      </c>
      <c r="B16" s="298" t="s">
        <v>127</v>
      </c>
      <c r="C16" s="260">
        <v>39779</v>
      </c>
      <c r="D16" s="299">
        <v>39899</v>
      </c>
      <c r="E16" s="262">
        <v>8000</v>
      </c>
      <c r="F16" s="541"/>
      <c r="G16" s="259">
        <v>6800</v>
      </c>
      <c r="H16" s="263"/>
      <c r="I16" s="263">
        <v>10962</v>
      </c>
      <c r="J16" s="263"/>
      <c r="K16" s="259">
        <v>4227</v>
      </c>
      <c r="L16" s="255">
        <f t="shared" si="0"/>
        <v>0</v>
      </c>
      <c r="M16" s="540">
        <f t="shared" si="1"/>
        <v>21989</v>
      </c>
      <c r="N16" s="998">
        <v>40954</v>
      </c>
      <c r="O16" s="192"/>
      <c r="P16" s="218"/>
      <c r="Q16" s="127">
        <f>1258+200</f>
        <v>1458</v>
      </c>
      <c r="R16" s="124">
        <f>G16*0.05+Q16</f>
        <v>1798</v>
      </c>
      <c r="S16" s="131">
        <f>+G16*0.05+R16</f>
        <v>2138</v>
      </c>
      <c r="T16" s="131">
        <f>+G16*0.05+S16</f>
        <v>2478</v>
      </c>
      <c r="U16" s="132">
        <f>+G16*0.05+T16</f>
        <v>2818</v>
      </c>
      <c r="V16" s="131">
        <v>1982</v>
      </c>
      <c r="W16" s="131">
        <f>G16*0.05+V16</f>
        <v>2322</v>
      </c>
    </row>
    <row r="17" spans="1:23" x14ac:dyDescent="0.25">
      <c r="A17" s="298" t="s">
        <v>126</v>
      </c>
      <c r="B17" s="298" t="s">
        <v>127</v>
      </c>
      <c r="C17" s="260">
        <v>39883</v>
      </c>
      <c r="D17" s="299">
        <v>40005</v>
      </c>
      <c r="E17" s="262">
        <v>10000</v>
      </c>
      <c r="F17" s="541">
        <v>70</v>
      </c>
      <c r="G17" s="259">
        <v>4865</v>
      </c>
      <c r="H17" s="263"/>
      <c r="I17" s="263">
        <v>12204</v>
      </c>
      <c r="J17" s="263"/>
      <c r="K17" s="259">
        <v>3640</v>
      </c>
      <c r="L17" s="255">
        <f t="shared" si="0"/>
        <v>70</v>
      </c>
      <c r="M17" s="540">
        <f t="shared" si="1"/>
        <v>20709</v>
      </c>
      <c r="N17" s="998">
        <v>41615</v>
      </c>
      <c r="O17" s="471" t="s">
        <v>666</v>
      </c>
      <c r="P17" s="499"/>
      <c r="Q17" s="127"/>
      <c r="R17" s="123"/>
      <c r="S17" s="131"/>
      <c r="T17" s="131"/>
      <c r="U17" s="132"/>
      <c r="V17" s="131"/>
      <c r="W17" s="131"/>
    </row>
    <row r="18" spans="1:23" x14ac:dyDescent="0.25">
      <c r="A18" s="298" t="s">
        <v>627</v>
      </c>
      <c r="B18" s="298" t="s">
        <v>628</v>
      </c>
      <c r="C18" s="260">
        <v>39728</v>
      </c>
      <c r="D18" s="299">
        <v>39851</v>
      </c>
      <c r="E18" s="262">
        <v>10000</v>
      </c>
      <c r="F18" s="541">
        <v>200</v>
      </c>
      <c r="G18" s="259">
        <v>6960</v>
      </c>
      <c r="H18" s="263">
        <v>200</v>
      </c>
      <c r="I18" s="263">
        <v>12655</v>
      </c>
      <c r="J18" s="263">
        <v>100</v>
      </c>
      <c r="K18" s="259">
        <v>2710</v>
      </c>
      <c r="L18" s="255">
        <f t="shared" si="0"/>
        <v>500</v>
      </c>
      <c r="M18" s="540">
        <f t="shared" si="1"/>
        <v>22325</v>
      </c>
      <c r="N18" s="998">
        <v>41432</v>
      </c>
      <c r="O18" s="471"/>
      <c r="P18" s="499"/>
      <c r="Q18" s="127"/>
      <c r="R18" s="123"/>
      <c r="S18" s="131"/>
      <c r="T18" s="131"/>
      <c r="U18" s="132"/>
      <c r="V18" s="131"/>
      <c r="W18" s="131"/>
    </row>
    <row r="19" spans="1:23" x14ac:dyDescent="0.25">
      <c r="A19" s="298" t="s">
        <v>618</v>
      </c>
      <c r="B19" s="298" t="s">
        <v>487</v>
      </c>
      <c r="C19" s="260">
        <v>39714</v>
      </c>
      <c r="D19" s="299">
        <v>39836</v>
      </c>
      <c r="E19" s="262">
        <v>6000</v>
      </c>
      <c r="F19" s="541"/>
      <c r="G19" s="259">
        <v>2700</v>
      </c>
      <c r="H19" s="263"/>
      <c r="I19" s="263">
        <v>2929</v>
      </c>
      <c r="J19" s="263"/>
      <c r="K19" s="259">
        <v>1000</v>
      </c>
      <c r="L19" s="255">
        <f t="shared" si="0"/>
        <v>0</v>
      </c>
      <c r="M19" s="540">
        <f t="shared" si="1"/>
        <v>6629</v>
      </c>
      <c r="N19" s="998">
        <v>41289</v>
      </c>
      <c r="O19" s="471"/>
      <c r="P19" s="499"/>
      <c r="Q19" s="127"/>
      <c r="R19" s="123"/>
      <c r="S19" s="131"/>
      <c r="T19" s="131"/>
      <c r="U19" s="132"/>
      <c r="V19" s="131"/>
      <c r="W19" s="131"/>
    </row>
    <row r="20" spans="1:23" x14ac:dyDescent="0.25">
      <c r="A20" s="298" t="s">
        <v>603</v>
      </c>
      <c r="B20" s="298" t="s">
        <v>32</v>
      </c>
      <c r="C20" s="260">
        <v>39672</v>
      </c>
      <c r="D20" s="299">
        <v>39915</v>
      </c>
      <c r="E20" s="262">
        <v>7000</v>
      </c>
      <c r="F20" s="541"/>
      <c r="G20" s="259">
        <v>4730</v>
      </c>
      <c r="H20" s="263"/>
      <c r="I20" s="263">
        <v>3030</v>
      </c>
      <c r="J20" s="263"/>
      <c r="K20" s="259">
        <v>971</v>
      </c>
      <c r="L20" s="255">
        <f t="shared" si="0"/>
        <v>0</v>
      </c>
      <c r="M20" s="540">
        <f t="shared" si="1"/>
        <v>8731</v>
      </c>
      <c r="N20" s="998">
        <v>41383</v>
      </c>
      <c r="O20" s="506"/>
      <c r="P20" s="567"/>
      <c r="Q20" s="127"/>
      <c r="R20" s="124">
        <f t="shared" ref="R20:R25" si="2">G20*0.05+Q20</f>
        <v>236.5</v>
      </c>
      <c r="S20" s="131"/>
      <c r="T20" s="131"/>
      <c r="U20" s="132"/>
      <c r="V20" s="131"/>
      <c r="W20" s="131"/>
    </row>
    <row r="21" spans="1:23" x14ac:dyDescent="0.25">
      <c r="A21" s="298" t="s">
        <v>619</v>
      </c>
      <c r="B21" s="298" t="s">
        <v>133</v>
      </c>
      <c r="C21" s="260">
        <v>39625</v>
      </c>
      <c r="D21" s="299">
        <v>39929</v>
      </c>
      <c r="E21" s="262">
        <v>50000</v>
      </c>
      <c r="F21" s="541"/>
      <c r="G21" s="259">
        <v>44730</v>
      </c>
      <c r="H21" s="263"/>
      <c r="I21" s="263">
        <v>54863</v>
      </c>
      <c r="J21" s="263"/>
      <c r="K21" s="259">
        <v>12960</v>
      </c>
      <c r="L21" s="255">
        <f t="shared" si="0"/>
        <v>0</v>
      </c>
      <c r="M21" s="540">
        <f t="shared" si="1"/>
        <v>112553</v>
      </c>
      <c r="N21" s="998">
        <v>41297</v>
      </c>
      <c r="O21" s="506"/>
      <c r="P21" s="567"/>
      <c r="Q21" s="127"/>
      <c r="R21" s="124"/>
      <c r="S21" s="131"/>
      <c r="T21" s="131"/>
      <c r="U21" s="132"/>
      <c r="V21" s="131"/>
      <c r="W21" s="131"/>
    </row>
    <row r="22" spans="1:23" x14ac:dyDescent="0.25">
      <c r="A22" s="298" t="s">
        <v>625</v>
      </c>
      <c r="B22" s="298" t="s">
        <v>626</v>
      </c>
      <c r="C22" s="260">
        <v>39729</v>
      </c>
      <c r="D22" s="299">
        <v>39852</v>
      </c>
      <c r="E22" s="262">
        <v>8500</v>
      </c>
      <c r="F22" s="541">
        <v>200</v>
      </c>
      <c r="G22" s="259">
        <v>2610</v>
      </c>
      <c r="H22" s="263">
        <v>200</v>
      </c>
      <c r="I22" s="263">
        <v>1594</v>
      </c>
      <c r="J22" s="263">
        <v>100</v>
      </c>
      <c r="K22" s="259">
        <v>1214</v>
      </c>
      <c r="L22" s="255">
        <f t="shared" si="0"/>
        <v>500</v>
      </c>
      <c r="M22" s="540">
        <f t="shared" si="1"/>
        <v>5418</v>
      </c>
      <c r="N22" s="998">
        <v>41440</v>
      </c>
      <c r="O22" s="192"/>
      <c r="P22" s="218"/>
      <c r="Q22" s="127"/>
      <c r="R22" s="124"/>
      <c r="S22" s="131"/>
      <c r="T22" s="131"/>
      <c r="U22" s="132"/>
      <c r="V22" s="131"/>
      <c r="W22" s="131"/>
    </row>
    <row r="23" spans="1:23" x14ac:dyDescent="0.25">
      <c r="A23" s="298" t="s">
        <v>620</v>
      </c>
      <c r="B23" s="298" t="s">
        <v>621</v>
      </c>
      <c r="C23" s="260">
        <v>39716</v>
      </c>
      <c r="D23" s="299">
        <v>39838</v>
      </c>
      <c r="E23" s="262">
        <v>13000</v>
      </c>
      <c r="F23" s="541"/>
      <c r="G23" s="259">
        <v>8560</v>
      </c>
      <c r="H23" s="263"/>
      <c r="I23" s="263">
        <v>6652</v>
      </c>
      <c r="J23" s="263"/>
      <c r="K23" s="259">
        <v>644</v>
      </c>
      <c r="L23" s="255">
        <f t="shared" si="0"/>
        <v>0</v>
      </c>
      <c r="M23" s="540">
        <f t="shared" si="1"/>
        <v>15856</v>
      </c>
      <c r="N23" s="998">
        <v>41097</v>
      </c>
      <c r="O23" s="506"/>
      <c r="P23" s="567"/>
      <c r="Q23" s="127"/>
      <c r="R23" s="124"/>
      <c r="S23" s="131"/>
      <c r="T23" s="131"/>
      <c r="U23" s="132"/>
      <c r="V23" s="131"/>
      <c r="W23" s="131"/>
    </row>
    <row r="24" spans="1:23" x14ac:dyDescent="0.25">
      <c r="A24" s="298" t="s">
        <v>50</v>
      </c>
      <c r="B24" s="298" t="s">
        <v>15</v>
      </c>
      <c r="C24" s="260">
        <v>39989</v>
      </c>
      <c r="D24" s="299">
        <v>40111</v>
      </c>
      <c r="E24" s="262">
        <v>2500</v>
      </c>
      <c r="F24" s="541"/>
      <c r="G24" s="259">
        <v>1602</v>
      </c>
      <c r="H24" s="263"/>
      <c r="I24" s="263">
        <v>1294</v>
      </c>
      <c r="J24" s="263"/>
      <c r="K24" s="259">
        <v>583</v>
      </c>
      <c r="L24" s="255">
        <f t="shared" si="0"/>
        <v>0</v>
      </c>
      <c r="M24" s="540">
        <f t="shared" si="1"/>
        <v>3479</v>
      </c>
      <c r="N24" s="998">
        <v>40851</v>
      </c>
      <c r="O24" s="192"/>
      <c r="P24" s="218"/>
      <c r="Q24" s="127">
        <v>32</v>
      </c>
      <c r="R24" s="124">
        <f t="shared" si="2"/>
        <v>112.10000000000001</v>
      </c>
      <c r="S24" s="131">
        <f>+G24*0.05+R24</f>
        <v>192.20000000000002</v>
      </c>
      <c r="T24" s="131">
        <v>328</v>
      </c>
      <c r="U24" s="132">
        <v>354</v>
      </c>
      <c r="V24" s="131">
        <f>+G24*0.05+U24</f>
        <v>434.1</v>
      </c>
      <c r="W24" s="131">
        <f>G24*0.05+V24</f>
        <v>514.20000000000005</v>
      </c>
    </row>
    <row r="25" spans="1:23" x14ac:dyDescent="0.25">
      <c r="A25" s="298" t="s">
        <v>130</v>
      </c>
      <c r="B25" s="298" t="s">
        <v>13</v>
      </c>
      <c r="C25" s="260">
        <v>39886</v>
      </c>
      <c r="D25" s="299">
        <v>40008</v>
      </c>
      <c r="E25" s="262">
        <v>4500</v>
      </c>
      <c r="F25" s="541"/>
      <c r="G25" s="259">
        <v>3500</v>
      </c>
      <c r="H25" s="263"/>
      <c r="I25" s="263">
        <v>8359</v>
      </c>
      <c r="J25" s="263"/>
      <c r="K25" s="259">
        <v>2076</v>
      </c>
      <c r="L25" s="255">
        <f t="shared" si="0"/>
        <v>0</v>
      </c>
      <c r="M25" s="540">
        <f t="shared" si="1"/>
        <v>13935</v>
      </c>
      <c r="N25" s="998">
        <v>40846</v>
      </c>
      <c r="O25" s="192"/>
      <c r="P25" s="218"/>
      <c r="Q25" s="127">
        <f>867+255</f>
        <v>1122</v>
      </c>
      <c r="R25" s="124">
        <f t="shared" si="2"/>
        <v>1297</v>
      </c>
      <c r="S25" s="131">
        <f>+G25*0.05+R25</f>
        <v>1472</v>
      </c>
      <c r="T25" s="131">
        <f>+G25*0.05+S25</f>
        <v>1647</v>
      </c>
      <c r="U25" s="132">
        <f>+G25*0.05+T25</f>
        <v>1822</v>
      </c>
      <c r="V25" s="131">
        <f>+G25*0.05+U25-150</f>
        <v>1847</v>
      </c>
      <c r="W25" s="131">
        <f>G25*0.05+V25</f>
        <v>2022</v>
      </c>
    </row>
    <row r="26" spans="1:23" x14ac:dyDescent="0.25">
      <c r="A26" s="298" t="s">
        <v>600</v>
      </c>
      <c r="B26" s="298" t="s">
        <v>601</v>
      </c>
      <c r="C26" s="260">
        <v>39637</v>
      </c>
      <c r="D26" s="299">
        <v>40006</v>
      </c>
      <c r="E26" s="262">
        <v>10000</v>
      </c>
      <c r="F26" s="541">
        <v>510</v>
      </c>
      <c r="G26" s="259">
        <v>5170</v>
      </c>
      <c r="H26" s="263">
        <v>110</v>
      </c>
      <c r="I26" s="263">
        <v>6189</v>
      </c>
      <c r="J26" s="263"/>
      <c r="K26" s="259">
        <v>1779</v>
      </c>
      <c r="L26" s="255">
        <f t="shared" si="0"/>
        <v>620</v>
      </c>
      <c r="M26" s="540">
        <f t="shared" si="1"/>
        <v>13138</v>
      </c>
      <c r="N26" s="998">
        <v>41452</v>
      </c>
      <c r="O26" s="506"/>
      <c r="P26" s="567"/>
      <c r="Q26" s="127"/>
      <c r="R26" s="124"/>
      <c r="S26" s="131"/>
      <c r="T26" s="131"/>
      <c r="U26" s="132"/>
      <c r="V26" s="131"/>
      <c r="W26" s="131"/>
    </row>
    <row r="27" spans="1:23" x14ac:dyDescent="0.25">
      <c r="A27" s="298" t="s">
        <v>1123</v>
      </c>
      <c r="B27" s="188" t="s">
        <v>1124</v>
      </c>
      <c r="C27" s="260">
        <v>39744</v>
      </c>
      <c r="D27" s="299">
        <v>40048</v>
      </c>
      <c r="E27" s="262">
        <v>10000</v>
      </c>
      <c r="F27" s="541"/>
      <c r="G27" s="259">
        <v>10000</v>
      </c>
      <c r="H27" s="263"/>
      <c r="I27" s="263">
        <v>27500</v>
      </c>
      <c r="J27" s="263"/>
      <c r="K27" s="259">
        <v>3145</v>
      </c>
      <c r="L27" s="255">
        <f t="shared" si="0"/>
        <v>0</v>
      </c>
      <c r="M27" s="540">
        <f t="shared" si="1"/>
        <v>40645</v>
      </c>
      <c r="N27" s="998">
        <v>40368</v>
      </c>
      <c r="O27" s="506"/>
      <c r="P27" s="567"/>
      <c r="Q27" s="127"/>
      <c r="R27" s="124"/>
      <c r="S27" s="131"/>
      <c r="T27" s="131"/>
      <c r="U27" s="132"/>
      <c r="V27" s="131"/>
      <c r="W27" s="131"/>
    </row>
    <row r="28" spans="1:23" x14ac:dyDescent="0.25">
      <c r="A28" s="298" t="s">
        <v>663</v>
      </c>
      <c r="B28" s="298" t="s">
        <v>664</v>
      </c>
      <c r="C28" s="260">
        <v>39765</v>
      </c>
      <c r="D28" s="299">
        <v>40130</v>
      </c>
      <c r="E28" s="262">
        <v>20000</v>
      </c>
      <c r="F28" s="541"/>
      <c r="G28" s="259">
        <v>18900</v>
      </c>
      <c r="H28" s="263"/>
      <c r="I28" s="263">
        <v>35049</v>
      </c>
      <c r="J28" s="263"/>
      <c r="K28" s="259">
        <v>3578</v>
      </c>
      <c r="L28" s="255">
        <f t="shared" si="0"/>
        <v>0</v>
      </c>
      <c r="M28" s="540">
        <f t="shared" si="1"/>
        <v>57527</v>
      </c>
      <c r="N28" s="998">
        <v>40698</v>
      </c>
      <c r="O28" s="192"/>
      <c r="P28" s="218"/>
      <c r="Q28" s="127"/>
      <c r="R28" s="124"/>
      <c r="S28" s="131"/>
      <c r="T28" s="131"/>
      <c r="U28" s="132"/>
      <c r="V28" s="131"/>
      <c r="W28" s="131"/>
    </row>
    <row r="29" spans="1:23" x14ac:dyDescent="0.25">
      <c r="A29" s="298" t="s">
        <v>616</v>
      </c>
      <c r="B29" s="298" t="s">
        <v>617</v>
      </c>
      <c r="C29" s="260">
        <v>39702</v>
      </c>
      <c r="D29" s="299">
        <v>39824</v>
      </c>
      <c r="E29" s="262">
        <v>4000</v>
      </c>
      <c r="F29" s="541"/>
      <c r="G29" s="259">
        <v>2000</v>
      </c>
      <c r="H29" s="263"/>
      <c r="I29" s="263">
        <v>6550</v>
      </c>
      <c r="J29" s="263"/>
      <c r="K29" s="259">
        <v>3784</v>
      </c>
      <c r="L29" s="255">
        <f t="shared" si="0"/>
        <v>0</v>
      </c>
      <c r="M29" s="540">
        <f t="shared" si="1"/>
        <v>12334</v>
      </c>
      <c r="N29" s="998">
        <v>41218</v>
      </c>
      <c r="O29" s="192"/>
      <c r="P29" s="218"/>
      <c r="Q29" s="127"/>
      <c r="R29" s="124"/>
      <c r="S29" s="131"/>
      <c r="T29" s="131"/>
      <c r="U29" s="132"/>
      <c r="V29" s="131"/>
      <c r="W29" s="131"/>
    </row>
    <row r="30" spans="1:23" x14ac:dyDescent="0.25">
      <c r="A30" s="298" t="s">
        <v>73</v>
      </c>
      <c r="B30" s="298" t="s">
        <v>32</v>
      </c>
      <c r="C30" s="260">
        <v>39916</v>
      </c>
      <c r="D30" s="299">
        <v>40069</v>
      </c>
      <c r="E30" s="262">
        <v>8000</v>
      </c>
      <c r="F30" s="541"/>
      <c r="G30" s="259">
        <v>6635</v>
      </c>
      <c r="H30" s="263"/>
      <c r="I30" s="263">
        <v>10168</v>
      </c>
      <c r="J30" s="263"/>
      <c r="K30" s="259">
        <v>2862</v>
      </c>
      <c r="L30" s="255">
        <f t="shared" si="0"/>
        <v>0</v>
      </c>
      <c r="M30" s="540">
        <f t="shared" si="1"/>
        <v>19665</v>
      </c>
      <c r="N30" s="998">
        <v>41043</v>
      </c>
      <c r="O30" s="471"/>
      <c r="P30" s="499"/>
      <c r="Q30" s="127">
        <f>3390+400</f>
        <v>3790</v>
      </c>
      <c r="R30" s="124">
        <f>G30*0.05+Q30</f>
        <v>4121.75</v>
      </c>
      <c r="S30" s="131">
        <v>2400</v>
      </c>
      <c r="T30" s="131">
        <v>2070</v>
      </c>
      <c r="U30" s="132">
        <v>2010</v>
      </c>
      <c r="V30" s="131">
        <f>+G30*0.05+U30-10</f>
        <v>2331.75</v>
      </c>
      <c r="W30" s="131">
        <f>G30*0.05+V30</f>
        <v>2663.5</v>
      </c>
    </row>
    <row r="31" spans="1:23" x14ac:dyDescent="0.25">
      <c r="A31" s="298" t="s">
        <v>662</v>
      </c>
      <c r="B31" s="298" t="s">
        <v>27</v>
      </c>
      <c r="C31" s="260">
        <v>39765</v>
      </c>
      <c r="D31" s="299">
        <v>39885</v>
      </c>
      <c r="E31" s="262">
        <v>2500</v>
      </c>
      <c r="F31" s="541"/>
      <c r="G31" s="259">
        <v>2115</v>
      </c>
      <c r="H31" s="263"/>
      <c r="I31" s="263">
        <v>4193</v>
      </c>
      <c r="J31" s="263"/>
      <c r="K31" s="259">
        <v>1760</v>
      </c>
      <c r="L31" s="255">
        <f t="shared" si="0"/>
        <v>0</v>
      </c>
      <c r="M31" s="540">
        <f t="shared" si="1"/>
        <v>8068</v>
      </c>
      <c r="N31" s="998">
        <v>40947</v>
      </c>
      <c r="O31" s="506"/>
      <c r="P31" s="567"/>
      <c r="Q31" s="127"/>
      <c r="R31" s="124"/>
      <c r="S31" s="131"/>
      <c r="T31" s="131"/>
      <c r="U31" s="132"/>
      <c r="V31" s="131"/>
      <c r="W31" s="131"/>
    </row>
    <row r="32" spans="1:23" x14ac:dyDescent="0.25">
      <c r="A32" s="298" t="s">
        <v>131</v>
      </c>
      <c r="B32" s="298" t="s">
        <v>132</v>
      </c>
      <c r="C32" s="260">
        <v>39983</v>
      </c>
      <c r="D32" s="299">
        <v>40105</v>
      </c>
      <c r="E32" s="262">
        <v>5000</v>
      </c>
      <c r="F32" s="541"/>
      <c r="G32" s="259">
        <v>230</v>
      </c>
      <c r="H32" s="263"/>
      <c r="I32" s="263">
        <v>246</v>
      </c>
      <c r="J32" s="263"/>
      <c r="K32" s="259">
        <v>30</v>
      </c>
      <c r="L32" s="255">
        <f t="shared" si="0"/>
        <v>0</v>
      </c>
      <c r="M32" s="540">
        <f t="shared" si="1"/>
        <v>506</v>
      </c>
      <c r="N32" s="998">
        <v>41292</v>
      </c>
      <c r="O32" s="471"/>
      <c r="P32" s="499"/>
      <c r="Q32" s="127">
        <f>1118+250</f>
        <v>1368</v>
      </c>
      <c r="R32" s="124">
        <v>918</v>
      </c>
      <c r="S32" s="131">
        <v>1516</v>
      </c>
      <c r="T32" s="131">
        <f>+G32*0.05+S32</f>
        <v>1527.5</v>
      </c>
      <c r="U32" s="132">
        <f>+G32*0.05+T32</f>
        <v>1539</v>
      </c>
      <c r="V32" s="131">
        <f>+G32*0.05+U32</f>
        <v>1550.5</v>
      </c>
      <c r="W32" s="131">
        <f>G32*0.05+V32</f>
        <v>1562</v>
      </c>
    </row>
    <row r="33" spans="1:23" x14ac:dyDescent="0.25">
      <c r="A33" s="298" t="s">
        <v>473</v>
      </c>
      <c r="B33" s="298" t="s">
        <v>128</v>
      </c>
      <c r="C33" s="260">
        <v>39906</v>
      </c>
      <c r="D33" s="299">
        <v>40028</v>
      </c>
      <c r="E33" s="262">
        <v>4500</v>
      </c>
      <c r="F33" s="541"/>
      <c r="G33" s="259">
        <v>2710</v>
      </c>
      <c r="H33" s="263"/>
      <c r="I33" s="263">
        <v>7348</v>
      </c>
      <c r="J33" s="263"/>
      <c r="K33" s="259">
        <v>1117</v>
      </c>
      <c r="L33" s="255">
        <f t="shared" si="0"/>
        <v>0</v>
      </c>
      <c r="M33" s="540">
        <f t="shared" si="1"/>
        <v>11175</v>
      </c>
      <c r="N33" s="998">
        <v>40929</v>
      </c>
      <c r="O33" s="471"/>
      <c r="P33" s="499"/>
      <c r="Q33" s="127">
        <f>1196+222</f>
        <v>1418</v>
      </c>
      <c r="R33" s="124">
        <v>756</v>
      </c>
      <c r="S33" s="131">
        <v>581</v>
      </c>
      <c r="T33" s="131">
        <v>441</v>
      </c>
      <c r="U33" s="132">
        <v>276</v>
      </c>
      <c r="V33" s="131">
        <v>116</v>
      </c>
      <c r="W33" s="131">
        <f>G33*0.05+V33</f>
        <v>251.5</v>
      </c>
    </row>
    <row r="34" spans="1:23" x14ac:dyDescent="0.25">
      <c r="A34" s="298" t="s">
        <v>1125</v>
      </c>
      <c r="B34" s="298" t="s">
        <v>870</v>
      </c>
      <c r="C34" s="260">
        <v>39904</v>
      </c>
      <c r="D34" s="299">
        <v>40057</v>
      </c>
      <c r="E34" s="262">
        <v>5000</v>
      </c>
      <c r="F34" s="541"/>
      <c r="G34" s="259">
        <v>700</v>
      </c>
      <c r="H34" s="263"/>
      <c r="I34" s="263">
        <v>1015</v>
      </c>
      <c r="J34" s="263"/>
      <c r="K34" s="259">
        <v>1200</v>
      </c>
      <c r="L34" s="255">
        <f t="shared" si="0"/>
        <v>0</v>
      </c>
      <c r="M34" s="540">
        <f t="shared" si="1"/>
        <v>2915</v>
      </c>
      <c r="N34" s="998">
        <v>40884</v>
      </c>
      <c r="O34" s="471"/>
      <c r="P34" s="499"/>
      <c r="Q34" s="127"/>
      <c r="R34" s="124"/>
      <c r="S34" s="131"/>
      <c r="T34" s="131"/>
      <c r="U34" s="132"/>
      <c r="V34" s="131"/>
      <c r="W34" s="131"/>
    </row>
    <row r="35" spans="1:23" x14ac:dyDescent="0.25">
      <c r="A35" s="298" t="s">
        <v>1126</v>
      </c>
      <c r="B35" s="298" t="s">
        <v>870</v>
      </c>
      <c r="C35" s="260">
        <v>39994</v>
      </c>
      <c r="D35" s="299">
        <v>40116</v>
      </c>
      <c r="E35" s="262">
        <v>2500</v>
      </c>
      <c r="F35" s="541"/>
      <c r="G35" s="259">
        <v>509</v>
      </c>
      <c r="H35" s="263"/>
      <c r="I35" s="263">
        <v>1093</v>
      </c>
      <c r="J35" s="263"/>
      <c r="K35" s="259">
        <v>225</v>
      </c>
      <c r="L35" s="255">
        <f t="shared" si="0"/>
        <v>0</v>
      </c>
      <c r="M35" s="540">
        <f t="shared" si="1"/>
        <v>1827</v>
      </c>
      <c r="N35" s="998">
        <v>40131</v>
      </c>
      <c r="O35" s="471"/>
      <c r="P35" s="499"/>
      <c r="Q35" s="127"/>
      <c r="R35" s="124"/>
      <c r="S35" s="131"/>
      <c r="T35" s="131"/>
      <c r="U35" s="132"/>
      <c r="V35" s="131"/>
      <c r="W35" s="131"/>
    </row>
    <row r="36" spans="1:23" x14ac:dyDescent="0.25">
      <c r="A36" s="298" t="s">
        <v>35</v>
      </c>
      <c r="B36" s="298" t="s">
        <v>17</v>
      </c>
      <c r="C36" s="260">
        <v>39904</v>
      </c>
      <c r="D36" s="299">
        <v>40118</v>
      </c>
      <c r="E36" s="262">
        <v>9000</v>
      </c>
      <c r="F36" s="541"/>
      <c r="G36" s="259">
        <v>8364</v>
      </c>
      <c r="H36" s="263"/>
      <c r="I36" s="263">
        <v>14102</v>
      </c>
      <c r="J36" s="263"/>
      <c r="K36" s="259">
        <v>2411</v>
      </c>
      <c r="L36" s="255">
        <f t="shared" si="0"/>
        <v>0</v>
      </c>
      <c r="M36" s="540">
        <f t="shared" si="1"/>
        <v>24877</v>
      </c>
      <c r="N36" s="998">
        <v>40410</v>
      </c>
      <c r="O36" s="192"/>
      <c r="P36" s="218"/>
      <c r="Q36" s="127">
        <v>558</v>
      </c>
      <c r="R36" s="124">
        <f>G36*0.05+Q36</f>
        <v>976.2</v>
      </c>
      <c r="S36" s="131">
        <f>+G36*0.05+R36</f>
        <v>1394.4</v>
      </c>
      <c r="T36" s="131">
        <f>+G36*0.05+S36</f>
        <v>1812.6000000000001</v>
      </c>
      <c r="U36" s="132">
        <f>+G36*0.05+T36-20</f>
        <v>2210.8000000000002</v>
      </c>
      <c r="V36" s="131">
        <f>+G36*0.05+U36</f>
        <v>2629</v>
      </c>
      <c r="W36" s="131">
        <f>G36*0.05+V36</f>
        <v>3047.2</v>
      </c>
    </row>
    <row r="37" spans="1:23" x14ac:dyDescent="0.25">
      <c r="A37" s="298" t="s">
        <v>405</v>
      </c>
      <c r="B37" s="298" t="s">
        <v>134</v>
      </c>
      <c r="C37" s="260">
        <v>39910</v>
      </c>
      <c r="D37" s="299">
        <v>40154</v>
      </c>
      <c r="E37" s="262">
        <v>6000</v>
      </c>
      <c r="F37" s="541">
        <v>50</v>
      </c>
      <c r="G37" s="259">
        <v>3970</v>
      </c>
      <c r="H37" s="263">
        <v>50</v>
      </c>
      <c r="I37" s="263">
        <v>4134</v>
      </c>
      <c r="J37" s="263"/>
      <c r="K37" s="259">
        <v>1048</v>
      </c>
      <c r="L37" s="255">
        <f t="shared" si="0"/>
        <v>100</v>
      </c>
      <c r="M37" s="540">
        <f t="shared" si="1"/>
        <v>9152</v>
      </c>
      <c r="N37" s="998">
        <v>41409</v>
      </c>
      <c r="O37" s="471"/>
      <c r="P37" s="499"/>
      <c r="Q37" s="127"/>
      <c r="R37" s="124"/>
      <c r="S37" s="131"/>
      <c r="T37" s="131"/>
      <c r="U37" s="132"/>
      <c r="V37" s="131"/>
      <c r="W37" s="131"/>
    </row>
    <row r="38" spans="1:23" x14ac:dyDescent="0.25">
      <c r="A38" s="298" t="s">
        <v>1080</v>
      </c>
      <c r="B38" s="298" t="s">
        <v>129</v>
      </c>
      <c r="C38" s="260">
        <v>39951</v>
      </c>
      <c r="D38" s="299">
        <v>40135</v>
      </c>
      <c r="E38" s="262">
        <v>13000</v>
      </c>
      <c r="F38" s="541">
        <v>200</v>
      </c>
      <c r="G38" s="259">
        <v>7100</v>
      </c>
      <c r="H38" s="263">
        <v>200</v>
      </c>
      <c r="I38" s="263">
        <v>1850</v>
      </c>
      <c r="J38" s="263">
        <v>100</v>
      </c>
      <c r="K38" s="259">
        <v>1200</v>
      </c>
      <c r="L38" s="255">
        <f t="shared" si="0"/>
        <v>500</v>
      </c>
      <c r="M38" s="540">
        <f t="shared" si="1"/>
        <v>10150</v>
      </c>
      <c r="N38" s="998">
        <v>41401</v>
      </c>
      <c r="O38" s="471"/>
      <c r="P38" s="499"/>
      <c r="Q38" s="127">
        <f>4600+650</f>
        <v>5250</v>
      </c>
      <c r="R38" s="124">
        <f>G38*0.05+Q38</f>
        <v>5605</v>
      </c>
      <c r="S38" s="131">
        <v>4950</v>
      </c>
      <c r="T38" s="131">
        <v>4400</v>
      </c>
      <c r="U38" s="132">
        <v>4300</v>
      </c>
      <c r="V38" s="131">
        <f>+G38*0.05+U38-400</f>
        <v>4255</v>
      </c>
      <c r="W38" s="131">
        <f>G38*0.05+V38</f>
        <v>4610</v>
      </c>
    </row>
    <row r="39" spans="1:23" x14ac:dyDescent="0.25">
      <c r="A39" s="298" t="s">
        <v>135</v>
      </c>
      <c r="B39" s="298" t="s">
        <v>32</v>
      </c>
      <c r="C39" s="260">
        <v>39891</v>
      </c>
      <c r="D39" s="299">
        <v>40075</v>
      </c>
      <c r="E39" s="262">
        <v>3500</v>
      </c>
      <c r="F39" s="541">
        <v>100</v>
      </c>
      <c r="G39" s="259">
        <v>1250</v>
      </c>
      <c r="H39" s="263">
        <v>100</v>
      </c>
      <c r="I39" s="263">
        <v>257</v>
      </c>
      <c r="J39" s="263"/>
      <c r="K39" s="259">
        <v>536</v>
      </c>
      <c r="L39" s="255">
        <f t="shared" si="0"/>
        <v>200</v>
      </c>
      <c r="M39" s="540">
        <f t="shared" si="1"/>
        <v>2043</v>
      </c>
      <c r="N39" s="998">
        <v>41432</v>
      </c>
      <c r="O39" s="192"/>
      <c r="P39" s="218"/>
      <c r="Q39" s="127">
        <f>1660+175</f>
        <v>1835</v>
      </c>
      <c r="R39" s="124">
        <f>G39*0.05+Q39</f>
        <v>1897.5</v>
      </c>
      <c r="S39" s="131">
        <f>+G39*0.05+R39</f>
        <v>1960</v>
      </c>
      <c r="T39" s="131">
        <f>+G39*0.05+S39</f>
        <v>2022.5</v>
      </c>
      <c r="U39" s="132">
        <v>2560</v>
      </c>
      <c r="V39" s="131">
        <v>2460</v>
      </c>
      <c r="W39" s="131">
        <f>G39*0.05+V39</f>
        <v>2522.5</v>
      </c>
    </row>
    <row r="40" spans="1:23" x14ac:dyDescent="0.25">
      <c r="A40" s="298" t="s">
        <v>611</v>
      </c>
      <c r="B40" s="298" t="s">
        <v>13</v>
      </c>
      <c r="C40" s="260">
        <v>39559</v>
      </c>
      <c r="D40" s="299">
        <v>39865</v>
      </c>
      <c r="E40" s="262">
        <v>6500</v>
      </c>
      <c r="F40" s="541"/>
      <c r="G40" s="259">
        <v>2344</v>
      </c>
      <c r="H40" s="263"/>
      <c r="I40" s="263">
        <v>3645</v>
      </c>
      <c r="J40" s="263"/>
      <c r="K40" s="259">
        <v>285</v>
      </c>
      <c r="L40" s="255">
        <f t="shared" si="0"/>
        <v>0</v>
      </c>
      <c r="M40" s="540">
        <f t="shared" si="1"/>
        <v>6274</v>
      </c>
      <c r="N40" s="998">
        <v>40351</v>
      </c>
      <c r="O40" s="192"/>
      <c r="P40" s="218"/>
      <c r="Q40" s="127"/>
      <c r="R40" s="124"/>
      <c r="S40" s="131"/>
      <c r="T40" s="131"/>
      <c r="U40" s="132"/>
      <c r="V40" s="131"/>
      <c r="W40" s="131"/>
    </row>
    <row r="41" spans="1:23" x14ac:dyDescent="0.25">
      <c r="A41" s="298" t="s">
        <v>602</v>
      </c>
      <c r="B41" s="298" t="s">
        <v>18</v>
      </c>
      <c r="C41" s="260">
        <v>39676</v>
      </c>
      <c r="D41" s="299">
        <v>40044</v>
      </c>
      <c r="E41" s="262">
        <v>30000</v>
      </c>
      <c r="F41" s="541"/>
      <c r="G41" s="259">
        <v>11218</v>
      </c>
      <c r="H41" s="263"/>
      <c r="I41" s="263">
        <v>11734</v>
      </c>
      <c r="J41" s="263"/>
      <c r="K41" s="259">
        <v>4613</v>
      </c>
      <c r="L41" s="255">
        <f t="shared" si="0"/>
        <v>0</v>
      </c>
      <c r="M41" s="540">
        <f t="shared" si="1"/>
        <v>27565</v>
      </c>
      <c r="N41" s="998">
        <v>41365</v>
      </c>
      <c r="O41" s="471"/>
      <c r="P41" s="499"/>
      <c r="Q41" s="127"/>
      <c r="R41" s="124"/>
      <c r="S41" s="131"/>
      <c r="T41" s="131"/>
      <c r="U41" s="132"/>
      <c r="V41" s="131"/>
      <c r="W41" s="131"/>
    </row>
    <row r="42" spans="1:23" x14ac:dyDescent="0.25">
      <c r="A42" s="298" t="s">
        <v>44</v>
      </c>
      <c r="B42" s="298" t="s">
        <v>18</v>
      </c>
      <c r="C42" s="260">
        <v>39927</v>
      </c>
      <c r="D42" s="299">
        <v>40049</v>
      </c>
      <c r="E42" s="262">
        <v>2500</v>
      </c>
      <c r="F42" s="541"/>
      <c r="G42" s="259">
        <v>382</v>
      </c>
      <c r="H42" s="263"/>
      <c r="I42" s="263">
        <v>225</v>
      </c>
      <c r="J42" s="263"/>
      <c r="K42" s="259">
        <v>181</v>
      </c>
      <c r="L42" s="255">
        <f t="shared" si="0"/>
        <v>0</v>
      </c>
      <c r="M42" s="540">
        <f t="shared" si="1"/>
        <v>788</v>
      </c>
      <c r="N42" s="998">
        <v>41365</v>
      </c>
      <c r="O42" s="525"/>
      <c r="P42" s="569"/>
      <c r="Q42" s="127"/>
      <c r="R42" s="124"/>
      <c r="S42" s="131">
        <v>37</v>
      </c>
      <c r="T42" s="131">
        <v>92</v>
      </c>
      <c r="U42" s="132"/>
      <c r="V42" s="131">
        <f>+G42*0.05+U42-90</f>
        <v>-70.900000000000006</v>
      </c>
      <c r="W42" s="131">
        <f>G42*0.05+V42</f>
        <v>-51.800000000000004</v>
      </c>
    </row>
    <row r="43" spans="1:23" x14ac:dyDescent="0.25">
      <c r="A43" s="298" t="s">
        <v>612</v>
      </c>
      <c r="B43" s="298" t="s">
        <v>613</v>
      </c>
      <c r="C43" s="260">
        <v>39548</v>
      </c>
      <c r="D43" s="299">
        <v>39854</v>
      </c>
      <c r="E43" s="262">
        <v>7000</v>
      </c>
      <c r="F43" s="541"/>
      <c r="G43" s="259">
        <v>1500</v>
      </c>
      <c r="H43" s="263"/>
      <c r="I43" s="263">
        <v>2267</v>
      </c>
      <c r="J43" s="263"/>
      <c r="K43" s="259">
        <v>315</v>
      </c>
      <c r="L43" s="255">
        <f t="shared" si="0"/>
        <v>0</v>
      </c>
      <c r="M43" s="540">
        <f t="shared" si="1"/>
        <v>4082</v>
      </c>
      <c r="N43" s="998">
        <v>40602</v>
      </c>
      <c r="O43" s="194"/>
      <c r="P43" s="570"/>
      <c r="Q43" s="127"/>
      <c r="R43" s="124"/>
      <c r="S43" s="131"/>
      <c r="T43" s="131"/>
      <c r="U43" s="132"/>
      <c r="V43" s="131"/>
      <c r="W43" s="131"/>
    </row>
    <row r="44" spans="1:23" x14ac:dyDescent="0.25">
      <c r="A44" s="298" t="s">
        <v>605</v>
      </c>
      <c r="B44" s="298" t="s">
        <v>18</v>
      </c>
      <c r="C44" s="260">
        <v>39804</v>
      </c>
      <c r="D44" s="299">
        <v>40169</v>
      </c>
      <c r="E44" s="262">
        <v>10000</v>
      </c>
      <c r="F44" s="541"/>
      <c r="G44" s="259">
        <v>6750</v>
      </c>
      <c r="H44" s="263"/>
      <c r="I44" s="263">
        <v>3361</v>
      </c>
      <c r="J44" s="263"/>
      <c r="K44" s="259">
        <v>2499</v>
      </c>
      <c r="L44" s="255">
        <f t="shared" si="0"/>
        <v>0</v>
      </c>
      <c r="M44" s="540">
        <f t="shared" si="1"/>
        <v>12610</v>
      </c>
      <c r="N44" s="998">
        <v>41257</v>
      </c>
      <c r="O44" s="194"/>
      <c r="P44" s="570"/>
      <c r="Q44" s="127"/>
      <c r="R44" s="124"/>
      <c r="S44" s="131"/>
      <c r="T44" s="131"/>
      <c r="U44" s="132"/>
      <c r="V44" s="131"/>
      <c r="W44" s="131"/>
    </row>
    <row r="45" spans="1:23" x14ac:dyDescent="0.25">
      <c r="A45" s="298" t="s">
        <v>614</v>
      </c>
      <c r="B45" s="298" t="s">
        <v>615</v>
      </c>
      <c r="C45" s="260">
        <v>39731</v>
      </c>
      <c r="D45" s="299">
        <v>40035</v>
      </c>
      <c r="E45" s="262">
        <v>8000</v>
      </c>
      <c r="F45" s="541">
        <v>200</v>
      </c>
      <c r="G45" s="259">
        <v>2550</v>
      </c>
      <c r="H45" s="263">
        <v>50</v>
      </c>
      <c r="I45" s="263">
        <v>1007</v>
      </c>
      <c r="J45" s="263"/>
      <c r="K45" s="259">
        <v>434</v>
      </c>
      <c r="L45" s="255">
        <f t="shared" si="0"/>
        <v>250</v>
      </c>
      <c r="M45" s="540">
        <f t="shared" si="1"/>
        <v>3991</v>
      </c>
      <c r="N45" s="998">
        <v>41432</v>
      </c>
      <c r="O45" s="464"/>
      <c r="P45" s="571"/>
      <c r="Q45" s="127"/>
      <c r="R45" s="124"/>
      <c r="S45" s="131"/>
      <c r="T45" s="131"/>
      <c r="U45" s="132"/>
      <c r="V45" s="131"/>
      <c r="W45" s="131"/>
    </row>
    <row r="46" spans="1:23" x14ac:dyDescent="0.25">
      <c r="A46" s="298" t="s">
        <v>1127</v>
      </c>
      <c r="B46" s="298" t="s">
        <v>17</v>
      </c>
      <c r="C46" s="260">
        <v>39988</v>
      </c>
      <c r="D46" s="299">
        <v>40173</v>
      </c>
      <c r="E46" s="262">
        <v>6000</v>
      </c>
      <c r="F46" s="541"/>
      <c r="G46" s="259">
        <v>1610</v>
      </c>
      <c r="H46" s="263"/>
      <c r="I46" s="263">
        <v>2430</v>
      </c>
      <c r="J46" s="263"/>
      <c r="K46" s="259">
        <v>2095</v>
      </c>
      <c r="L46" s="255">
        <f t="shared" si="0"/>
        <v>0</v>
      </c>
      <c r="M46" s="540">
        <f t="shared" si="1"/>
        <v>6135</v>
      </c>
      <c r="N46" s="998">
        <v>40362</v>
      </c>
      <c r="O46" s="464"/>
      <c r="P46" s="571"/>
      <c r="Q46" s="127"/>
      <c r="R46" s="124"/>
      <c r="S46" s="131"/>
      <c r="T46" s="131"/>
      <c r="U46" s="132"/>
      <c r="V46" s="131"/>
      <c r="W46" s="131"/>
    </row>
    <row r="47" spans="1:23" x14ac:dyDescent="0.25">
      <c r="A47" s="298" t="s">
        <v>604</v>
      </c>
      <c r="B47" s="298" t="s">
        <v>13</v>
      </c>
      <c r="C47" s="260">
        <v>39786</v>
      </c>
      <c r="D47" s="299">
        <v>39907</v>
      </c>
      <c r="E47" s="262">
        <v>12000</v>
      </c>
      <c r="F47" s="541"/>
      <c r="G47" s="259">
        <v>10295</v>
      </c>
      <c r="H47" s="263"/>
      <c r="I47" s="263">
        <v>7618</v>
      </c>
      <c r="J47" s="263"/>
      <c r="K47" s="259">
        <v>3792</v>
      </c>
      <c r="L47" s="255">
        <f t="shared" si="0"/>
        <v>0</v>
      </c>
      <c r="M47" s="540">
        <f t="shared" si="1"/>
        <v>21705</v>
      </c>
      <c r="N47" s="998">
        <v>41036</v>
      </c>
      <c r="O47" s="464"/>
      <c r="P47" s="571"/>
      <c r="Q47" s="127"/>
      <c r="R47" s="124"/>
      <c r="S47" s="131"/>
      <c r="T47" s="131"/>
      <c r="U47" s="132"/>
      <c r="V47" s="131"/>
      <c r="W47" s="131"/>
    </row>
    <row r="48" spans="1:23" x14ac:dyDescent="0.25">
      <c r="A48" s="298" t="s">
        <v>136</v>
      </c>
      <c r="B48" s="298" t="s">
        <v>137</v>
      </c>
      <c r="C48" s="260">
        <v>39962</v>
      </c>
      <c r="D48" s="299">
        <v>40085</v>
      </c>
      <c r="E48" s="262">
        <v>5000</v>
      </c>
      <c r="F48" s="541"/>
      <c r="G48" s="259">
        <v>2400</v>
      </c>
      <c r="H48" s="263"/>
      <c r="I48" s="263">
        <v>1900</v>
      </c>
      <c r="J48" s="263"/>
      <c r="K48" s="259">
        <v>100</v>
      </c>
      <c r="L48" s="255">
        <f t="shared" si="0"/>
        <v>0</v>
      </c>
      <c r="M48" s="540">
        <f t="shared" si="1"/>
        <v>4400</v>
      </c>
      <c r="N48" s="998">
        <v>40421</v>
      </c>
      <c r="O48" s="214" t="s">
        <v>884</v>
      </c>
      <c r="P48" s="571"/>
      <c r="Q48" s="127"/>
      <c r="R48" s="124"/>
      <c r="S48" s="131"/>
      <c r="T48" s="131"/>
      <c r="U48" s="132"/>
      <c r="V48" s="131"/>
      <c r="W48" s="131"/>
    </row>
    <row r="49" spans="1:23" x14ac:dyDescent="0.25">
      <c r="A49" s="298" t="s">
        <v>45</v>
      </c>
      <c r="B49" s="298" t="s">
        <v>13</v>
      </c>
      <c r="C49" s="260">
        <v>39872</v>
      </c>
      <c r="D49" s="299">
        <v>40053</v>
      </c>
      <c r="E49" s="262">
        <v>3000</v>
      </c>
      <c r="F49" s="541"/>
      <c r="G49" s="259">
        <v>2450</v>
      </c>
      <c r="H49" s="263"/>
      <c r="I49" s="263">
        <v>5980</v>
      </c>
      <c r="J49" s="263"/>
      <c r="K49" s="259">
        <v>795</v>
      </c>
      <c r="L49" s="255">
        <f t="shared" si="0"/>
        <v>0</v>
      </c>
      <c r="M49" s="540">
        <f t="shared" si="1"/>
        <v>9225</v>
      </c>
      <c r="N49" s="998">
        <v>41390</v>
      </c>
      <c r="O49" s="526"/>
      <c r="P49" s="572"/>
      <c r="Q49" s="127">
        <f>1289+150</f>
        <v>1439</v>
      </c>
      <c r="R49" s="124">
        <v>1009</v>
      </c>
      <c r="S49" s="131">
        <f>+G49*0.05+R49</f>
        <v>1131.5</v>
      </c>
      <c r="T49" s="131">
        <f>+G49*0.05+S49</f>
        <v>1254</v>
      </c>
      <c r="U49" s="132">
        <f>+G49*0.05+T49</f>
        <v>1376.5</v>
      </c>
      <c r="V49" s="131">
        <f>+G49*0.05+U49</f>
        <v>1499</v>
      </c>
      <c r="W49" s="131">
        <f>G49*0.05+V49</f>
        <v>1621.5</v>
      </c>
    </row>
    <row r="50" spans="1:23" ht="15.75" thickBot="1" x14ac:dyDescent="0.3">
      <c r="A50" s="707" t="s">
        <v>138</v>
      </c>
      <c r="B50" s="707" t="s">
        <v>127</v>
      </c>
      <c r="C50" s="618">
        <v>39892</v>
      </c>
      <c r="D50" s="708">
        <v>39923</v>
      </c>
      <c r="E50" s="262">
        <v>3000</v>
      </c>
      <c r="F50" s="541"/>
      <c r="G50" s="259">
        <v>2700</v>
      </c>
      <c r="H50" s="263"/>
      <c r="I50" s="263">
        <v>5615</v>
      </c>
      <c r="J50" s="263"/>
      <c r="K50" s="259">
        <v>2330</v>
      </c>
      <c r="L50" s="255">
        <f t="shared" si="0"/>
        <v>0</v>
      </c>
      <c r="M50" s="540">
        <f t="shared" si="1"/>
        <v>10645</v>
      </c>
      <c r="N50" s="998">
        <v>41307</v>
      </c>
      <c r="O50" s="187"/>
      <c r="P50" s="573"/>
      <c r="Q50" s="127">
        <f>1650+150</f>
        <v>1800</v>
      </c>
      <c r="R50" s="124">
        <f>G50*0.05+Q50</f>
        <v>1935</v>
      </c>
      <c r="S50" s="131">
        <f>+G50*0.05+R50</f>
        <v>2070</v>
      </c>
      <c r="T50" s="131">
        <f>+G50*0.05+S50</f>
        <v>2205</v>
      </c>
      <c r="U50" s="132">
        <f>+G50*0.05+T50</f>
        <v>2340</v>
      </c>
      <c r="V50" s="131">
        <f>+G50*0.05+U50</f>
        <v>2475</v>
      </c>
      <c r="W50" s="131">
        <f>G50*0.05+V50</f>
        <v>2610</v>
      </c>
    </row>
    <row r="51" spans="1:23" ht="15" customHeight="1" thickBot="1" x14ac:dyDescent="0.3">
      <c r="A51" s="501" t="s">
        <v>1133</v>
      </c>
      <c r="B51" s="501"/>
      <c r="C51" s="502"/>
      <c r="D51" s="502"/>
      <c r="E51" s="221">
        <f t="shared" ref="E51:M51" si="3">SUM(E8:E50)</f>
        <v>665500</v>
      </c>
      <c r="F51" s="503">
        <f t="shared" si="3"/>
        <v>3030</v>
      </c>
      <c r="G51" s="503">
        <f t="shared" si="3"/>
        <v>453426</v>
      </c>
      <c r="H51" s="503">
        <f t="shared" si="3"/>
        <v>11410</v>
      </c>
      <c r="I51" s="504">
        <f t="shared" si="3"/>
        <v>556177</v>
      </c>
      <c r="J51" s="503">
        <f t="shared" si="3"/>
        <v>10300</v>
      </c>
      <c r="K51" s="222">
        <f t="shared" si="3"/>
        <v>185688</v>
      </c>
      <c r="L51" s="505">
        <f t="shared" si="3"/>
        <v>24740</v>
      </c>
      <c r="M51" s="226">
        <f t="shared" si="3"/>
        <v>1195291</v>
      </c>
      <c r="N51" s="1000"/>
      <c r="O51" s="177"/>
      <c r="P51" s="177"/>
      <c r="Q51" s="121"/>
      <c r="R51" s="121"/>
      <c r="S51" s="121"/>
      <c r="T51" s="121"/>
      <c r="U51" s="121"/>
      <c r="V51" s="116">
        <f>SUM(V8:V50)</f>
        <v>103251.95000000001</v>
      </c>
      <c r="W51" s="121"/>
    </row>
    <row r="55" spans="1:23" x14ac:dyDescent="0.25">
      <c r="C55" t="s">
        <v>89</v>
      </c>
      <c r="E55" s="9" t="e">
        <f>+#REF!+G17+#REF!+#REF!+#REF!+#REF!+#REF!+#REF!+#REF!</f>
        <v>#REF!</v>
      </c>
    </row>
  </sheetData>
  <sortState ref="A8:O67">
    <sortCondition ref="A8:A67"/>
  </sortState>
  <mergeCells count="2">
    <mergeCell ref="F5:M5"/>
    <mergeCell ref="B3:H3"/>
  </mergeCells>
  <pageMargins left="0.7" right="0.7" top="0.75" bottom="0.75" header="0.3" footer="0.3"/>
  <pageSetup paperSize="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RECAP OF ACCOUNTS 12-31-09</vt:lpstr>
      <vt:lpstr>CURRENT ACCOUNTS-07-31-15</vt:lpstr>
      <vt:lpstr>PASTDUE 2015</vt:lpstr>
      <vt:lpstr>2014 PASTDUE</vt:lpstr>
      <vt:lpstr>2013 PASTDUE</vt:lpstr>
      <vt:lpstr>2012 PASTDUE</vt:lpstr>
      <vt:lpstr>2011 PASTDUE</vt:lpstr>
      <vt:lpstr>2010 RELEASES</vt:lpstr>
      <vt:lpstr>P.D. RELEASED JAN-DEC.. 2009</vt:lpstr>
      <vt:lpstr>P.D.-RELEASED JAN-DEC 2008</vt:lpstr>
      <vt:lpstr>P.D. RELEASED JAN-DEC. 2007</vt:lpstr>
      <vt:lpstr>P.D. RELEASED JAN-DEC. 2006</vt:lpstr>
      <vt:lpstr>P.D. RELEASED JAN-DEC.2005</vt:lpstr>
      <vt:lpstr>P.D. RELEASED JAN-DEC. 2004</vt:lpstr>
      <vt:lpstr>P.D. RELEASED JAN-DEC. 2003</vt:lpstr>
      <vt:lpstr>P.D. RELEASED JAN-DEC. 2002</vt:lpstr>
      <vt:lpstr>SPECIAL ACCOUNT</vt:lpstr>
      <vt:lpstr>FOR COURT DECISION</vt:lpstr>
      <vt:lpstr>MISSING CLIENTS</vt:lpstr>
      <vt:lpstr>RIP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2015-08-26T08:57:45Z</cp:lastPrinted>
  <dcterms:created xsi:type="dcterms:W3CDTF">2009-06-20T00:49:29Z</dcterms:created>
  <dcterms:modified xsi:type="dcterms:W3CDTF">2015-10-03T07:23:00Z</dcterms:modified>
</cp:coreProperties>
</file>