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13_ncr:1_{88C3AEF9-4CE9-490B-9EBF-DB9EB76EF0FF}" xr6:coauthVersionLast="47" xr6:coauthVersionMax="47" xr10:uidLastSave="{00000000-0000-0000-0000-000000000000}"/>
  <bookViews>
    <workbookView xWindow="-96" yWindow="-96" windowWidth="23232" windowHeight="13872" firstSheet="7" activeTab="6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  <sheet name="Punters 2025" sheetId="10" r:id="rId7"/>
    <sheet name="1 Leg Losses 2025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7" i="10" l="1"/>
  <c r="AL17" i="10"/>
  <c r="AK18" i="10"/>
  <c r="AL18" i="10"/>
  <c r="AJ18" i="10"/>
  <c r="AJ17" i="10"/>
  <c r="AI18" i="10"/>
  <c r="AI17" i="10"/>
  <c r="F2" i="11"/>
  <c r="F3" i="11"/>
  <c r="F4" i="11"/>
  <c r="F5" i="11"/>
  <c r="F6" i="11"/>
  <c r="F7" i="11"/>
  <c r="F8" i="11"/>
  <c r="F9" i="11"/>
  <c r="F10" i="11"/>
  <c r="F11" i="11"/>
  <c r="F12" i="11"/>
  <c r="F1" i="11"/>
  <c r="F13" i="11" s="1"/>
  <c r="X11" i="10"/>
  <c r="M10" i="10"/>
  <c r="M7" i="10"/>
  <c r="Q7" i="10"/>
  <c r="K7" i="10"/>
  <c r="O7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4" i="10"/>
  <c r="AC5" i="10"/>
  <c r="AD5" i="10"/>
  <c r="Z5" i="10"/>
  <c r="W58" i="10"/>
  <c r="Z29" i="10"/>
  <c r="E56" i="10" s="1"/>
  <c r="Y29" i="10"/>
  <c r="AA29" i="10"/>
  <c r="AB29" i="10"/>
  <c r="X29" i="10"/>
  <c r="E55" i="10" s="1"/>
  <c r="W29" i="10"/>
  <c r="K60" i="10"/>
  <c r="Y34" i="10"/>
  <c r="Y33" i="10"/>
  <c r="V29" i="10"/>
  <c r="U29" i="10"/>
  <c r="T29" i="10"/>
  <c r="R29" i="10"/>
  <c r="Q29" i="10"/>
  <c r="AI14" i="10" s="1"/>
  <c r="P29" i="10"/>
  <c r="AJ15" i="10" s="1"/>
  <c r="O29" i="10"/>
  <c r="AI15" i="10" s="1"/>
  <c r="N29" i="10"/>
  <c r="M29" i="10"/>
  <c r="L29" i="10"/>
  <c r="E49" i="10" s="1"/>
  <c r="K29" i="10"/>
  <c r="AI8" i="10" s="1"/>
  <c r="J29" i="10"/>
  <c r="AJ11" i="10" s="1"/>
  <c r="I29" i="10"/>
  <c r="AI11" i="10" s="1"/>
  <c r="H29" i="10"/>
  <c r="F29" i="10"/>
  <c r="E29" i="10"/>
  <c r="AI7" i="10" s="1"/>
  <c r="D29" i="10"/>
  <c r="C29" i="10"/>
  <c r="AI10" i="10" s="1"/>
  <c r="S29" i="10"/>
  <c r="O34" i="10" s="1"/>
  <c r="AD4" i="10"/>
  <c r="AF16" i="9"/>
  <c r="AF15" i="9"/>
  <c r="AF14" i="9"/>
  <c r="AF13" i="9"/>
  <c r="AF12" i="9"/>
  <c r="AF11" i="9"/>
  <c r="AF10" i="9"/>
  <c r="AF9" i="9"/>
  <c r="AE13" i="9"/>
  <c r="AE12" i="9"/>
  <c r="AE11" i="9"/>
  <c r="AE10" i="9"/>
  <c r="AE15" i="9"/>
  <c r="AE14" i="9"/>
  <c r="AE16" i="9"/>
  <c r="AE9" i="9"/>
  <c r="AF7" i="9"/>
  <c r="AE7" i="9"/>
  <c r="AE7" i="8"/>
  <c r="AE7" i="7"/>
  <c r="AF7" i="8"/>
  <c r="W56" i="9"/>
  <c r="K58" i="9"/>
  <c r="S14" i="9"/>
  <c r="G5" i="9"/>
  <c r="I36" i="9"/>
  <c r="I36" i="8" a="1"/>
  <c r="I36" i="8"/>
  <c r="J37" i="8"/>
  <c r="Y34" i="9"/>
  <c r="Y33" i="9"/>
  <c r="X29" i="9"/>
  <c r="W29" i="9"/>
  <c r="V29" i="9"/>
  <c r="T29" i="9"/>
  <c r="S29" i="9"/>
  <c r="Q29" i="9"/>
  <c r="P29" i="9"/>
  <c r="N29" i="9"/>
  <c r="L29" i="9"/>
  <c r="AF8" i="9" s="1"/>
  <c r="J29" i="9"/>
  <c r="H29" i="9"/>
  <c r="F29" i="9"/>
  <c r="E29" i="9"/>
  <c r="D29" i="9"/>
  <c r="C29" i="9"/>
  <c r="Z28" i="9"/>
  <c r="Y28" i="9"/>
  <c r="Z27" i="9"/>
  <c r="Y27" i="9"/>
  <c r="Z26" i="9"/>
  <c r="Y26" i="9"/>
  <c r="Z25" i="9"/>
  <c r="Y25" i="9"/>
  <c r="R29" i="9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Z7" i="9"/>
  <c r="Y7" i="9"/>
  <c r="Z6" i="9"/>
  <c r="Y6" i="9"/>
  <c r="M29" i="9"/>
  <c r="K29" i="9"/>
  <c r="AE8" i="9" s="1"/>
  <c r="Z5" i="9"/>
  <c r="Y5" i="9"/>
  <c r="Z4" i="9"/>
  <c r="Y4" i="9"/>
  <c r="I29" i="9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P34" i="10" l="1"/>
  <c r="E50" i="10"/>
  <c r="E52" i="10"/>
  <c r="I32" i="10"/>
  <c r="E54" i="10"/>
  <c r="J34" i="10"/>
  <c r="AI9" i="10"/>
  <c r="I34" i="10"/>
  <c r="E57" i="10"/>
  <c r="E58" i="10"/>
  <c r="AJ8" i="10"/>
  <c r="AL8" i="10" s="1"/>
  <c r="X30" i="10"/>
  <c r="Z30" i="10"/>
  <c r="D30" i="10"/>
  <c r="AJ10" i="10"/>
  <c r="AK10" i="10" s="1"/>
  <c r="F30" i="10"/>
  <c r="R30" i="10"/>
  <c r="AJ14" i="10"/>
  <c r="AL14" i="10" s="1"/>
  <c r="P42" i="10"/>
  <c r="AD29" i="10"/>
  <c r="J30" i="10"/>
  <c r="L30" i="10"/>
  <c r="AJ16" i="10"/>
  <c r="E53" i="10"/>
  <c r="AJ7" i="10"/>
  <c r="AL7" i="10" s="1"/>
  <c r="P30" i="10"/>
  <c r="E59" i="10"/>
  <c r="AJ13" i="10"/>
  <c r="AI13" i="10"/>
  <c r="AK13" i="10" s="1"/>
  <c r="O42" i="10"/>
  <c r="AK15" i="10"/>
  <c r="AL11" i="10"/>
  <c r="AK11" i="10"/>
  <c r="AL15" i="10"/>
  <c r="N30" i="10"/>
  <c r="AK8" i="10"/>
  <c r="AC29" i="10"/>
  <c r="AE4" i="10"/>
  <c r="AE5" i="10" s="1"/>
  <c r="AE6" i="10" s="1"/>
  <c r="AE7" i="10" s="1"/>
  <c r="AE8" i="10" s="1"/>
  <c r="AE9" i="10" s="1"/>
  <c r="AE10" i="10" s="1"/>
  <c r="AE11" i="10" s="1"/>
  <c r="AE12" i="10" s="1"/>
  <c r="AE13" i="10" s="1"/>
  <c r="AE14" i="10" s="1"/>
  <c r="AE15" i="10" s="1"/>
  <c r="AE16" i="10" s="1"/>
  <c r="AE17" i="10" s="1"/>
  <c r="AE18" i="10" s="1"/>
  <c r="AE19" i="10" s="1"/>
  <c r="AE20" i="10" s="1"/>
  <c r="AE21" i="10" s="1"/>
  <c r="AE22" i="10" s="1"/>
  <c r="AE23" i="10" s="1"/>
  <c r="AE24" i="10" s="1"/>
  <c r="AE25" i="10" s="1"/>
  <c r="AE26" i="10" s="1"/>
  <c r="AE27" i="10" s="1"/>
  <c r="AI12" i="10"/>
  <c r="E48" i="10"/>
  <c r="AF4" i="10"/>
  <c r="AJ12" i="10"/>
  <c r="T30" i="10"/>
  <c r="V30" i="10"/>
  <c r="E51" i="10"/>
  <c r="AJ9" i="10"/>
  <c r="G29" i="10"/>
  <c r="C34" i="10" s="1"/>
  <c r="D42" i="10"/>
  <c r="D34" i="10"/>
  <c r="I42" i="10"/>
  <c r="J42" i="10"/>
  <c r="E56" i="9"/>
  <c r="E57" i="9"/>
  <c r="E51" i="9"/>
  <c r="E54" i="9"/>
  <c r="E49" i="9"/>
  <c r="E48" i="9"/>
  <c r="E53" i="9"/>
  <c r="T30" i="9"/>
  <c r="E55" i="9"/>
  <c r="AG7" i="9"/>
  <c r="J42" i="9"/>
  <c r="D42" i="9"/>
  <c r="E50" i="9"/>
  <c r="P34" i="9"/>
  <c r="AH7" i="9"/>
  <c r="F30" i="9"/>
  <c r="Z29" i="9"/>
  <c r="AB4" i="9"/>
  <c r="AB5" i="9" s="1"/>
  <c r="E52" i="9"/>
  <c r="C42" i="9"/>
  <c r="AB6" i="9"/>
  <c r="AH11" i="9"/>
  <c r="R30" i="9"/>
  <c r="Y29" i="9"/>
  <c r="AA4" i="9"/>
  <c r="AA5" i="9" s="1"/>
  <c r="H30" i="9"/>
  <c r="N30" i="9"/>
  <c r="P42" i="9"/>
  <c r="AG11" i="9"/>
  <c r="I32" i="9"/>
  <c r="AC4" i="9"/>
  <c r="AG13" i="9"/>
  <c r="C34" i="9"/>
  <c r="D30" i="9"/>
  <c r="D34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AL10" i="10" l="1"/>
  <c r="I31" i="10"/>
  <c r="I33" i="10" s="1"/>
  <c r="I38" i="10" s="1"/>
  <c r="P43" i="10"/>
  <c r="AK14" i="10"/>
  <c r="J43" i="10"/>
  <c r="C42" i="10"/>
  <c r="D43" i="10" s="1"/>
  <c r="AL13" i="10"/>
  <c r="J35" i="10"/>
  <c r="AK7" i="10"/>
  <c r="K34" i="10"/>
  <c r="H30" i="10"/>
  <c r="AI16" i="10"/>
  <c r="P35" i="10"/>
  <c r="Q34" i="10"/>
  <c r="AL9" i="10"/>
  <c r="AK9" i="10"/>
  <c r="AL12" i="10"/>
  <c r="AK12" i="10"/>
  <c r="AF5" i="10"/>
  <c r="AG4" i="10"/>
  <c r="E34" i="10"/>
  <c r="D35" i="10"/>
  <c r="E60" i="10"/>
  <c r="AH15" i="9"/>
  <c r="AG15" i="9"/>
  <c r="D43" i="9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C5" i="9"/>
  <c r="I42" i="9"/>
  <c r="J43" i="9" s="1"/>
  <c r="I34" i="9"/>
  <c r="P30" i="9"/>
  <c r="AG9" i="9"/>
  <c r="AH9" i="9"/>
  <c r="E58" i="9"/>
  <c r="I31" i="9"/>
  <c r="I33" i="9" s="1"/>
  <c r="I38" i="9" s="1"/>
  <c r="AH13" i="9"/>
  <c r="AH10" i="9"/>
  <c r="AG10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F6" i="10" l="1"/>
  <c r="AG5" i="10"/>
  <c r="AK16" i="10"/>
  <c r="AL16" i="10"/>
  <c r="AH16" i="9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G6" i="10" l="1"/>
  <c r="AF7" i="10"/>
  <c r="AB9" i="9"/>
  <c r="AC8" i="9"/>
  <c r="AB8" i="8"/>
  <c r="AC7" i="8"/>
  <c r="AA28" i="7"/>
  <c r="AA27" i="7"/>
  <c r="AB9" i="7"/>
  <c r="AC8" i="7"/>
  <c r="J21" i="5"/>
  <c r="AF8" i="10" l="1"/>
  <c r="AG7" i="10"/>
  <c r="AC9" i="9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G8" i="10" l="1"/>
  <c r="AF9" i="10"/>
  <c r="AC10" i="9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F10" i="10" l="1"/>
  <c r="AG9" i="10"/>
  <c r="AB12" i="9"/>
  <c r="AC11" i="9"/>
  <c r="AB11" i="8"/>
  <c r="AC10" i="8"/>
  <c r="AB12" i="7"/>
  <c r="AC11" i="7"/>
  <c r="S5" i="5"/>
  <c r="I5" i="5"/>
  <c r="AF11" i="10" l="1"/>
  <c r="AG10" i="10"/>
  <c r="AC12" i="9"/>
  <c r="AB13" i="9"/>
  <c r="AB12" i="8"/>
  <c r="AC11" i="8"/>
  <c r="AB13" i="7"/>
  <c r="AC12" i="7"/>
  <c r="W5" i="5"/>
  <c r="T27" i="5"/>
  <c r="S27" i="5"/>
  <c r="O32" i="5" s="1"/>
  <c r="AG11" i="10" l="1"/>
  <c r="AF12" i="10"/>
  <c r="AB14" i="9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F13" i="10" l="1"/>
  <c r="AG12" i="10"/>
  <c r="AC14" i="9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G13" i="10" l="1"/>
  <c r="AF14" i="10"/>
  <c r="AB16" i="9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F15" i="10" l="1"/>
  <c r="AG14" i="10"/>
  <c r="AC16" i="9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G15" i="10" l="1"/>
  <c r="AF16" i="10"/>
  <c r="AB18" i="9"/>
  <c r="AC17" i="9"/>
  <c r="AB17" i="8"/>
  <c r="AC16" i="8"/>
  <c r="AC17" i="7"/>
  <c r="AB18" i="7"/>
  <c r="AA6" i="5"/>
  <c r="Z7" i="5"/>
  <c r="F56" i="1"/>
  <c r="G56" i="1" s="1"/>
  <c r="F55" i="1"/>
  <c r="G55" i="1"/>
  <c r="AF17" i="10" l="1"/>
  <c r="AG16" i="10"/>
  <c r="AC18" i="9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G17" i="10" l="1"/>
  <c r="AF18" i="10"/>
  <c r="AC19" i="9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F19" i="10" l="1"/>
  <c r="AG18" i="10"/>
  <c r="AB21" i="9"/>
  <c r="AC20" i="9"/>
  <c r="AC19" i="8"/>
  <c r="AB20" i="8"/>
  <c r="AB21" i="7"/>
  <c r="AC20" i="7"/>
  <c r="Z10" i="5"/>
  <c r="AA9" i="5"/>
  <c r="F44" i="1"/>
  <c r="G44" i="1" s="1"/>
  <c r="J13" i="1"/>
  <c r="AF20" i="10" l="1"/>
  <c r="AG19" i="10"/>
  <c r="AC21" i="9"/>
  <c r="AB22" i="9"/>
  <c r="AC20" i="8"/>
  <c r="AB21" i="8"/>
  <c r="AB22" i="7"/>
  <c r="AC21" i="7"/>
  <c r="Z11" i="5"/>
  <c r="AA10" i="5"/>
  <c r="K13" i="1"/>
  <c r="F43" i="1"/>
  <c r="G43" i="1"/>
  <c r="F42" i="1"/>
  <c r="G42" i="1" s="1"/>
  <c r="AG20" i="10" l="1"/>
  <c r="AF21" i="10"/>
  <c r="AB23" i="9"/>
  <c r="AC22" i="9"/>
  <c r="AB22" i="8"/>
  <c r="AC21" i="8"/>
  <c r="AC22" i="7"/>
  <c r="AB23" i="7"/>
  <c r="Z12" i="5"/>
  <c r="AA11" i="5"/>
  <c r="F41" i="1"/>
  <c r="G41" i="1" s="1"/>
  <c r="F40" i="1"/>
  <c r="G40" i="1"/>
  <c r="AF22" i="10" l="1"/>
  <c r="AG21" i="10"/>
  <c r="AB24" i="9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F23" i="10" l="1"/>
  <c r="AG22" i="10"/>
  <c r="AB25" i="9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G23" i="10" l="1"/>
  <c r="AF24" i="10"/>
  <c r="AB26" i="9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F25" i="10" l="1"/>
  <c r="AG24" i="10"/>
  <c r="AC26" i="9"/>
  <c r="AB27" i="9"/>
  <c r="AC27" i="9" s="1"/>
  <c r="AC25" i="8"/>
  <c r="Z16" i="5"/>
  <c r="AA15" i="5"/>
  <c r="F31" i="1"/>
  <c r="G31" i="1"/>
  <c r="F30" i="1"/>
  <c r="G30" i="1" s="1"/>
  <c r="AF26" i="10" l="1"/>
  <c r="AG25" i="10"/>
  <c r="Z17" i="5"/>
  <c r="AA16" i="5"/>
  <c r="F28" i="1"/>
  <c r="G28" i="1" s="1"/>
  <c r="F29" i="1"/>
  <c r="G29" i="1" s="1"/>
  <c r="AG26" i="10" l="1"/>
  <c r="AF27" i="10"/>
  <c r="AG27" i="10" s="1"/>
  <c r="Z18" i="5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  <c r="AG8" i="9"/>
  <c r="AH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<sst xmlns="http://schemas.openxmlformats.org/spreadsheetml/2006/main" count="719" uniqueCount="148">
  <si>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</si>
  <si>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</si>
  <si>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</si>
  <si>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</si>
  <si>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</si>
  <si>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</si>
  <si>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</si>
  <si>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</si>
  <si>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</si>
  <si>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</si>
  <si>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</si>
  <si>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</si>
  <si>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</si>
  <si>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</si>
  <si>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</si>
  <si>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</si>
  <si>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</si>
  <si>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</si>
  <si>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</si>
  <si>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</si>
  <si>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</si>
  <si>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</si>
  <si>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</si>
  <si>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</si>
  <si>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</si>
  <si>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</si>
  <si>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</si>
  <si>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</si>
  <si>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</si>
  <si>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</si>
  <si>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</si>
  <si>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</si>
  <si>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</si>
  <si>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</si>
  <si>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</si>
  <si>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</si>
  <si>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</si>
  <si>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</si>
  <si>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</si>
  <si>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</si>
  <si>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</si>
  <si>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</si>
  <si>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</si>
  <si>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</si>
  <si>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</si>
  <si>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</si>
  <si>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</si>
  <si>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</si>
  <si>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</si>
  <si>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</si>
  <si>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</si>
  <si>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</si>
  <si>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</si>
  <si>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</si>
  <si>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</si>
  <si>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</si>
  <si>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</si>
  <si>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</si>
  <si>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</si>
  <si>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</si>
  <si>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</si>
  <si>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</si>
  <si>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</si>
  <si>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</si>
  <si>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</si>
  <si>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</si>
  <si>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</si>
  <si>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</si>
  <si>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</si>
  <si>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</si>
  <si>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</si>
  <si>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</si>
  <si>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</si>
  <si>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</si>
  <si>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</si>
  <si>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</si>
  <si>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</si>
  <si>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</si>
  <si>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</si>
  <si>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</si>
  <si>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</si>
  <si>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</si>
  <si>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</si>
  <si>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</si>
  <si>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</si>
  <si>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</si>
  <si>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</si>
  <si>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</si>
  <si>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</si>
  <si>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</si>
  <si>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</si>
  <si>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</si>
  <si>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</si>
  <si>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</si>
  <si>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</si>
  <si>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</si>
  <si>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</si>
  <si>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</si>
  <si>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</si>
  <si>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</si>
  <si>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</si>
  <si>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</si>
  <si>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</si>
  <si>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</si>
  <si>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</si>
  <si>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</si>
  <si>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</si>
  <si>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</si>
  <si>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</si>
  <si>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</si>
  <si>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22nd August 2024</t>
  </si>
  <si>
    <t>Strikes for 2024 Season at 22nd August 2024</t>
  </si>
  <si>
    <t>Strikes</t>
  </si>
  <si>
    <t>C.STARKIE</t>
  </si>
  <si>
    <t>C.PANO</t>
  </si>
  <si>
    <t>D.MILEVSKI</t>
  </si>
  <si>
    <t>cam</t>
  </si>
  <si>
    <t>pano</t>
  </si>
  <si>
    <t>1 leg losses as at 5 May 2025</t>
  </si>
  <si>
    <t>Strikes for 2025 Season at 28 April 2025</t>
  </si>
  <si>
    <t>Pano</t>
  </si>
  <si>
    <t>Cam</t>
  </si>
  <si>
    <t>Punter</t>
  </si>
  <si>
    <t>Bet Amount</t>
  </si>
  <si>
    <t>Potential Winnings</t>
  </si>
  <si>
    <t>Reason</t>
  </si>
  <si>
    <t>$10 bonus</t>
  </si>
  <si>
    <t>Perth Glory</t>
  </si>
  <si>
    <t>Lachie Ash 19/20</t>
  </si>
  <si>
    <t>Bailey Fritsch anytime</t>
  </si>
  <si>
    <t>Harley Reid 12/20</t>
  </si>
  <si>
    <t>Harley Reid 12 when needed over 20.5</t>
  </si>
  <si>
    <t>Brent Daniels anytime</t>
  </si>
  <si>
    <t>Eagles Suns under 167.5, total 185</t>
  </si>
  <si>
    <t>Cripps 22/25 touches</t>
  </si>
  <si>
    <t>Jarrod Berry 17/20 touches</t>
  </si>
  <si>
    <t>Wilkie 13/20 touches</t>
  </si>
  <si>
    <t>Nathan O'Driscoll 12/20 touches</t>
  </si>
  <si>
    <t>Liverpool lost to Fulham</t>
  </si>
  <si>
    <t>Chad Warner 10/20 touches</t>
  </si>
  <si>
    <t>Stringer 0 goals, needed 2</t>
  </si>
  <si>
    <t>Sean Woodson to win</t>
  </si>
  <si>
    <t>Colby McKercher 8/15 touches</t>
  </si>
  <si>
    <t>Swikowski 6/15 touches</t>
  </si>
  <si>
    <t>Logan Morris 0/2 goals</t>
  </si>
  <si>
    <t>Sandro Tonali shot on target</t>
  </si>
  <si>
    <t>Willie Rioli 1/2 goals</t>
  </si>
  <si>
    <t>Jabari Smith 2/4 rebounds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</si>
</sst>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164" formatCode="&quot;$&quot;#,##0_);[Red]\(&quot;$&quot;#,##0\)"/>
    <numFmt numFmtId="165" formatCode="&quot;$&quot;#,##0.00_);[Red]\(&quot;$&quot;#,##0.00\)"/>
    <numFmt numFmtId="166" formatCode="&quot;$&quot;#,##0.00"/>
    <numFmt numFmtId="167" formatCode="0.0%"/>
    <numFmt numFmtId="168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medium">
        <color rgb="FFFF0000"/>
      </right>
      <top/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80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6" fontId="2" fillId="0" borderId="0" xfId="0" applyNumberFormat="1" applyFont="1"/>
    <xf numFmtId="166" fontId="1" fillId="0" borderId="0" xfId="0" applyNumberFormat="1" applyFont="1"/>
    <xf numFmtId="166" fontId="3" fillId="2" borderId="1" xfId="0" applyNumberFormat="1" applyFont="1" applyFill="1" applyBorder="1"/>
    <xf numFmtId="166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4" borderId="8" xfId="0" applyNumberFormat="1" applyFill="1" applyBorder="1" applyAlignment="1">
      <alignment horizontal="center"/>
    </xf>
    <xf numFmtId="166" fontId="0" fillId="4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4" borderId="9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3" borderId="14" xfId="0" applyNumberFormat="1" applyFill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0" fontId="0" fillId="0" borderId="0" xfId="0" applyNumberFormat="1"/>
    <xf numFmtId="166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7" fontId="0" fillId="0" borderId="0" xfId="0" applyNumberFormat="1"/>
    <xf numFmtId="166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8" fontId="0" fillId="0" borderId="0" xfId="0" applyNumberFormat="1"/>
    <xf numFmtId="9" fontId="0" fillId="0" borderId="0" xfId="1" applyFont="1"/>
    <xf numFmtId="166" fontId="4" fillId="3" borderId="7" xfId="0" applyNumberFormat="1" applyFont="1" applyFill="1" applyBorder="1" applyAlignment="1">
      <alignment horizontal="center"/>
    </xf>
    <xf numFmtId="166" fontId="4" fillId="6" borderId="0" xfId="0" applyNumberFormat="1" applyFont="1" applyFill="1"/>
    <xf numFmtId="168" fontId="4" fillId="6" borderId="0" xfId="0" applyNumberFormat="1" applyFont="1" applyFill="1"/>
    <xf numFmtId="166" fontId="0" fillId="7" borderId="0" xfId="0" applyNumberFormat="1" applyFill="1"/>
    <xf numFmtId="168" fontId="0" fillId="7" borderId="0" xfId="0" applyNumberFormat="1" applyFill="1"/>
    <xf numFmtId="166" fontId="0" fillId="8" borderId="0" xfId="0" applyNumberFormat="1" applyFill="1"/>
    <xf numFmtId="168" fontId="0" fillId="8" borderId="0" xfId="0" applyNumberFormat="1" applyFill="1"/>
    <xf numFmtId="0" fontId="0" fillId="9" borderId="0" xfId="0" applyFill="1"/>
    <xf numFmtId="0" fontId="0" fillId="0" borderId="21" xfId="0" applyBorder="1"/>
    <xf numFmtId="166" fontId="0" fillId="0" borderId="1" xfId="0" applyNumberFormat="1" applyBorder="1"/>
    <xf numFmtId="9" fontId="0" fillId="0" borderId="1" xfId="1" applyFont="1" applyBorder="1"/>
    <xf numFmtId="166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6" fontId="4" fillId="3" borderId="5" xfId="0" applyNumberFormat="1" applyFont="1" applyFill="1" applyBorder="1" applyAlignment="1">
      <alignment horizontal="center"/>
    </xf>
    <xf numFmtId="8" fontId="1" fillId="0" borderId="1" xfId="0" applyNumberFormat="1" applyFont="1" applyBorder="1"/>
    <xf numFmtId="8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9" fillId="0" borderId="30" xfId="0" applyFont="1" applyBorder="1"/>
    <xf numFmtId="0" fontId="7" fillId="5" borderId="2" xfId="0" applyFont="1" applyFill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66" fontId="0" fillId="9" borderId="0" xfId="0" applyNumberFormat="1" applyFill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12" borderId="28" xfId="0" applyFont="1" applyFill="1" applyBorder="1" applyAlignment="1">
      <alignment horizontal="center"/>
    </xf>
    <xf numFmtId="0" fontId="7" fillId="12" borderId="29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2" t="s">
        <v>18</v>
      </c>
      <c r="D2" s="62"/>
      <c r="E2" s="62" t="s">
        <v>19</v>
      </c>
      <c r="F2" s="62"/>
      <c r="G2" s="62" t="s">
        <v>20</v>
      </c>
      <c r="H2" s="62"/>
      <c r="I2" s="62" t="s">
        <v>21</v>
      </c>
      <c r="J2" s="62"/>
      <c r="K2" s="62" t="s">
        <v>22</v>
      </c>
      <c r="L2" s="62"/>
      <c r="M2" s="62" t="s">
        <v>23</v>
      </c>
      <c r="N2" s="62"/>
      <c r="O2" s="62" t="s">
        <v>24</v>
      </c>
      <c r="P2" s="62"/>
      <c r="Q2" s="62" t="s">
        <v>25</v>
      </c>
      <c r="R2" s="62"/>
      <c r="S2" s="62" t="s">
        <v>26</v>
      </c>
      <c r="T2" s="62"/>
      <c r="U2" s="62" t="s">
        <v>27</v>
      </c>
      <c r="V2" s="69"/>
      <c r="W2" s="68" t="s">
        <v>28</v>
      </c>
      <c r="X2" s="62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5" t="s">
        <v>56</v>
      </c>
      <c r="G29" s="66"/>
      <c r="H29" s="67"/>
      <c r="I29" s="63">
        <f>C27+E27+G27+I27+K27+M27+O27+Q27+S27+U27</f>
        <v>2469.42</v>
      </c>
      <c r="J29" s="64"/>
    </row>
    <row r="30" spans="2:27" x14ac:dyDescent="0.55000000000000004">
      <c r="G30" s="70" t="s">
        <v>57</v>
      </c>
      <c r="H30" s="70"/>
      <c r="I30" s="63">
        <f>+D27+F27+H27+J27+L27+N27+P27+R27+T27+V27</f>
        <v>1774.69</v>
      </c>
      <c r="J30" s="64"/>
    </row>
    <row r="31" spans="2:27" x14ac:dyDescent="0.55000000000000004">
      <c r="I31" s="63">
        <f>I30-I29</f>
        <v>-694.73</v>
      </c>
      <c r="J31" s="64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64">
        <f>I33+I31</f>
        <v>505.27</v>
      </c>
      <c r="J34" s="64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2" t="s">
        <v>18</v>
      </c>
      <c r="D2" s="62"/>
      <c r="E2" s="62" t="s">
        <v>22</v>
      </c>
      <c r="F2" s="62"/>
      <c r="G2" s="72" t="s">
        <v>21</v>
      </c>
      <c r="H2" s="68"/>
      <c r="I2" s="62" t="s">
        <v>20</v>
      </c>
      <c r="J2" s="62"/>
      <c r="K2" s="62" t="s">
        <v>19</v>
      </c>
      <c r="L2" s="62"/>
      <c r="M2" s="62" t="s">
        <v>25</v>
      </c>
      <c r="N2" s="62"/>
      <c r="O2" s="62" t="s">
        <v>24</v>
      </c>
      <c r="P2" s="62"/>
      <c r="Q2" s="62" t="s">
        <v>23</v>
      </c>
      <c r="R2" s="62"/>
      <c r="S2" s="62" t="s">
        <v>26</v>
      </c>
      <c r="T2" s="62"/>
      <c r="U2" s="62" t="s">
        <v>27</v>
      </c>
      <c r="V2" s="69"/>
      <c r="W2" s="68" t="s">
        <v>28</v>
      </c>
      <c r="X2" s="62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5" t="s">
        <v>56</v>
      </c>
      <c r="G29" s="66"/>
      <c r="H29" s="67"/>
      <c r="I29" s="63">
        <f>C27+E27+G27+I27+K27+M27+O27+Q27+S27+U27</f>
        <v>1788.24</v>
      </c>
      <c r="J29" s="64"/>
    </row>
    <row r="30" spans="2:27" x14ac:dyDescent="0.55000000000000004">
      <c r="G30" s="70" t="s">
        <v>57</v>
      </c>
      <c r="H30" s="70"/>
      <c r="I30" s="63">
        <f>+D27+F27+H27+J27+L27+N27+P27+R27+T27+V27</f>
        <v>2492.1999999999998</v>
      </c>
      <c r="J30" s="64"/>
    </row>
    <row r="31" spans="2:27" x14ac:dyDescent="0.55000000000000004">
      <c r="I31" s="63">
        <f>I30-I29</f>
        <v>703.95999999999981</v>
      </c>
      <c r="J31" s="64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71">
        <f>I33+I31</f>
        <v>1303.9599999999998</v>
      </c>
      <c r="J34" s="71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C2:D2"/>
    <mergeCell ref="E2:F2"/>
    <mergeCell ref="G2:H2"/>
    <mergeCell ref="I2:J2"/>
    <mergeCell ref="K2:L2"/>
    <mergeCell ref="Q2:R2"/>
    <mergeCell ref="S2:T2"/>
    <mergeCell ref="U2:V2"/>
    <mergeCell ref="W2:X2"/>
    <mergeCell ref="F29:H29"/>
    <mergeCell ref="I29:J29"/>
    <mergeCell ref="M2:N2"/>
    <mergeCell ref="G30:H30"/>
    <mergeCell ref="I30:J30"/>
    <mergeCell ref="I31:J31"/>
    <mergeCell ref="I34:J34"/>
    <mergeCell ref="O2:P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topLeftCell="A17" workbookViewId="0">
      <selection activeCell="AE7" sqref="AE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2" t="s">
        <v>23</v>
      </c>
      <c r="D2" s="62"/>
      <c r="E2" s="62" t="s">
        <v>20</v>
      </c>
      <c r="F2" s="62"/>
      <c r="G2" s="62" t="s">
        <v>19</v>
      </c>
      <c r="H2" s="62"/>
      <c r="I2" s="62" t="s">
        <v>21</v>
      </c>
      <c r="J2" s="62"/>
      <c r="K2" s="62" t="s">
        <v>22</v>
      </c>
      <c r="L2" s="62"/>
      <c r="M2" s="62" t="s">
        <v>26</v>
      </c>
      <c r="N2" s="62"/>
      <c r="O2" s="62" t="s">
        <v>24</v>
      </c>
      <c r="P2" s="62"/>
      <c r="Q2" s="62" t="s">
        <v>25</v>
      </c>
      <c r="R2" s="62"/>
      <c r="S2" s="62" t="s">
        <v>18</v>
      </c>
      <c r="T2" s="62"/>
      <c r="U2" s="62" t="s">
        <v>65</v>
      </c>
      <c r="V2" s="69"/>
      <c r="W2" s="62" t="s">
        <v>66</v>
      </c>
      <c r="X2" s="69"/>
      <c r="Y2" s="68" t="s">
        <v>28</v>
      </c>
      <c r="Z2" s="62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5" t="s">
        <v>56</v>
      </c>
      <c r="G31" s="66"/>
      <c r="H31" s="67"/>
      <c r="I31" s="63">
        <f>C29+E29+G29+I29+K29+M29+O29+Q29+S29+U29+W29</f>
        <v>2521.33</v>
      </c>
      <c r="J31" s="64"/>
    </row>
    <row r="32" spans="2:30" x14ac:dyDescent="0.55000000000000004">
      <c r="G32" s="70" t="s">
        <v>57</v>
      </c>
      <c r="H32" s="70"/>
      <c r="I32" s="63">
        <f>+D29+F29+H29+J29+L29+N29+P29+R29+T29+V29+X29</f>
        <v>2997.5899999999997</v>
      </c>
      <c r="J32" s="64"/>
    </row>
    <row r="33" spans="3:17" x14ac:dyDescent="0.55000000000000004">
      <c r="I33" s="63">
        <f>I32-I31</f>
        <v>476.25999999999976</v>
      </c>
      <c r="J33" s="64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71">
        <f>I35+I33</f>
        <v>2476.2599999999998</v>
      </c>
      <c r="J36" s="71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C2:D2"/>
    <mergeCell ref="E2:F2"/>
    <mergeCell ref="G2:H2"/>
    <mergeCell ref="I2:J2"/>
    <mergeCell ref="K2:L2"/>
    <mergeCell ref="Q2:R2"/>
    <mergeCell ref="S2:T2"/>
    <mergeCell ref="U2:V2"/>
    <mergeCell ref="Y2:Z2"/>
    <mergeCell ref="F31:H31"/>
    <mergeCell ref="I31:J31"/>
    <mergeCell ref="M2:N2"/>
    <mergeCell ref="W2:X2"/>
    <mergeCell ref="G32:H32"/>
    <mergeCell ref="I32:J32"/>
    <mergeCell ref="I33:J33"/>
    <mergeCell ref="I36:J36"/>
    <mergeCell ref="O2:P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topLeftCell="A17" workbookViewId="0">
      <selection activeCell="Y36" sqref="Y3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62" t="s">
        <v>26</v>
      </c>
      <c r="D2" s="62"/>
      <c r="E2" s="72" t="s">
        <v>20</v>
      </c>
      <c r="F2" s="68"/>
      <c r="G2" s="62" t="s">
        <v>23</v>
      </c>
      <c r="H2" s="62"/>
      <c r="I2" s="62" t="s">
        <v>19</v>
      </c>
      <c r="J2" s="62"/>
      <c r="K2" s="62" t="s">
        <v>18</v>
      </c>
      <c r="L2" s="62"/>
      <c r="M2" s="72" t="s">
        <v>22</v>
      </c>
      <c r="N2" s="68"/>
      <c r="O2" s="62" t="s">
        <v>25</v>
      </c>
      <c r="P2" s="62"/>
      <c r="Q2" s="62" t="s">
        <v>21</v>
      </c>
      <c r="R2" s="62"/>
      <c r="S2" s="62" t="s">
        <v>24</v>
      </c>
      <c r="T2" s="62"/>
      <c r="U2" s="62" t="s">
        <v>65</v>
      </c>
      <c r="V2" s="69"/>
      <c r="W2" s="62" t="s">
        <v>66</v>
      </c>
      <c r="X2" s="69"/>
      <c r="Y2" s="68" t="s">
        <v>28</v>
      </c>
      <c r="Z2" s="62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5" t="s">
        <v>56</v>
      </c>
      <c r="G31" s="66"/>
      <c r="H31" s="67"/>
      <c r="I31" s="63">
        <f>C29+E29+G29+I29+K29+M29+O29+Q29+S29+U29+W29</f>
        <v>2462.73</v>
      </c>
      <c r="J31" s="64"/>
    </row>
    <row r="32" spans="2:30" x14ac:dyDescent="0.55000000000000004">
      <c r="G32" s="70" t="s">
        <v>57</v>
      </c>
      <c r="H32" s="70"/>
      <c r="I32" s="63">
        <f>+D29+F29+H29+J29+L29+N29+P29+R29+T29+V29+X29</f>
        <v>1004.25</v>
      </c>
      <c r="J32" s="64"/>
    </row>
    <row r="33" spans="3:25" x14ac:dyDescent="0.55000000000000004">
      <c r="I33" s="63">
        <f>I32-I31</f>
        <v>-1458.48</v>
      </c>
      <c r="J33" s="64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71">
        <f>I36+I33+J37</f>
        <v>322.7800000000002</v>
      </c>
      <c r="J38" s="71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opLeftCell="A16" workbookViewId="0">
      <selection activeCell="F39" sqref="F39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2" t="s">
        <v>100</v>
      </c>
      <c r="D2" s="62"/>
      <c r="E2" s="72" t="s">
        <v>101</v>
      </c>
      <c r="F2" s="68"/>
      <c r="G2" s="62" t="s">
        <v>102</v>
      </c>
      <c r="H2" s="62"/>
      <c r="I2" s="62" t="s">
        <v>103</v>
      </c>
      <c r="J2" s="62"/>
      <c r="K2" s="62" t="s">
        <v>104</v>
      </c>
      <c r="L2" s="62"/>
      <c r="M2" s="72" t="s">
        <v>105</v>
      </c>
      <c r="N2" s="68"/>
      <c r="O2" s="62" t="s">
        <v>106</v>
      </c>
      <c r="P2" s="62"/>
      <c r="Q2" s="62" t="s">
        <v>107</v>
      </c>
      <c r="R2" s="62"/>
      <c r="S2" s="62" t="s">
        <v>24</v>
      </c>
      <c r="T2" s="62"/>
      <c r="U2" s="62" t="s">
        <v>108</v>
      </c>
      <c r="V2" s="69"/>
      <c r="W2" s="62" t="s">
        <v>66</v>
      </c>
      <c r="X2" s="69"/>
      <c r="Y2" s="68" t="s">
        <v>28</v>
      </c>
      <c r="Z2" s="62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+E29+'Punters 2023'!AE7</f>
        <v>1208</v>
      </c>
      <c r="AF7" s="44">
        <f>+F29+'Punters 2023'!AF7</f>
        <v>542.6</v>
      </c>
      <c r="AG7" s="49">
        <f>+AF7-AE7</f>
        <v>-665.4</v>
      </c>
      <c r="AH7" s="47">
        <f>(AF7-AE7)/AE7</f>
        <v>-0.55082781456953644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+K29+'Punters 2023'!AE8</f>
        <v>1388</v>
      </c>
      <c r="AF8" s="44">
        <f>+L29+'Punters 2023'!AF8</f>
        <v>1138.52</v>
      </c>
      <c r="AG8" s="50">
        <f t="shared" ref="AG8:AG16" si="3">+AF8-AE8</f>
        <v>-249.48000000000002</v>
      </c>
      <c r="AH8" s="47">
        <f t="shared" ref="AH8:AH16" si="4">(AF8-AE8)/AE8</f>
        <v>-0.17974063400576371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+M29+'Punters 2023'!AE9</f>
        <v>1366.48</v>
      </c>
      <c r="AF9" s="44">
        <f>N29+'Punters 2023'!AF9</f>
        <v>1093.9000000000001</v>
      </c>
      <c r="AG9" s="50">
        <f t="shared" si="3"/>
        <v>-272.57999999999993</v>
      </c>
      <c r="AH9" s="47">
        <f t="shared" si="4"/>
        <v>-0.19947602599379421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+C29+'Punters 2023'!AE10</f>
        <v>1364.9</v>
      </c>
      <c r="AF10" s="44">
        <f>+D29+'Punters 2023'!AF10</f>
        <v>1516.4499999999998</v>
      </c>
      <c r="AG10" s="50">
        <f t="shared" si="3"/>
        <v>151.54999999999973</v>
      </c>
      <c r="AH10" s="45">
        <f t="shared" si="4"/>
        <v>0.11103377536815863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+I29+'Punters 2023'!AE11</f>
        <v>1073</v>
      </c>
      <c r="AF11" s="44">
        <f>+J29+'Punters 2023'!AF11</f>
        <v>98.25</v>
      </c>
      <c r="AG11" s="49">
        <f t="shared" si="3"/>
        <v>-974.75</v>
      </c>
      <c r="AH11" s="47">
        <f t="shared" si="4"/>
        <v>-0.9084342963653308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+U29+'Punters 2023'!AE12</f>
        <v>1384.96</v>
      </c>
      <c r="AF12" s="44">
        <f>+V29+'Punters 2023'!AF12</f>
        <v>890.65999999999985</v>
      </c>
      <c r="AG12" s="49">
        <f t="shared" si="3"/>
        <v>-494.30000000000018</v>
      </c>
      <c r="AH12" s="47">
        <f t="shared" si="4"/>
        <v>-0.35690561460258791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2023'!AE13</f>
        <v>1346.3400000000001</v>
      </c>
      <c r="AF13" s="44">
        <f>+T29+'Punters 2023'!AF13</f>
        <v>626.24</v>
      </c>
      <c r="AG13" s="49">
        <f t="shared" si="3"/>
        <v>-720.10000000000014</v>
      </c>
      <c r="AH13" s="47">
        <f t="shared" si="4"/>
        <v>-0.5348574654247813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+Q29+'Punters 2023'!AE14</f>
        <v>1353</v>
      </c>
      <c r="AF14" s="44">
        <f>+R29+'Punters 2023'!AF14</f>
        <v>637.47</v>
      </c>
      <c r="AG14" s="49">
        <f t="shared" si="3"/>
        <v>-715.53</v>
      </c>
      <c r="AH14" s="47">
        <f t="shared" si="4"/>
        <v>-0.52884700665188467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+O29+'Punters 2023'!AE15</f>
        <v>1362.7</v>
      </c>
      <c r="AF15" s="44">
        <f>+P29+'Punters 2023'!AF15</f>
        <v>1696.09</v>
      </c>
      <c r="AG15" s="50">
        <f t="shared" si="3"/>
        <v>333.38999999999987</v>
      </c>
      <c r="AH15" s="45">
        <f t="shared" si="4"/>
        <v>0.24465399574374394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+G29+'Punters 2023'!AE16</f>
        <v>620</v>
      </c>
      <c r="AF16" s="44">
        <f>+H29+'Punters 2023'!AF16</f>
        <v>151.25</v>
      </c>
      <c r="AG16" s="49">
        <f t="shared" si="3"/>
        <v>-468.75</v>
      </c>
      <c r="AH16" s="47">
        <f t="shared" si="4"/>
        <v>-0.75604838709677424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>
        <v>25</v>
      </c>
      <c r="R20" s="16">
        <v>0</v>
      </c>
      <c r="S20" s="17">
        <v>25</v>
      </c>
      <c r="T20" s="16">
        <v>0</v>
      </c>
      <c r="U20" s="15">
        <v>25</v>
      </c>
      <c r="V20" s="20">
        <v>46.25</v>
      </c>
      <c r="W20" s="15"/>
      <c r="X20" s="20"/>
      <c r="Y20" s="17">
        <f t="shared" si="0"/>
        <v>75</v>
      </c>
      <c r="Z20" s="35">
        <f t="shared" si="0"/>
        <v>46.25</v>
      </c>
      <c r="AA20" s="1">
        <f t="shared" si="2"/>
        <v>1433</v>
      </c>
      <c r="AB20" s="1">
        <f t="shared" si="2"/>
        <v>572.5</v>
      </c>
      <c r="AC20" s="1">
        <f t="shared" si="1"/>
        <v>-860.5</v>
      </c>
      <c r="AD20" s="1"/>
    </row>
    <row r="21" spans="2:30" ht="14.7" thickBot="1" x14ac:dyDescent="0.6">
      <c r="B21" s="52" t="s">
        <v>49</v>
      </c>
      <c r="C21" s="15">
        <v>25</v>
      </c>
      <c r="D21" s="16">
        <v>0</v>
      </c>
      <c r="E21" s="17">
        <v>25</v>
      </c>
      <c r="F21" s="16">
        <v>0</v>
      </c>
      <c r="G21" s="17"/>
      <c r="H21" s="16"/>
      <c r="I21" s="17">
        <v>25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75</v>
      </c>
      <c r="Z21" s="35">
        <f t="shared" si="0"/>
        <v>0</v>
      </c>
      <c r="AA21" s="1">
        <f t="shared" si="2"/>
        <v>1508</v>
      </c>
      <c r="AB21" s="1">
        <f t="shared" si="2"/>
        <v>572.5</v>
      </c>
      <c r="AC21" s="1">
        <f t="shared" si="1"/>
        <v>-935.5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>
        <v>25</v>
      </c>
      <c r="L22" s="16">
        <v>65</v>
      </c>
      <c r="M22" s="17">
        <v>25</v>
      </c>
      <c r="N22" s="16">
        <v>0</v>
      </c>
      <c r="O22" s="17">
        <v>25</v>
      </c>
      <c r="P22" s="16">
        <v>0</v>
      </c>
      <c r="Q22" s="17"/>
      <c r="R22" s="16"/>
      <c r="S22" s="17"/>
      <c r="T22" s="16"/>
      <c r="U22" s="15"/>
      <c r="V22" s="20"/>
      <c r="W22" s="15"/>
      <c r="X22" s="20"/>
      <c r="Y22" s="17">
        <f t="shared" si="0"/>
        <v>75</v>
      </c>
      <c r="Z22" s="16">
        <f t="shared" si="0"/>
        <v>65</v>
      </c>
      <c r="AA22" s="1">
        <f t="shared" ref="AA22:AB26" si="5">AA21+Y22</f>
        <v>1583</v>
      </c>
      <c r="AB22" s="1">
        <f t="shared" si="5"/>
        <v>637.5</v>
      </c>
      <c r="AC22" s="1">
        <f t="shared" si="1"/>
        <v>-945.5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>
        <v>25</v>
      </c>
      <c r="R23" s="16">
        <v>0</v>
      </c>
      <c r="S23" s="17">
        <v>25</v>
      </c>
      <c r="T23" s="16">
        <v>0</v>
      </c>
      <c r="U23" s="15">
        <v>25</v>
      </c>
      <c r="V23" s="20">
        <v>0</v>
      </c>
      <c r="W23" s="15"/>
      <c r="X23" s="20"/>
      <c r="Y23" s="17">
        <f t="shared" si="0"/>
        <v>75</v>
      </c>
      <c r="Z23" s="16">
        <f t="shared" si="0"/>
        <v>0</v>
      </c>
      <c r="AA23" s="1">
        <f t="shared" si="5"/>
        <v>1658</v>
      </c>
      <c r="AB23" s="1">
        <f t="shared" si="5"/>
        <v>637.5</v>
      </c>
      <c r="AC23" s="1">
        <f t="shared" si="1"/>
        <v>-1020.5</v>
      </c>
      <c r="AD23" s="1"/>
    </row>
    <row r="24" spans="2:30" ht="14.7" thickBot="1" x14ac:dyDescent="0.6">
      <c r="B24" s="52" t="s">
        <v>60</v>
      </c>
      <c r="C24" s="15">
        <v>25</v>
      </c>
      <c r="D24" s="16">
        <v>0</v>
      </c>
      <c r="E24" s="17"/>
      <c r="F24" s="16"/>
      <c r="G24" s="17">
        <v>25</v>
      </c>
      <c r="H24" s="16">
        <v>0</v>
      </c>
      <c r="I24" s="17">
        <v>25</v>
      </c>
      <c r="J24" s="16">
        <v>0</v>
      </c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75</v>
      </c>
      <c r="Z24" s="16">
        <f t="shared" si="0"/>
        <v>0</v>
      </c>
      <c r="AA24" s="1">
        <f t="shared" si="5"/>
        <v>1733</v>
      </c>
      <c r="AB24" s="1">
        <f t="shared" si="5"/>
        <v>637.5</v>
      </c>
      <c r="AC24" s="1">
        <f t="shared" si="1"/>
        <v>-1095.5</v>
      </c>
      <c r="AD24" s="1"/>
    </row>
    <row r="25" spans="2:30" ht="14.7" thickBot="1" x14ac:dyDescent="0.6">
      <c r="B25" s="51" t="s">
        <v>61</v>
      </c>
      <c r="C25" s="15"/>
      <c r="D25" s="16"/>
      <c r="E25" s="17">
        <v>20</v>
      </c>
      <c r="F25" s="16">
        <v>0</v>
      </c>
      <c r="G25" s="17"/>
      <c r="H25" s="16"/>
      <c r="I25" s="17"/>
      <c r="J25" s="16"/>
      <c r="K25" s="17">
        <v>25</v>
      </c>
      <c r="L25" s="16">
        <v>0</v>
      </c>
      <c r="M25" s="17">
        <v>25</v>
      </c>
      <c r="N25" s="16">
        <v>0</v>
      </c>
      <c r="O25" s="17">
        <v>25</v>
      </c>
      <c r="P25" s="16">
        <v>0</v>
      </c>
      <c r="Q25" s="17"/>
      <c r="R25" s="16"/>
      <c r="S25" s="17"/>
      <c r="T25" s="16"/>
      <c r="U25" s="15"/>
      <c r="V25" s="20"/>
      <c r="W25" s="15"/>
      <c r="X25" s="20"/>
      <c r="Y25" s="17">
        <f t="shared" si="0"/>
        <v>95</v>
      </c>
      <c r="Z25" s="16">
        <f t="shared" si="0"/>
        <v>0</v>
      </c>
      <c r="AA25" s="1">
        <f t="shared" si="5"/>
        <v>1828</v>
      </c>
      <c r="AB25" s="1">
        <f t="shared" si="5"/>
        <v>637.5</v>
      </c>
      <c r="AC25" s="1">
        <f t="shared" si="1"/>
        <v>-1190.5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>
        <v>25</v>
      </c>
      <c r="R26" s="16">
        <v>0</v>
      </c>
      <c r="S26" s="17">
        <v>25</v>
      </c>
      <c r="T26" s="16">
        <v>23.16</v>
      </c>
      <c r="U26" s="15">
        <v>25</v>
      </c>
      <c r="V26" s="20">
        <v>0</v>
      </c>
      <c r="W26" s="15"/>
      <c r="X26" s="20"/>
      <c r="Y26" s="17">
        <f t="shared" ref="Y26:Z28" si="6">U26+S26+Q26+O26+M26+K26+I26+G26+E26+C26</f>
        <v>75</v>
      </c>
      <c r="Z26" s="16">
        <f t="shared" si="6"/>
        <v>23.16</v>
      </c>
      <c r="AA26" s="1">
        <f t="shared" si="5"/>
        <v>1903</v>
      </c>
      <c r="AB26" s="1">
        <f t="shared" si="5"/>
        <v>660.66</v>
      </c>
      <c r="AC26" s="1">
        <f t="shared" si="1"/>
        <v>-1242.3400000000001</v>
      </c>
      <c r="AD26" s="1"/>
    </row>
    <row r="27" spans="2:30" ht="14.7" thickBot="1" x14ac:dyDescent="0.6">
      <c r="B27" s="30" t="s">
        <v>63</v>
      </c>
      <c r="C27" s="15">
        <v>25</v>
      </c>
      <c r="D27" s="16">
        <v>0</v>
      </c>
      <c r="E27" s="17"/>
      <c r="F27" s="16"/>
      <c r="G27" s="17"/>
      <c r="H27" s="16"/>
      <c r="I27" s="17"/>
      <c r="J27" s="16"/>
      <c r="K27" s="17">
        <v>25</v>
      </c>
      <c r="L27" s="16">
        <v>0</v>
      </c>
      <c r="M27" s="17"/>
      <c r="N27" s="16"/>
      <c r="O27" s="17"/>
      <c r="P27" s="16"/>
      <c r="Q27" s="17">
        <v>25</v>
      </c>
      <c r="R27" s="16">
        <v>0</v>
      </c>
      <c r="S27" s="17">
        <v>25</v>
      </c>
      <c r="T27" s="16">
        <v>0</v>
      </c>
      <c r="U27" s="15">
        <v>25</v>
      </c>
      <c r="V27" s="20">
        <v>0</v>
      </c>
      <c r="W27" s="15"/>
      <c r="X27" s="20"/>
      <c r="Y27" s="17">
        <f>U27+S27+Q27+O27+M27+K27+I27+G27+E27+C27+W27</f>
        <v>125</v>
      </c>
      <c r="Z27" s="16">
        <f>V27+T27+R27+P27+N27+L27+J27+H27+F27+D27+X27</f>
        <v>0</v>
      </c>
      <c r="AA27" s="1">
        <f t="shared" ref="AA27" si="7">AA26+Y27</f>
        <v>2028</v>
      </c>
      <c r="AB27" s="1">
        <f t="shared" ref="AB27" si="8">AB26+Z27</f>
        <v>660.66</v>
      </c>
      <c r="AC27" s="1">
        <f t="shared" ref="AC27" si="9">AB27-AA27</f>
        <v>-1367.3400000000001</v>
      </c>
      <c r="AD27" s="1"/>
    </row>
    <row r="28" spans="2:30" ht="14.7" thickBot="1" x14ac:dyDescent="0.6">
      <c r="B28" s="30" t="s">
        <v>84</v>
      </c>
      <c r="C28" s="15"/>
      <c r="D28" s="16"/>
      <c r="E28" s="17">
        <v>25</v>
      </c>
      <c r="F28" s="16">
        <v>8.6</v>
      </c>
      <c r="G28" s="17">
        <v>25</v>
      </c>
      <c r="H28" s="16">
        <v>0</v>
      </c>
      <c r="I28" s="17">
        <v>25</v>
      </c>
      <c r="J28" s="16">
        <v>40</v>
      </c>
      <c r="K28" s="17"/>
      <c r="L28" s="16"/>
      <c r="M28" s="17">
        <v>30</v>
      </c>
      <c r="N28" s="16">
        <v>0</v>
      </c>
      <c r="O28" s="17">
        <v>25</v>
      </c>
      <c r="P28" s="16">
        <v>0</v>
      </c>
      <c r="Q28" s="17"/>
      <c r="R28" s="16"/>
      <c r="S28" s="17"/>
      <c r="T28" s="16"/>
      <c r="U28" s="15"/>
      <c r="V28" s="20"/>
      <c r="W28" s="15"/>
      <c r="X28" s="20"/>
      <c r="Y28" s="17">
        <f t="shared" si="6"/>
        <v>130</v>
      </c>
      <c r="Z28" s="16">
        <f>V28+T28+R28+P28+N28+L28+J28+H28+F28+D28+X28</f>
        <v>48.6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10">SUM(C4:C28)</f>
        <v>225</v>
      </c>
      <c r="D29" s="18">
        <f t="shared" si="10"/>
        <v>0</v>
      </c>
      <c r="E29" s="18">
        <f t="shared" si="10"/>
        <v>205</v>
      </c>
      <c r="F29" s="18">
        <f t="shared" si="10"/>
        <v>8.6</v>
      </c>
      <c r="G29" s="18">
        <f t="shared" si="10"/>
        <v>193</v>
      </c>
      <c r="H29" s="18">
        <f t="shared" si="10"/>
        <v>0</v>
      </c>
      <c r="I29" s="18">
        <f t="shared" si="10"/>
        <v>205</v>
      </c>
      <c r="J29" s="18">
        <f t="shared" si="10"/>
        <v>40</v>
      </c>
      <c r="K29" s="18">
        <f t="shared" si="10"/>
        <v>225</v>
      </c>
      <c r="L29" s="18">
        <f t="shared" si="10"/>
        <v>118.75</v>
      </c>
      <c r="M29" s="18">
        <f t="shared" si="10"/>
        <v>230</v>
      </c>
      <c r="N29" s="18">
        <f t="shared" si="10"/>
        <v>132.5</v>
      </c>
      <c r="O29" s="18">
        <f t="shared" si="10"/>
        <v>230</v>
      </c>
      <c r="P29" s="18">
        <f t="shared" si="10"/>
        <v>235</v>
      </c>
      <c r="Q29" s="18">
        <f t="shared" si="10"/>
        <v>230</v>
      </c>
      <c r="R29" s="18">
        <f t="shared" si="10"/>
        <v>0</v>
      </c>
      <c r="S29" s="18">
        <f t="shared" si="10"/>
        <v>225</v>
      </c>
      <c r="T29" s="18">
        <f>SUM(T4:T28)</f>
        <v>128.16</v>
      </c>
      <c r="U29" s="18">
        <f t="shared" si="10"/>
        <v>190</v>
      </c>
      <c r="V29" s="21">
        <f t="shared" si="10"/>
        <v>46.25</v>
      </c>
      <c r="W29" s="18">
        <f t="shared" si="10"/>
        <v>0</v>
      </c>
      <c r="X29" s="21">
        <f t="shared" si="10"/>
        <v>0</v>
      </c>
      <c r="Y29" s="29">
        <f t="shared" si="10"/>
        <v>2158</v>
      </c>
      <c r="Z29" s="18">
        <f t="shared" si="10"/>
        <v>709.26</v>
      </c>
      <c r="AA29" s="1"/>
    </row>
    <row r="30" spans="2:30" x14ac:dyDescent="0.55000000000000004">
      <c r="D30" s="56">
        <f>(D29-C29)/C29</f>
        <v>-1</v>
      </c>
      <c r="F30" s="34">
        <f>(F29-E29)/E29</f>
        <v>-0.95804878048780495</v>
      </c>
      <c r="H30" s="34">
        <f>(H29-G29)/G29</f>
        <v>-1</v>
      </c>
      <c r="J30" s="34">
        <f>(J29-I29)/I29</f>
        <v>-0.80487804878048785</v>
      </c>
      <c r="L30" s="28">
        <f>(L29-K29)/K29</f>
        <v>-0.47222222222222221</v>
      </c>
      <c r="N30" s="28">
        <f>(N29-M29)/M29</f>
        <v>-0.42391304347826086</v>
      </c>
      <c r="P30" s="28">
        <f>(P29-O29)/O29</f>
        <v>2.1739130434782608E-2</v>
      </c>
      <c r="R30" s="28">
        <f>(R29-Q29)/Q29</f>
        <v>-1</v>
      </c>
      <c r="T30" s="22">
        <f>(T29-S29)/S29</f>
        <v>-0.4304</v>
      </c>
      <c r="V30" s="28">
        <f>(V29-U29)/U29</f>
        <v>-0.75657894736842102</v>
      </c>
    </row>
    <row r="31" spans="2:30" x14ac:dyDescent="0.55000000000000004">
      <c r="F31" s="65" t="s">
        <v>56</v>
      </c>
      <c r="G31" s="66"/>
      <c r="H31" s="67"/>
      <c r="I31" s="63">
        <f>C29+E29+G29+I29+K29+M29+O29+Q29+S29+U29+W29</f>
        <v>2158</v>
      </c>
      <c r="J31" s="64"/>
    </row>
    <row r="32" spans="2:30" x14ac:dyDescent="0.55000000000000004">
      <c r="G32" s="70" t="s">
        <v>57</v>
      </c>
      <c r="H32" s="70"/>
      <c r="I32" s="63">
        <f>+D29+F29+H29+J29+L29+N29+P29+R29+T29+V29+X29</f>
        <v>709.26</v>
      </c>
      <c r="J32" s="64"/>
    </row>
    <row r="33" spans="3:25" x14ac:dyDescent="0.55000000000000004">
      <c r="I33" s="63">
        <f>I32-I31</f>
        <v>-1448.74</v>
      </c>
      <c r="J33" s="64"/>
      <c r="Y33">
        <f>2167+183+5*10</f>
        <v>2400</v>
      </c>
    </row>
    <row r="34" spans="3:25" x14ac:dyDescent="0.55000000000000004">
      <c r="C34" s="36">
        <f>C29+E29+G29+I29</f>
        <v>828</v>
      </c>
      <c r="D34" s="36">
        <f>D29+F29+H29+J29</f>
        <v>48.6</v>
      </c>
      <c r="E34" s="37">
        <f>D34-C34</f>
        <v>-779.4</v>
      </c>
      <c r="I34" s="38">
        <f>O29+K29+M29</f>
        <v>685</v>
      </c>
      <c r="J34" s="38">
        <f>P29+L29+N29</f>
        <v>486.25</v>
      </c>
      <c r="K34" s="39">
        <f>J34-I34</f>
        <v>-198.75</v>
      </c>
      <c r="O34" s="40">
        <f>U29+Q29+S29</f>
        <v>645</v>
      </c>
      <c r="P34" s="40">
        <f>V29+R29+T29</f>
        <v>174.41</v>
      </c>
      <c r="Q34" s="41">
        <f>P34-O34</f>
        <v>-470.59000000000003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-0.94130434782608696</v>
      </c>
      <c r="E35" s="37"/>
      <c r="I35" s="38"/>
      <c r="J35" s="34">
        <f>(J34-I34)/I34</f>
        <v>-0.29014598540145986</v>
      </c>
      <c r="K35" s="39"/>
      <c r="O35" s="40"/>
      <c r="P35" s="34">
        <f>(P34-O34)/O34</f>
        <v>-0.72959689922480631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71">
        <f>I36+I33</f>
        <v>552.84999999999991</v>
      </c>
      <c r="J38" s="71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828</v>
      </c>
      <c r="D42" s="1">
        <f>D29+F29+H29+J29</f>
        <v>48.6</v>
      </c>
      <c r="I42" s="1">
        <f>O29+K29+M29</f>
        <v>685</v>
      </c>
      <c r="J42" s="1">
        <f>P29+L29+N29</f>
        <v>486.25</v>
      </c>
      <c r="O42" s="1">
        <f>U29+Q29+S29</f>
        <v>645</v>
      </c>
      <c r="P42" s="1">
        <f>V29+R29+T29</f>
        <v>174.41</v>
      </c>
    </row>
    <row r="43" spans="3:25" x14ac:dyDescent="0.55000000000000004">
      <c r="D43" s="1">
        <f>D42-C42</f>
        <v>-779.4</v>
      </c>
      <c r="J43" s="33">
        <f>J42-I42</f>
        <v>-198.75</v>
      </c>
      <c r="P43" s="33">
        <f>P42-O42</f>
        <v>-470.59000000000003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13</v>
      </c>
    </row>
    <row r="48" spans="3:25" x14ac:dyDescent="0.55000000000000004">
      <c r="D48" t="s">
        <v>92</v>
      </c>
      <c r="E48" s="1">
        <f>SUM(V29)</f>
        <v>46.25</v>
      </c>
      <c r="J48" t="s">
        <v>92</v>
      </c>
      <c r="K48">
        <v>3</v>
      </c>
      <c r="V48" t="s">
        <v>93</v>
      </c>
      <c r="W48">
        <v>3</v>
      </c>
    </row>
    <row r="49" spans="4:23" x14ac:dyDescent="0.55000000000000004">
      <c r="D49" t="s">
        <v>12</v>
      </c>
      <c r="E49" s="1">
        <f>SUM(L29)</f>
        <v>118.75</v>
      </c>
      <c r="J49" t="s">
        <v>12</v>
      </c>
      <c r="K49">
        <v>2</v>
      </c>
      <c r="V49" t="s">
        <v>92</v>
      </c>
      <c r="W49">
        <v>5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3</v>
      </c>
    </row>
    <row r="51" spans="4:23" x14ac:dyDescent="0.55000000000000004">
      <c r="D51" t="s">
        <v>95</v>
      </c>
      <c r="E51" s="1">
        <f>SUM(F29)</f>
        <v>8.6</v>
      </c>
      <c r="J51" t="s">
        <v>95</v>
      </c>
      <c r="K51">
        <v>4</v>
      </c>
      <c r="V51" t="s">
        <v>11</v>
      </c>
      <c r="W51">
        <v>4</v>
      </c>
    </row>
    <row r="52" spans="4:23" x14ac:dyDescent="0.55000000000000004">
      <c r="D52" t="s">
        <v>93</v>
      </c>
      <c r="E52" s="1">
        <f>SUM(T29)</f>
        <v>128.16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SUM(J29)</f>
        <v>40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1</v>
      </c>
      <c r="V55" t="s">
        <v>94</v>
      </c>
      <c r="W55">
        <v>7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3</v>
      </c>
      <c r="W56">
        <f>SUM(W46:W55)</f>
        <v>47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709.26</v>
      </c>
      <c r="K58">
        <f>SUM(K48:K57)</f>
        <v>19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9F16-82B6-4065-BD66-A16405C0D139}">
  <sheetPr>
    <pageSetUpPr fitToPage="1"/>
  </sheetPr>
  <dimension ref="B1:AL60"/>
  <sheetViews>
    <sheetView tabSelected="1" topLeftCell="A33" workbookViewId="0">
      <selection activeCell="K53" sqref="K53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customWidth="1"/>
    <col min="25" max="25" width="9.41796875" customWidth="1"/>
    <col min="26" max="26" width="9.68359375" customWidth="1"/>
    <col min="29" max="29" width="10.41796875" bestFit="1" customWidth="1"/>
    <col min="33" max="33" width="14.15625" customWidth="1"/>
    <col min="34" max="34" width="11" bestFit="1" customWidth="1"/>
    <col min="38" max="38" width="10.578125" customWidth="1"/>
  </cols>
  <sheetData>
    <row r="1" spans="2:38" ht="7.5" customHeight="1" x14ac:dyDescent="0.7">
      <c r="W1" s="73"/>
      <c r="X1" s="74"/>
    </row>
    <row r="2" spans="2:38" ht="18.3" x14ac:dyDescent="0.7">
      <c r="C2" s="62" t="s">
        <v>113</v>
      </c>
      <c r="D2" s="62"/>
      <c r="E2" s="72" t="s">
        <v>101</v>
      </c>
      <c r="F2" s="68"/>
      <c r="G2" s="62" t="s">
        <v>114</v>
      </c>
      <c r="H2" s="62"/>
      <c r="I2" s="62" t="s">
        <v>115</v>
      </c>
      <c r="J2" s="62"/>
      <c r="K2" s="62" t="s">
        <v>104</v>
      </c>
      <c r="L2" s="62"/>
      <c r="M2" s="72" t="s">
        <v>103</v>
      </c>
      <c r="N2" s="68"/>
      <c r="O2" s="62" t="s">
        <v>106</v>
      </c>
      <c r="P2" s="62"/>
      <c r="Q2" s="62" t="s">
        <v>107</v>
      </c>
      <c r="R2" s="62"/>
      <c r="S2" s="62" t="s">
        <v>100</v>
      </c>
      <c r="T2" s="62"/>
      <c r="U2" s="62" t="s">
        <v>108</v>
      </c>
      <c r="V2" s="72"/>
      <c r="W2" s="75" t="s">
        <v>102</v>
      </c>
      <c r="X2" s="76"/>
      <c r="Y2" s="75" t="s">
        <v>105</v>
      </c>
      <c r="Z2" s="77"/>
      <c r="AA2" s="78" t="s">
        <v>66</v>
      </c>
      <c r="AB2" s="79"/>
      <c r="AC2" s="68" t="s">
        <v>28</v>
      </c>
      <c r="AD2" s="62"/>
    </row>
    <row r="3" spans="2:38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57" t="s">
        <v>30</v>
      </c>
      <c r="X3" s="58" t="s">
        <v>31</v>
      </c>
      <c r="Y3" s="57" t="s">
        <v>30</v>
      </c>
      <c r="Z3" s="58" t="s">
        <v>31</v>
      </c>
      <c r="AA3" s="24" t="s">
        <v>30</v>
      </c>
      <c r="AB3" s="26" t="s">
        <v>31</v>
      </c>
      <c r="AC3" s="27" t="s">
        <v>30</v>
      </c>
      <c r="AD3" s="25" t="s">
        <v>31</v>
      </c>
      <c r="AE3" s="27" t="s">
        <v>30</v>
      </c>
      <c r="AF3" s="25" t="s">
        <v>31</v>
      </c>
      <c r="AG3" s="27" t="s">
        <v>83</v>
      </c>
      <c r="AH3" s="25"/>
    </row>
    <row r="4" spans="2:38" x14ac:dyDescent="0.55000000000000004">
      <c r="B4" s="54" t="s">
        <v>109</v>
      </c>
      <c r="C4" s="12"/>
      <c r="D4" s="13"/>
      <c r="E4" s="14"/>
      <c r="F4" s="13"/>
      <c r="G4" s="14">
        <v>25</v>
      </c>
      <c r="H4" s="13">
        <v>0</v>
      </c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2"/>
      <c r="Z4" s="19"/>
      <c r="AA4" s="12"/>
      <c r="AB4" s="19"/>
      <c r="AC4" s="17">
        <f>U4+S4+Q4+O4+M4+K4+I4+G4+E4+C4+W4+Y4</f>
        <v>25</v>
      </c>
      <c r="AD4" s="48">
        <f t="shared" ref="AD4" si="0">V4+T4+R4+P4+N4+L4+J4+H4+F4+D4</f>
        <v>0</v>
      </c>
      <c r="AE4" s="1">
        <f>AC4</f>
        <v>25</v>
      </c>
      <c r="AF4" s="1">
        <f>AD4</f>
        <v>0</v>
      </c>
      <c r="AG4" s="1">
        <f>AF4-AE4</f>
        <v>-25</v>
      </c>
      <c r="AH4" s="1"/>
    </row>
    <row r="5" spans="2:38" x14ac:dyDescent="0.55000000000000004">
      <c r="B5" s="54" t="s">
        <v>32</v>
      </c>
      <c r="C5" s="15">
        <v>25</v>
      </c>
      <c r="D5" s="16">
        <v>0</v>
      </c>
      <c r="E5" s="17">
        <v>25</v>
      </c>
      <c r="F5" s="16">
        <v>0</v>
      </c>
      <c r="G5" s="17"/>
      <c r="H5" s="16"/>
      <c r="I5" s="17">
        <v>25</v>
      </c>
      <c r="J5" s="16">
        <v>0</v>
      </c>
      <c r="K5" s="17">
        <v>25</v>
      </c>
      <c r="L5" s="16">
        <v>0</v>
      </c>
      <c r="M5" s="17">
        <v>20</v>
      </c>
      <c r="N5" s="16">
        <v>0</v>
      </c>
      <c r="O5" s="17">
        <v>25</v>
      </c>
      <c r="P5" s="16">
        <v>109.38</v>
      </c>
      <c r="Q5" s="17">
        <v>25</v>
      </c>
      <c r="R5" s="16">
        <v>0</v>
      </c>
      <c r="S5" s="17">
        <v>25</v>
      </c>
      <c r="T5" s="16">
        <v>190</v>
      </c>
      <c r="U5" s="15">
        <v>25</v>
      </c>
      <c r="V5" s="20">
        <v>0</v>
      </c>
      <c r="W5" s="15">
        <v>25</v>
      </c>
      <c r="X5" s="20">
        <v>0</v>
      </c>
      <c r="Y5" s="15">
        <v>25</v>
      </c>
      <c r="Z5" s="20">
        <f>54.38+45</f>
        <v>99.38</v>
      </c>
      <c r="AA5" s="15"/>
      <c r="AB5" s="20"/>
      <c r="AC5" s="17">
        <f>U5+S5+Q5+O5+M5+K5+I5+G5+E5+C5+W5+Y5</f>
        <v>270</v>
      </c>
      <c r="AD5" s="35">
        <f>V5+T5+R5+P5+N5+L5+J5+H5+F5+D5+X5+Z5</f>
        <v>398.76</v>
      </c>
      <c r="AE5" s="1">
        <f>AE4+AC5</f>
        <v>295</v>
      </c>
      <c r="AF5" s="1">
        <f>AF4+AD5</f>
        <v>398.76</v>
      </c>
      <c r="AG5" s="1">
        <f t="shared" ref="AG5:AG27" si="1">AF5-AE5</f>
        <v>103.75999999999999</v>
      </c>
      <c r="AH5" s="1"/>
    </row>
    <row r="6" spans="2:38" ht="14.7" thickBot="1" x14ac:dyDescent="0.6">
      <c r="B6" s="52" t="s">
        <v>34</v>
      </c>
      <c r="C6" s="15">
        <v>20</v>
      </c>
      <c r="D6" s="16">
        <v>0</v>
      </c>
      <c r="E6" s="17">
        <v>20</v>
      </c>
      <c r="F6" s="16">
        <v>0</v>
      </c>
      <c r="G6" s="17">
        <v>25</v>
      </c>
      <c r="H6" s="16">
        <v>0</v>
      </c>
      <c r="I6" s="17">
        <v>25</v>
      </c>
      <c r="J6" s="16">
        <v>0</v>
      </c>
      <c r="K6" s="17"/>
      <c r="L6" s="16"/>
      <c r="M6" s="17">
        <v>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5"/>
      <c r="Z6" s="20"/>
      <c r="AA6" s="15"/>
      <c r="AB6" s="20"/>
      <c r="AC6" s="17">
        <f t="shared" ref="AC6:AC28" si="2">U6+S6+Q6+O6+M6+K6+I6+G6+E6+C6+W6+Y6</f>
        <v>95</v>
      </c>
      <c r="AD6" s="35">
        <f t="shared" ref="AD6:AD28" si="3">V6+T6+R6+P6+N6+L6+J6+H6+F6+D6+X6+Z6</f>
        <v>0</v>
      </c>
      <c r="AE6" s="1">
        <f t="shared" ref="AE6:AF21" si="4">AE5+AC6</f>
        <v>390</v>
      </c>
      <c r="AF6" s="1">
        <f t="shared" si="4"/>
        <v>398.76</v>
      </c>
      <c r="AG6" s="1">
        <f t="shared" si="1"/>
        <v>8.7599999999999909</v>
      </c>
      <c r="AH6" s="1"/>
      <c r="AI6" s="43" t="s">
        <v>67</v>
      </c>
      <c r="AJ6" s="43" t="s">
        <v>68</v>
      </c>
      <c r="AK6" s="43" t="s">
        <v>69</v>
      </c>
      <c r="AL6" s="43" t="s">
        <v>70</v>
      </c>
    </row>
    <row r="7" spans="2:38" ht="14.7" thickBot="1" x14ac:dyDescent="0.6">
      <c r="B7" s="51" t="s">
        <v>35</v>
      </c>
      <c r="C7" s="15"/>
      <c r="D7" s="16"/>
      <c r="E7" s="17">
        <v>5</v>
      </c>
      <c r="F7" s="16">
        <v>0</v>
      </c>
      <c r="G7" s="17"/>
      <c r="H7" s="16"/>
      <c r="I7" s="17"/>
      <c r="J7" s="16"/>
      <c r="K7" s="17">
        <f>10+7.5+5+2.5</f>
        <v>25</v>
      </c>
      <c r="L7" s="16">
        <v>0</v>
      </c>
      <c r="M7" s="17">
        <f>5+10+5</f>
        <v>20</v>
      </c>
      <c r="N7" s="16">
        <v>0</v>
      </c>
      <c r="O7" s="17">
        <f>5+5+5+5+5</f>
        <v>25</v>
      </c>
      <c r="P7" s="16">
        <v>0</v>
      </c>
      <c r="Q7" s="17">
        <f>5+10+5+5</f>
        <v>25</v>
      </c>
      <c r="R7" s="16">
        <v>0</v>
      </c>
      <c r="S7" s="17"/>
      <c r="T7" s="16"/>
      <c r="U7" s="15"/>
      <c r="V7" s="20"/>
      <c r="W7" s="15"/>
      <c r="X7" s="20"/>
      <c r="Y7" s="15"/>
      <c r="Z7" s="20"/>
      <c r="AA7" s="15"/>
      <c r="AB7" s="20"/>
      <c r="AC7" s="17">
        <f t="shared" si="2"/>
        <v>100</v>
      </c>
      <c r="AD7" s="35">
        <f t="shared" si="3"/>
        <v>0</v>
      </c>
      <c r="AE7" s="1">
        <f t="shared" si="4"/>
        <v>490</v>
      </c>
      <c r="AF7" s="1">
        <f t="shared" si="4"/>
        <v>398.76</v>
      </c>
      <c r="AG7" s="1">
        <f t="shared" si="1"/>
        <v>-91.240000000000009</v>
      </c>
      <c r="AH7" s="44" t="s">
        <v>71</v>
      </c>
      <c r="AI7" s="44">
        <f>+E29+'Punters 2023'!AE7</f>
        <v>1103</v>
      </c>
      <c r="AJ7" s="44">
        <f>+F29+'Punters 2023'!AF7</f>
        <v>534</v>
      </c>
      <c r="AK7" s="49">
        <f>+AJ7-AI7</f>
        <v>-569</v>
      </c>
      <c r="AL7" s="47">
        <f>(AJ7-AI7)/AI7</f>
        <v>-0.51586582048957386</v>
      </c>
    </row>
    <row r="8" spans="2:38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>
        <v>25</v>
      </c>
      <c r="T8" s="16">
        <v>0</v>
      </c>
      <c r="U8" s="15">
        <v>25</v>
      </c>
      <c r="V8" s="20">
        <v>0</v>
      </c>
      <c r="W8" s="15">
        <v>25</v>
      </c>
      <c r="X8" s="20">
        <v>0</v>
      </c>
      <c r="Y8" s="15">
        <v>25</v>
      </c>
      <c r="Z8" s="20">
        <v>1.65</v>
      </c>
      <c r="AA8" s="15"/>
      <c r="AB8" s="20"/>
      <c r="AC8" s="17">
        <f t="shared" si="2"/>
        <v>100</v>
      </c>
      <c r="AD8" s="35">
        <f t="shared" si="3"/>
        <v>1.65</v>
      </c>
      <c r="AE8" s="1">
        <f t="shared" si="4"/>
        <v>590</v>
      </c>
      <c r="AF8" s="1">
        <f t="shared" si="4"/>
        <v>400.40999999999997</v>
      </c>
      <c r="AG8" s="1">
        <f t="shared" si="1"/>
        <v>-189.59000000000003</v>
      </c>
      <c r="AH8" s="44" t="s">
        <v>72</v>
      </c>
      <c r="AI8" s="44">
        <f>+K29+'Punters 2023'!AE8</f>
        <v>1238</v>
      </c>
      <c r="AJ8" s="44">
        <f>+L29+'Punters 2023'!AF8</f>
        <v>1019.77</v>
      </c>
      <c r="AK8" s="50">
        <f t="shared" ref="AK8:AK16" si="5">+AJ8-AI8</f>
        <v>-218.23000000000002</v>
      </c>
      <c r="AL8" s="47">
        <f t="shared" ref="AL8:AL16" si="6">(AJ8-AI8)/AI8</f>
        <v>-0.17627625201938613</v>
      </c>
    </row>
    <row r="9" spans="2:38" ht="14.7" thickBot="1" x14ac:dyDescent="0.6">
      <c r="B9" s="52" t="s">
        <v>37</v>
      </c>
      <c r="C9" s="15">
        <v>30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25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5"/>
      <c r="Z9" s="20"/>
      <c r="AA9" s="15"/>
      <c r="AB9" s="20"/>
      <c r="AC9" s="17">
        <f t="shared" si="2"/>
        <v>105</v>
      </c>
      <c r="AD9" s="35">
        <f t="shared" si="3"/>
        <v>0</v>
      </c>
      <c r="AE9" s="1">
        <f t="shared" si="4"/>
        <v>695</v>
      </c>
      <c r="AF9" s="1">
        <f t="shared" si="4"/>
        <v>400.40999999999997</v>
      </c>
      <c r="AG9" s="1">
        <f t="shared" si="1"/>
        <v>-294.59000000000003</v>
      </c>
      <c r="AH9" s="44" t="s">
        <v>73</v>
      </c>
      <c r="AI9" s="44">
        <f>+M29+'Punters 2023'!AE9</f>
        <v>1211.48</v>
      </c>
      <c r="AJ9" s="44">
        <f>N29+'Punters 2023'!AF9</f>
        <v>961.4</v>
      </c>
      <c r="AK9" s="50">
        <f t="shared" si="5"/>
        <v>-250.08000000000004</v>
      </c>
      <c r="AL9" s="47">
        <f t="shared" si="6"/>
        <v>-0.20642519893023412</v>
      </c>
    </row>
    <row r="10" spans="2:38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f>5+10+5+10</f>
        <v>30</v>
      </c>
      <c r="N10" s="16">
        <v>0</v>
      </c>
      <c r="O10" s="17">
        <v>25</v>
      </c>
      <c r="P10" s="16">
        <v>0</v>
      </c>
      <c r="Q10" s="17">
        <v>25</v>
      </c>
      <c r="R10" s="16">
        <v>0</v>
      </c>
      <c r="S10" s="17"/>
      <c r="T10" s="16"/>
      <c r="U10" s="15"/>
      <c r="V10" s="20"/>
      <c r="W10" s="15"/>
      <c r="X10" s="20"/>
      <c r="Y10" s="15"/>
      <c r="Z10" s="20"/>
      <c r="AA10" s="15"/>
      <c r="AB10" s="20"/>
      <c r="AC10" s="17">
        <f t="shared" si="2"/>
        <v>105</v>
      </c>
      <c r="AD10" s="35">
        <f t="shared" si="3"/>
        <v>0</v>
      </c>
      <c r="AE10" s="1">
        <f t="shared" si="4"/>
        <v>800</v>
      </c>
      <c r="AF10" s="1">
        <f t="shared" si="4"/>
        <v>400.40999999999997</v>
      </c>
      <c r="AG10" s="1">
        <f t="shared" si="1"/>
        <v>-399.59000000000003</v>
      </c>
      <c r="AH10" s="44" t="s">
        <v>74</v>
      </c>
      <c r="AI10" s="44">
        <f>+C29+'Punters 2023'!AE10</f>
        <v>1239.9000000000001</v>
      </c>
      <c r="AJ10" s="44">
        <f>+D29+'Punters 2023'!AF10</f>
        <v>1596.4499999999998</v>
      </c>
      <c r="AK10" s="50">
        <f t="shared" si="5"/>
        <v>356.54999999999973</v>
      </c>
      <c r="AL10" s="45">
        <f t="shared" si="6"/>
        <v>0.28756351318654705</v>
      </c>
    </row>
    <row r="11" spans="2:38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>
        <v>25</v>
      </c>
      <c r="T11" s="16">
        <v>78.61</v>
      </c>
      <c r="U11" s="15">
        <v>25</v>
      </c>
      <c r="V11" s="20">
        <v>0</v>
      </c>
      <c r="W11" s="15">
        <v>25</v>
      </c>
      <c r="X11" s="20">
        <f>33.75+32.5</f>
        <v>66.25</v>
      </c>
      <c r="Y11" s="15">
        <v>25</v>
      </c>
      <c r="Z11" s="20">
        <v>83.75</v>
      </c>
      <c r="AA11" s="15"/>
      <c r="AB11" s="20"/>
      <c r="AC11" s="17">
        <f t="shared" si="2"/>
        <v>100</v>
      </c>
      <c r="AD11" s="35">
        <f t="shared" si="3"/>
        <v>228.61</v>
      </c>
      <c r="AE11" s="1">
        <f t="shared" si="4"/>
        <v>900</v>
      </c>
      <c r="AF11" s="1">
        <f t="shared" si="4"/>
        <v>629.02</v>
      </c>
      <c r="AG11" s="1">
        <f t="shared" si="1"/>
        <v>-270.98</v>
      </c>
      <c r="AH11" s="44" t="s">
        <v>75</v>
      </c>
      <c r="AI11" s="44">
        <f>+I29+'Punters 2023'!AE11</f>
        <v>943</v>
      </c>
      <c r="AJ11" s="44">
        <f>+J29+'Punters 2023'!AF11</f>
        <v>58.25</v>
      </c>
      <c r="AK11" s="49">
        <f t="shared" si="5"/>
        <v>-884.75</v>
      </c>
      <c r="AL11" s="47">
        <f t="shared" si="6"/>
        <v>-0.93822905620360553</v>
      </c>
    </row>
    <row r="12" spans="2:38" ht="14.7" thickBot="1" x14ac:dyDescent="0.6">
      <c r="B12" s="52" t="s">
        <v>40</v>
      </c>
      <c r="C12" s="15">
        <v>25</v>
      </c>
      <c r="D12" s="16">
        <v>80</v>
      </c>
      <c r="E12" s="17">
        <v>25</v>
      </c>
      <c r="F12" s="16">
        <v>0</v>
      </c>
      <c r="G12" s="17">
        <v>25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5"/>
      <c r="Z12" s="20"/>
      <c r="AA12" s="15"/>
      <c r="AB12" s="20"/>
      <c r="AC12" s="17">
        <f t="shared" si="2"/>
        <v>75</v>
      </c>
      <c r="AD12" s="35">
        <f t="shared" si="3"/>
        <v>80</v>
      </c>
      <c r="AE12" s="1">
        <f t="shared" si="4"/>
        <v>975</v>
      </c>
      <c r="AF12" s="1">
        <f t="shared" si="4"/>
        <v>709.02</v>
      </c>
      <c r="AG12" s="1">
        <f t="shared" si="1"/>
        <v>-265.98</v>
      </c>
      <c r="AH12" s="44" t="s">
        <v>76</v>
      </c>
      <c r="AI12" s="44">
        <f>+U29+'Punters 2023'!AE12</f>
        <v>1269.96</v>
      </c>
      <c r="AJ12" s="44">
        <f>+V29+'Punters 2023'!AF12</f>
        <v>844.40999999999985</v>
      </c>
      <c r="AK12" s="49">
        <f t="shared" si="5"/>
        <v>-425.55000000000018</v>
      </c>
      <c r="AL12" s="47">
        <f t="shared" si="6"/>
        <v>-0.33508929415099703</v>
      </c>
    </row>
    <row r="13" spans="2:38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5"/>
      <c r="V13" s="20"/>
      <c r="W13" s="15"/>
      <c r="X13" s="20"/>
      <c r="Y13" s="15"/>
      <c r="Z13" s="20"/>
      <c r="AA13" s="15"/>
      <c r="AB13" s="20"/>
      <c r="AC13" s="17">
        <f t="shared" si="2"/>
        <v>0</v>
      </c>
      <c r="AD13" s="35">
        <f t="shared" si="3"/>
        <v>0</v>
      </c>
      <c r="AE13" s="1">
        <f t="shared" si="4"/>
        <v>975</v>
      </c>
      <c r="AF13" s="1">
        <f t="shared" si="4"/>
        <v>709.02</v>
      </c>
      <c r="AG13" s="1">
        <f t="shared" si="1"/>
        <v>-265.98</v>
      </c>
      <c r="AH13" s="44" t="s">
        <v>77</v>
      </c>
      <c r="AI13" s="44">
        <f>+S29+'Punters 2023'!AE13</f>
        <v>1196.3400000000001</v>
      </c>
      <c r="AJ13" s="44">
        <f>+T29+'Punters 2023'!AF13</f>
        <v>766.69</v>
      </c>
      <c r="AK13" s="49">
        <f t="shared" si="5"/>
        <v>-429.65000000000009</v>
      </c>
      <c r="AL13" s="47">
        <f t="shared" si="6"/>
        <v>-0.35913703462226459</v>
      </c>
    </row>
    <row r="14" spans="2:38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5"/>
      <c r="Z14" s="20"/>
      <c r="AA14" s="15"/>
      <c r="AB14" s="20"/>
      <c r="AC14" s="17">
        <f t="shared" si="2"/>
        <v>0</v>
      </c>
      <c r="AD14" s="35">
        <f t="shared" si="3"/>
        <v>0</v>
      </c>
      <c r="AE14" s="1">
        <f t="shared" si="4"/>
        <v>975</v>
      </c>
      <c r="AF14" s="1">
        <f t="shared" si="4"/>
        <v>709.02</v>
      </c>
      <c r="AG14" s="1">
        <f t="shared" si="1"/>
        <v>-265.98</v>
      </c>
      <c r="AH14" s="44" t="s">
        <v>78</v>
      </c>
      <c r="AI14" s="44">
        <f>+Q29+'Punters 2023'!AE14</f>
        <v>1198</v>
      </c>
      <c r="AJ14" s="44">
        <f>+R29+'Punters 2023'!AF14</f>
        <v>637.47</v>
      </c>
      <c r="AK14" s="49">
        <f t="shared" si="5"/>
        <v>-560.53</v>
      </c>
      <c r="AL14" s="47">
        <f t="shared" si="6"/>
        <v>-0.4678881469115192</v>
      </c>
    </row>
    <row r="15" spans="2:38" ht="14.7" thickBot="1" x14ac:dyDescent="0.6">
      <c r="B15" s="52" t="s">
        <v>43</v>
      </c>
      <c r="C15" s="15"/>
      <c r="D15" s="16"/>
      <c r="E15" s="17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5"/>
      <c r="Z15" s="20"/>
      <c r="AA15" s="15"/>
      <c r="AB15" s="20"/>
      <c r="AC15" s="17">
        <f t="shared" si="2"/>
        <v>0</v>
      </c>
      <c r="AD15" s="35">
        <f t="shared" si="3"/>
        <v>0</v>
      </c>
      <c r="AE15" s="1">
        <f t="shared" si="4"/>
        <v>975</v>
      </c>
      <c r="AF15" s="1">
        <f t="shared" si="4"/>
        <v>709.02</v>
      </c>
      <c r="AG15" s="1">
        <f t="shared" si="1"/>
        <v>-265.98</v>
      </c>
      <c r="AH15" s="44" t="s">
        <v>79</v>
      </c>
      <c r="AI15" s="44">
        <f>+O29+'Punters 2023'!AE15</f>
        <v>1207.7</v>
      </c>
      <c r="AJ15" s="44">
        <f>+P29+'Punters 2023'!AF15</f>
        <v>1570.4699999999998</v>
      </c>
      <c r="AK15" s="50">
        <f t="shared" si="5"/>
        <v>362.76999999999975</v>
      </c>
      <c r="AL15" s="45">
        <f t="shared" si="6"/>
        <v>0.30038088929369855</v>
      </c>
    </row>
    <row r="16" spans="2:38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5"/>
      <c r="V16" s="20"/>
      <c r="W16" s="15"/>
      <c r="X16" s="20"/>
      <c r="Y16" s="15"/>
      <c r="Z16" s="20"/>
      <c r="AA16" s="15"/>
      <c r="AB16" s="20"/>
      <c r="AC16" s="17">
        <f t="shared" si="2"/>
        <v>0</v>
      </c>
      <c r="AD16" s="35">
        <f t="shared" si="3"/>
        <v>0</v>
      </c>
      <c r="AE16" s="1">
        <f t="shared" si="4"/>
        <v>975</v>
      </c>
      <c r="AF16" s="1">
        <f t="shared" si="4"/>
        <v>709.02</v>
      </c>
      <c r="AG16" s="1">
        <f t="shared" si="1"/>
        <v>-265.98</v>
      </c>
      <c r="AH16" s="44" t="s">
        <v>80</v>
      </c>
      <c r="AI16" s="44">
        <f>+G29+'Punters 2023'!AE16</f>
        <v>527</v>
      </c>
      <c r="AJ16" s="44">
        <f>+H29+'Punters 2023'!AF16</f>
        <v>151.25</v>
      </c>
      <c r="AK16" s="49">
        <f t="shared" si="5"/>
        <v>-375.75</v>
      </c>
      <c r="AL16" s="47">
        <f t="shared" si="6"/>
        <v>-0.71299810246679318</v>
      </c>
    </row>
    <row r="17" spans="2:38" x14ac:dyDescent="0.55000000000000004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5"/>
      <c r="Z17" s="20"/>
      <c r="AA17" s="15"/>
      <c r="AB17" s="20"/>
      <c r="AC17" s="17">
        <f t="shared" si="2"/>
        <v>0</v>
      </c>
      <c r="AD17" s="35">
        <f t="shared" si="3"/>
        <v>0</v>
      </c>
      <c r="AE17" s="1">
        <f t="shared" si="4"/>
        <v>975</v>
      </c>
      <c r="AF17" s="1">
        <f t="shared" si="4"/>
        <v>709.02</v>
      </c>
      <c r="AG17" s="1">
        <f t="shared" si="1"/>
        <v>-265.98</v>
      </c>
      <c r="AH17" s="44" t="s">
        <v>116</v>
      </c>
      <c r="AI17" s="44">
        <f>+C29</f>
        <v>100</v>
      </c>
      <c r="AJ17" s="44">
        <f>+D29</f>
        <v>80</v>
      </c>
      <c r="AK17" s="49">
        <f t="shared" ref="AK17:AK18" si="7">+AJ17-AI17</f>
        <v>-20</v>
      </c>
      <c r="AL17" s="47">
        <f t="shared" ref="AL17:AL18" si="8">(AJ17-AI17)/AI17</f>
        <v>-0.2</v>
      </c>
    </row>
    <row r="18" spans="2:38" x14ac:dyDescent="0.55000000000000004">
      <c r="B18" s="52" t="s">
        <v>46</v>
      </c>
      <c r="C18" s="15"/>
      <c r="D18" s="16"/>
      <c r="E18" s="17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5"/>
      <c r="Z18" s="20"/>
      <c r="AA18" s="15"/>
      <c r="AB18" s="20"/>
      <c r="AC18" s="17">
        <f t="shared" si="2"/>
        <v>0</v>
      </c>
      <c r="AD18" s="35">
        <f t="shared" si="3"/>
        <v>0</v>
      </c>
      <c r="AE18" s="1">
        <f t="shared" si="4"/>
        <v>975</v>
      </c>
      <c r="AF18" s="1">
        <f t="shared" si="4"/>
        <v>709.02</v>
      </c>
      <c r="AG18" s="1">
        <f t="shared" si="1"/>
        <v>-265.98</v>
      </c>
      <c r="AH18" s="44" t="s">
        <v>117</v>
      </c>
      <c r="AI18" s="44">
        <f>+G29</f>
        <v>100</v>
      </c>
      <c r="AJ18" s="44">
        <f>+H29</f>
        <v>0</v>
      </c>
      <c r="AK18" s="49">
        <f t="shared" si="7"/>
        <v>-100</v>
      </c>
      <c r="AL18" s="47">
        <f t="shared" si="8"/>
        <v>-1</v>
      </c>
    </row>
    <row r="19" spans="2:38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5"/>
      <c r="V19" s="20"/>
      <c r="W19" s="15"/>
      <c r="X19" s="20"/>
      <c r="Y19" s="15"/>
      <c r="Z19" s="20"/>
      <c r="AA19" s="15"/>
      <c r="AB19" s="20"/>
      <c r="AC19" s="17">
        <f t="shared" si="2"/>
        <v>0</v>
      </c>
      <c r="AD19" s="35">
        <f t="shared" si="3"/>
        <v>0</v>
      </c>
      <c r="AE19" s="1">
        <f t="shared" si="4"/>
        <v>975</v>
      </c>
      <c r="AF19" s="1">
        <f t="shared" si="4"/>
        <v>709.02</v>
      </c>
      <c r="AG19" s="1">
        <f t="shared" si="1"/>
        <v>-265.98</v>
      </c>
      <c r="AH19" s="1"/>
    </row>
    <row r="20" spans="2:38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5"/>
      <c r="Z20" s="20"/>
      <c r="AA20" s="15"/>
      <c r="AB20" s="20"/>
      <c r="AC20" s="17">
        <f t="shared" si="2"/>
        <v>0</v>
      </c>
      <c r="AD20" s="35">
        <f t="shared" si="3"/>
        <v>0</v>
      </c>
      <c r="AE20" s="1">
        <f t="shared" si="4"/>
        <v>975</v>
      </c>
      <c r="AF20" s="1">
        <f t="shared" si="4"/>
        <v>709.02</v>
      </c>
      <c r="AG20" s="1">
        <f t="shared" si="1"/>
        <v>-265.98</v>
      </c>
      <c r="AH20" s="1"/>
    </row>
    <row r="21" spans="2:38" ht="14.7" thickBot="1" x14ac:dyDescent="0.6">
      <c r="B21" s="52" t="s">
        <v>49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5"/>
      <c r="Z21" s="20"/>
      <c r="AA21" s="15"/>
      <c r="AB21" s="20"/>
      <c r="AC21" s="17">
        <f t="shared" si="2"/>
        <v>0</v>
      </c>
      <c r="AD21" s="35">
        <f t="shared" si="3"/>
        <v>0</v>
      </c>
      <c r="AE21" s="1">
        <f t="shared" si="4"/>
        <v>975</v>
      </c>
      <c r="AF21" s="1">
        <f t="shared" si="4"/>
        <v>709.02</v>
      </c>
      <c r="AG21" s="1">
        <f t="shared" si="1"/>
        <v>-265.98</v>
      </c>
      <c r="AH21" s="1"/>
    </row>
    <row r="22" spans="2:38" x14ac:dyDescent="0.55000000000000004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5"/>
      <c r="Z22" s="20"/>
      <c r="AA22" s="15"/>
      <c r="AB22" s="20"/>
      <c r="AC22" s="17">
        <f t="shared" si="2"/>
        <v>0</v>
      </c>
      <c r="AD22" s="35">
        <f t="shared" si="3"/>
        <v>0</v>
      </c>
      <c r="AE22" s="1">
        <f t="shared" ref="AE22:AF27" si="9">AE21+AC22</f>
        <v>975</v>
      </c>
      <c r="AF22" s="1">
        <f t="shared" si="9"/>
        <v>709.02</v>
      </c>
      <c r="AG22" s="1">
        <f t="shared" si="1"/>
        <v>-265.98</v>
      </c>
      <c r="AH22" s="1"/>
    </row>
    <row r="23" spans="2:38" x14ac:dyDescent="0.55000000000000004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5"/>
      <c r="Z23" s="20"/>
      <c r="AA23" s="15"/>
      <c r="AB23" s="20"/>
      <c r="AC23" s="17">
        <f t="shared" si="2"/>
        <v>0</v>
      </c>
      <c r="AD23" s="35">
        <f t="shared" si="3"/>
        <v>0</v>
      </c>
      <c r="AE23" s="1">
        <f t="shared" si="9"/>
        <v>975</v>
      </c>
      <c r="AF23" s="1">
        <f t="shared" si="9"/>
        <v>709.02</v>
      </c>
      <c r="AG23" s="1">
        <f t="shared" si="1"/>
        <v>-265.98</v>
      </c>
      <c r="AH23" s="1"/>
    </row>
    <row r="24" spans="2:38" x14ac:dyDescent="0.55000000000000004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5"/>
      <c r="Z24" s="20"/>
      <c r="AA24" s="15"/>
      <c r="AB24" s="20"/>
      <c r="AC24" s="17">
        <f t="shared" si="2"/>
        <v>0</v>
      </c>
      <c r="AD24" s="35">
        <f t="shared" si="3"/>
        <v>0</v>
      </c>
      <c r="AE24" s="1">
        <f t="shared" si="9"/>
        <v>975</v>
      </c>
      <c r="AF24" s="1">
        <f t="shared" si="9"/>
        <v>709.02</v>
      </c>
      <c r="AG24" s="1">
        <f t="shared" si="1"/>
        <v>-265.98</v>
      </c>
      <c r="AH24" s="1"/>
    </row>
    <row r="25" spans="2:38" x14ac:dyDescent="0.55000000000000004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5"/>
      <c r="Z25" s="20"/>
      <c r="AA25" s="15"/>
      <c r="AB25" s="20"/>
      <c r="AC25" s="17">
        <f t="shared" si="2"/>
        <v>0</v>
      </c>
      <c r="AD25" s="35">
        <f t="shared" si="3"/>
        <v>0</v>
      </c>
      <c r="AE25" s="1">
        <f t="shared" si="9"/>
        <v>975</v>
      </c>
      <c r="AF25" s="1">
        <f t="shared" si="9"/>
        <v>709.02</v>
      </c>
      <c r="AG25" s="1">
        <f t="shared" si="1"/>
        <v>-265.98</v>
      </c>
      <c r="AH25" s="1"/>
    </row>
    <row r="26" spans="2:38" x14ac:dyDescent="0.55000000000000004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5"/>
      <c r="Z26" s="20"/>
      <c r="AA26" s="15"/>
      <c r="AB26" s="20"/>
      <c r="AC26" s="17">
        <f t="shared" si="2"/>
        <v>0</v>
      </c>
      <c r="AD26" s="35">
        <f t="shared" si="3"/>
        <v>0</v>
      </c>
      <c r="AE26" s="1">
        <f t="shared" si="9"/>
        <v>975</v>
      </c>
      <c r="AF26" s="1">
        <f t="shared" si="9"/>
        <v>709.02</v>
      </c>
      <c r="AG26" s="1">
        <f t="shared" si="1"/>
        <v>-265.98</v>
      </c>
      <c r="AH26" s="1"/>
    </row>
    <row r="27" spans="2:38" x14ac:dyDescent="0.55000000000000004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5"/>
      <c r="Z27" s="20"/>
      <c r="AA27" s="15"/>
      <c r="AB27" s="20"/>
      <c r="AC27" s="17">
        <f t="shared" si="2"/>
        <v>0</v>
      </c>
      <c r="AD27" s="35">
        <f t="shared" si="3"/>
        <v>0</v>
      </c>
      <c r="AE27" s="1">
        <f t="shared" si="9"/>
        <v>975</v>
      </c>
      <c r="AF27" s="1">
        <f t="shared" si="9"/>
        <v>709.02</v>
      </c>
      <c r="AG27" s="1">
        <f t="shared" si="1"/>
        <v>-265.98</v>
      </c>
      <c r="AH27" s="1"/>
    </row>
    <row r="28" spans="2:38" x14ac:dyDescent="0.55000000000000004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5"/>
      <c r="Z28" s="20"/>
      <c r="AA28" s="15"/>
      <c r="AB28" s="20"/>
      <c r="AC28" s="17">
        <f t="shared" si="2"/>
        <v>0</v>
      </c>
      <c r="AD28" s="35">
        <f t="shared" si="3"/>
        <v>0</v>
      </c>
      <c r="AE28" s="1"/>
      <c r="AF28" s="1"/>
      <c r="AG28" s="1"/>
      <c r="AH28" s="1"/>
    </row>
    <row r="29" spans="2:38" ht="14.7" thickBot="1" x14ac:dyDescent="0.6">
      <c r="B29" s="11" t="s">
        <v>55</v>
      </c>
      <c r="C29" s="18">
        <f t="shared" ref="C29:AD29" si="10">SUM(C4:C28)</f>
        <v>100</v>
      </c>
      <c r="D29" s="18">
        <f t="shared" si="10"/>
        <v>80</v>
      </c>
      <c r="E29" s="18">
        <f t="shared" si="10"/>
        <v>100</v>
      </c>
      <c r="F29" s="18">
        <f t="shared" si="10"/>
        <v>0</v>
      </c>
      <c r="G29" s="18">
        <f t="shared" si="10"/>
        <v>100</v>
      </c>
      <c r="H29" s="18">
        <f t="shared" si="10"/>
        <v>0</v>
      </c>
      <c r="I29" s="18">
        <f t="shared" si="10"/>
        <v>75</v>
      </c>
      <c r="J29" s="18">
        <f t="shared" si="10"/>
        <v>0</v>
      </c>
      <c r="K29" s="18">
        <f t="shared" si="10"/>
        <v>75</v>
      </c>
      <c r="L29" s="18">
        <f t="shared" si="10"/>
        <v>0</v>
      </c>
      <c r="M29" s="18">
        <f t="shared" si="10"/>
        <v>75</v>
      </c>
      <c r="N29" s="18">
        <f t="shared" si="10"/>
        <v>0</v>
      </c>
      <c r="O29" s="18">
        <f t="shared" si="10"/>
        <v>75</v>
      </c>
      <c r="P29" s="18">
        <f t="shared" si="10"/>
        <v>109.38</v>
      </c>
      <c r="Q29" s="18">
        <f t="shared" si="10"/>
        <v>75</v>
      </c>
      <c r="R29" s="18">
        <f t="shared" si="10"/>
        <v>0</v>
      </c>
      <c r="S29" s="18">
        <f t="shared" si="10"/>
        <v>75</v>
      </c>
      <c r="T29" s="18">
        <f>SUM(T4:T28)</f>
        <v>268.61</v>
      </c>
      <c r="U29" s="18">
        <f t="shared" si="10"/>
        <v>75</v>
      </c>
      <c r="V29" s="21">
        <f t="shared" si="10"/>
        <v>0</v>
      </c>
      <c r="W29" s="18">
        <f t="shared" ref="W29:X29" si="11">SUM(W4:W28)</f>
        <v>75</v>
      </c>
      <c r="X29" s="21">
        <f t="shared" si="11"/>
        <v>66.25</v>
      </c>
      <c r="Y29" s="18">
        <f t="shared" ref="Y29:Z29" si="12">SUM(Y4:Y28)</f>
        <v>75</v>
      </c>
      <c r="Z29" s="21">
        <f t="shared" si="12"/>
        <v>184.78</v>
      </c>
      <c r="AA29" s="18">
        <f t="shared" si="10"/>
        <v>0</v>
      </c>
      <c r="AB29" s="21">
        <f t="shared" si="10"/>
        <v>0</v>
      </c>
      <c r="AC29" s="29">
        <f t="shared" si="10"/>
        <v>975</v>
      </c>
      <c r="AD29" s="18">
        <f t="shared" si="10"/>
        <v>709.02</v>
      </c>
      <c r="AE29" s="1"/>
    </row>
    <row r="30" spans="2:38" x14ac:dyDescent="0.55000000000000004">
      <c r="D30" s="56">
        <f>(D29-C29)/C29</f>
        <v>-0.2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0.45839999999999992</v>
      </c>
      <c r="R30" s="28">
        <f>(R29-Q29)/Q29</f>
        <v>-1</v>
      </c>
      <c r="T30" s="22">
        <f>(T29-S29)/S29</f>
        <v>2.581466666666667</v>
      </c>
      <c r="V30" s="28">
        <f>(V29-U29)/U29</f>
        <v>-1</v>
      </c>
      <c r="X30" s="28">
        <f>(X29-W29)/W29</f>
        <v>-0.11666666666666667</v>
      </c>
      <c r="Z30" s="28">
        <f>(Z29-Y29)/Y29</f>
        <v>1.4637333333333333</v>
      </c>
    </row>
    <row r="31" spans="2:38" x14ac:dyDescent="0.55000000000000004">
      <c r="F31" s="65" t="s">
        <v>56</v>
      </c>
      <c r="G31" s="66"/>
      <c r="H31" s="67"/>
      <c r="I31" s="63">
        <f>C29+E29+G29+I29+K29+M29+O29+Q29+S29+U29+AA29+W29+Y29</f>
        <v>975</v>
      </c>
      <c r="J31" s="64"/>
    </row>
    <row r="32" spans="2:38" x14ac:dyDescent="0.55000000000000004">
      <c r="G32" s="70" t="s">
        <v>57</v>
      </c>
      <c r="H32" s="70"/>
      <c r="I32" s="63">
        <f>+D29+F29+H29+J29+L29+N29+P29+R29+T29+V29+AB29+X29+Z29</f>
        <v>709.02</v>
      </c>
      <c r="J32" s="64"/>
    </row>
    <row r="33" spans="3:25" x14ac:dyDescent="0.55000000000000004">
      <c r="I33" s="63">
        <f>I32-I31</f>
        <v>-265.98</v>
      </c>
      <c r="J33" s="64"/>
      <c r="Y33">
        <f>2167+183+5*10</f>
        <v>2400</v>
      </c>
    </row>
    <row r="34" spans="3:25" x14ac:dyDescent="0.55000000000000004">
      <c r="C34" s="36">
        <f>C29+E29+G29+I29</f>
        <v>375</v>
      </c>
      <c r="D34" s="36">
        <f>D29+F29+H29+J29</f>
        <v>80</v>
      </c>
      <c r="E34" s="37">
        <f>D34-C34</f>
        <v>-295</v>
      </c>
      <c r="I34" s="38">
        <f>O29+K29+M29+Q29</f>
        <v>300</v>
      </c>
      <c r="J34" s="38">
        <f>P29+L29+N29</f>
        <v>109.38</v>
      </c>
      <c r="K34" s="39">
        <f>J34-I34</f>
        <v>-190.62</v>
      </c>
      <c r="O34" s="40">
        <f>U29+W29+Y29+S29</f>
        <v>300</v>
      </c>
      <c r="P34" s="40">
        <f>V29+X29+T29+Z29</f>
        <v>519.64</v>
      </c>
      <c r="Q34" s="41">
        <f>P34-O34</f>
        <v>219.64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-0.78666666666666663</v>
      </c>
      <c r="E35" s="37"/>
      <c r="I35" s="38"/>
      <c r="J35" s="34">
        <f>(J34-I34)/I34</f>
        <v>-0.63539999999999996</v>
      </c>
      <c r="K35" s="39"/>
      <c r="O35" s="40"/>
      <c r="P35" s="34">
        <f>(P34-O34)/O34</f>
        <v>0.7321333333333333</v>
      </c>
      <c r="Q35" s="41"/>
      <c r="X35" s="55"/>
    </row>
    <row r="36" spans="3:25" x14ac:dyDescent="0.55000000000000004">
      <c r="G36" t="s">
        <v>58</v>
      </c>
      <c r="I36">
        <v>2400.0500000000002</v>
      </c>
    </row>
    <row r="38" spans="3:25" x14ac:dyDescent="0.55000000000000004">
      <c r="G38" s="42" t="s">
        <v>64</v>
      </c>
      <c r="H38" s="42"/>
      <c r="I38" s="71">
        <f>I36+I33</f>
        <v>2134.0700000000002</v>
      </c>
      <c r="J38" s="71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375</v>
      </c>
      <c r="D42" s="1">
        <f>D29+F29+H29+J29</f>
        <v>80</v>
      </c>
      <c r="I42" s="1">
        <f>O29+K29+M29</f>
        <v>225</v>
      </c>
      <c r="J42" s="1">
        <f>P29+L29+N29</f>
        <v>109.38</v>
      </c>
      <c r="O42" s="1">
        <f>U29+Q29+S29</f>
        <v>225</v>
      </c>
      <c r="P42" s="1">
        <f>V29+R29+T29</f>
        <v>268.61</v>
      </c>
    </row>
    <row r="43" spans="3:25" x14ac:dyDescent="0.55000000000000004">
      <c r="D43" s="1">
        <f>D42-C42</f>
        <v>-295</v>
      </c>
      <c r="J43" s="33">
        <f>J42-I42</f>
        <v>-115.62</v>
      </c>
      <c r="P43" s="33">
        <f>P42-O42</f>
        <v>43.610000000000014</v>
      </c>
    </row>
    <row r="45" spans="3:25" x14ac:dyDescent="0.55000000000000004">
      <c r="V45" t="s">
        <v>118</v>
      </c>
    </row>
    <row r="46" spans="3:25" x14ac:dyDescent="0.55000000000000004">
      <c r="D46" t="s">
        <v>88</v>
      </c>
      <c r="J46" t="s">
        <v>119</v>
      </c>
      <c r="V46" t="s">
        <v>89</v>
      </c>
      <c r="W46">
        <v>4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2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4</v>
      </c>
      <c r="V48" t="s">
        <v>93</v>
      </c>
      <c r="W48">
        <v>2</v>
      </c>
    </row>
    <row r="49" spans="4:23" x14ac:dyDescent="0.55000000000000004">
      <c r="D49" t="s">
        <v>12</v>
      </c>
      <c r="E49" s="1">
        <f>SUM(L29)</f>
        <v>0</v>
      </c>
      <c r="J49" t="s">
        <v>12</v>
      </c>
      <c r="K49">
        <v>0</v>
      </c>
      <c r="V49" t="s">
        <v>92</v>
      </c>
      <c r="W49">
        <v>1</v>
      </c>
    </row>
    <row r="50" spans="4:23" x14ac:dyDescent="0.55000000000000004">
      <c r="D50" t="s">
        <v>94</v>
      </c>
      <c r="E50" s="1">
        <f>SUM(T29)</f>
        <v>268.61</v>
      </c>
      <c r="J50" t="s">
        <v>94</v>
      </c>
      <c r="K50">
        <v>0</v>
      </c>
      <c r="V50" t="s">
        <v>9</v>
      </c>
      <c r="W50">
        <v>1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2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SUM(J29)</f>
        <v>0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2</v>
      </c>
      <c r="V53" t="s">
        <v>98</v>
      </c>
      <c r="W53">
        <v>0</v>
      </c>
    </row>
    <row r="54" spans="4:23" x14ac:dyDescent="0.55000000000000004">
      <c r="D54" t="s">
        <v>98</v>
      </c>
      <c r="E54" s="1">
        <f>SUM(N29)</f>
        <v>0</v>
      </c>
      <c r="J54" t="s">
        <v>98</v>
      </c>
      <c r="K54">
        <v>2</v>
      </c>
      <c r="V54" t="s">
        <v>97</v>
      </c>
      <c r="W54">
        <v>4</v>
      </c>
    </row>
    <row r="55" spans="4:23" x14ac:dyDescent="0.55000000000000004">
      <c r="D55" t="s">
        <v>89</v>
      </c>
      <c r="E55" s="1">
        <f>SUM(X29)</f>
        <v>66.25</v>
      </c>
      <c r="J55" t="s">
        <v>89</v>
      </c>
      <c r="K55">
        <v>0</v>
      </c>
      <c r="V55" t="s">
        <v>94</v>
      </c>
      <c r="W55">
        <v>0</v>
      </c>
    </row>
    <row r="56" spans="4:23" x14ac:dyDescent="0.55000000000000004">
      <c r="D56" t="s">
        <v>96</v>
      </c>
      <c r="E56" s="1">
        <f>SUM(Z29)</f>
        <v>184.78</v>
      </c>
      <c r="J56" t="s">
        <v>96</v>
      </c>
      <c r="K56">
        <v>0</v>
      </c>
      <c r="V56" t="s">
        <v>120</v>
      </c>
      <c r="W56">
        <v>1</v>
      </c>
    </row>
    <row r="57" spans="4:23" x14ac:dyDescent="0.55000000000000004">
      <c r="D57" t="s">
        <v>120</v>
      </c>
      <c r="E57" s="1">
        <f>SUM(H29)</f>
        <v>0</v>
      </c>
      <c r="J57" t="s">
        <v>120</v>
      </c>
      <c r="K57">
        <v>0</v>
      </c>
      <c r="V57" t="s">
        <v>121</v>
      </c>
      <c r="W57">
        <v>0</v>
      </c>
    </row>
    <row r="58" spans="4:23" x14ac:dyDescent="0.55000000000000004">
      <c r="D58" t="s">
        <v>121</v>
      </c>
      <c r="E58" s="1">
        <f>SUM(D29)</f>
        <v>80</v>
      </c>
      <c r="J58" t="s">
        <v>121</v>
      </c>
      <c r="K58">
        <v>2</v>
      </c>
      <c r="V58" t="s">
        <v>99</v>
      </c>
      <c r="W58">
        <f>SUM(W46:W57)</f>
        <v>20</v>
      </c>
    </row>
    <row r="59" spans="4:23" x14ac:dyDescent="0.55000000000000004">
      <c r="D59" t="s">
        <v>9</v>
      </c>
      <c r="E59" s="1">
        <f>SUM(P29)</f>
        <v>109.38</v>
      </c>
      <c r="J59" t="s">
        <v>9</v>
      </c>
      <c r="K59">
        <v>0</v>
      </c>
    </row>
    <row r="60" spans="4:23" x14ac:dyDescent="0.55000000000000004">
      <c r="D60" t="s">
        <v>99</v>
      </c>
      <c r="E60" s="1">
        <f>SUM(E48:E59)</f>
        <v>709.02</v>
      </c>
      <c r="J60" t="s">
        <v>99</v>
      </c>
      <c r="K60">
        <f>SUM(K48:K59)</f>
        <v>15</v>
      </c>
    </row>
  </sheetData>
  <mergeCells count="21">
    <mergeCell ref="AA2:AB2"/>
    <mergeCell ref="AC2:AD2"/>
    <mergeCell ref="C2:D2"/>
    <mergeCell ref="E2:F2"/>
    <mergeCell ref="G2:H2"/>
    <mergeCell ref="I2:J2"/>
    <mergeCell ref="K2:L2"/>
    <mergeCell ref="M2:N2"/>
    <mergeCell ref="G32:H32"/>
    <mergeCell ref="I32:J32"/>
    <mergeCell ref="I33:J33"/>
    <mergeCell ref="I38:J38"/>
    <mergeCell ref="O2:P2"/>
    <mergeCell ref="W1:X1"/>
    <mergeCell ref="W2:X2"/>
    <mergeCell ref="Y2:Z2"/>
    <mergeCell ref="F31:H31"/>
    <mergeCell ref="I31:J31"/>
    <mergeCell ref="Q2:R2"/>
    <mergeCell ref="S2:T2"/>
    <mergeCell ref="U2:V2"/>
  </mergeCells>
  <pageMargins left="0.25" right="0.25" top="0.75" bottom="0.75" header="0.3" footer="0.3"/>
  <pageSetup paperSize="9" scale="5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81C0-C60A-48E0-A96A-1599E0795A8C}">
  <dimension ref="A1:F22"/>
  <sheetViews>
    <sheetView workbookViewId="0">
      <selection activeCell="C23" sqref="C23"/>
    </sheetView>
  </sheetViews>
  <sheetFormatPr defaultRowHeight="14.4" x14ac:dyDescent="0.55000000000000004"/>
  <cols>
    <col min="1" max="1" width="10" customWidth="1"/>
    <col min="2" max="2" width="13.26171875" customWidth="1"/>
    <col min="3" max="3" width="20.41796875" customWidth="1"/>
    <col min="4" max="4" width="39.26171875" customWidth="1"/>
  </cols>
  <sheetData>
    <row r="1" spans="1:6" x14ac:dyDescent="0.55000000000000004">
      <c r="A1" t="s">
        <v>122</v>
      </c>
      <c r="B1" t="s">
        <v>123</v>
      </c>
      <c r="C1" t="s">
        <v>124</v>
      </c>
      <c r="D1" t="s">
        <v>125</v>
      </c>
      <c r="E1" t="s">
        <v>92</v>
      </c>
      <c r="F1">
        <f>IF(COUNTIF(A:A, E1)=0, "", SUMIF(A:A, E1, C:C))</f>
        <v>19.2</v>
      </c>
    </row>
    <row r="2" spans="1:6" x14ac:dyDescent="0.55000000000000004">
      <c r="A2" t="s">
        <v>97</v>
      </c>
      <c r="B2" t="s">
        <v>126</v>
      </c>
      <c r="C2" s="59">
        <v>376.63</v>
      </c>
      <c r="D2" t="s">
        <v>127</v>
      </c>
      <c r="E2" t="s">
        <v>12</v>
      </c>
      <c r="F2">
        <f t="shared" ref="F2:F12" si="0">IF(COUNTIF(A:A, E2)=0, "", SUMIF(A:A, E2, C:C))</f>
        <v>240.13</v>
      </c>
    </row>
    <row r="3" spans="1:6" x14ac:dyDescent="0.55000000000000004">
      <c r="A3" t="s">
        <v>93</v>
      </c>
      <c r="B3" t="s">
        <v>126</v>
      </c>
      <c r="C3" s="59">
        <v>236.2</v>
      </c>
      <c r="D3" t="s">
        <v>128</v>
      </c>
      <c r="E3" t="s">
        <v>94</v>
      </c>
      <c r="F3" t="str">
        <f t="shared" si="0"/>
        <v/>
      </c>
    </row>
    <row r="4" spans="1:6" x14ac:dyDescent="0.55000000000000004">
      <c r="A4" t="s">
        <v>97</v>
      </c>
      <c r="B4" s="60">
        <v>5</v>
      </c>
      <c r="C4" s="59">
        <v>375.45</v>
      </c>
      <c r="D4" t="s">
        <v>129</v>
      </c>
      <c r="E4" t="s">
        <v>95</v>
      </c>
      <c r="F4">
        <f t="shared" si="0"/>
        <v>60</v>
      </c>
    </row>
    <row r="5" spans="1:6" x14ac:dyDescent="0.55000000000000004">
      <c r="A5" t="s">
        <v>96</v>
      </c>
      <c r="B5" s="59">
        <v>7.5</v>
      </c>
      <c r="C5" s="59">
        <v>82.5</v>
      </c>
      <c r="D5" t="s">
        <v>130</v>
      </c>
      <c r="E5" t="s">
        <v>93</v>
      </c>
      <c r="F5">
        <f t="shared" si="0"/>
        <v>315.87</v>
      </c>
    </row>
    <row r="6" spans="1:6" x14ac:dyDescent="0.55000000000000004">
      <c r="A6" t="s">
        <v>12</v>
      </c>
      <c r="B6" s="59">
        <v>7.5</v>
      </c>
      <c r="C6" s="59">
        <v>163.13</v>
      </c>
      <c r="D6" t="s">
        <v>131</v>
      </c>
      <c r="E6" t="s">
        <v>97</v>
      </c>
      <c r="F6">
        <f t="shared" si="0"/>
        <v>1027.08</v>
      </c>
    </row>
    <row r="7" spans="1:6" x14ac:dyDescent="0.55000000000000004">
      <c r="A7" t="s">
        <v>89</v>
      </c>
      <c r="B7" s="60">
        <v>5</v>
      </c>
      <c r="C7" s="60">
        <v>70</v>
      </c>
      <c r="D7" t="s">
        <v>132</v>
      </c>
      <c r="E7" t="s">
        <v>98</v>
      </c>
      <c r="F7" t="str">
        <f t="shared" si="0"/>
        <v/>
      </c>
    </row>
    <row r="8" spans="1:6" x14ac:dyDescent="0.55000000000000004">
      <c r="A8" t="s">
        <v>89</v>
      </c>
      <c r="B8" s="60">
        <v>5</v>
      </c>
      <c r="C8" s="60">
        <v>110</v>
      </c>
      <c r="D8" t="s">
        <v>133</v>
      </c>
      <c r="E8" t="s">
        <v>89</v>
      </c>
      <c r="F8">
        <f t="shared" si="0"/>
        <v>326.25</v>
      </c>
    </row>
    <row r="9" spans="1:6" x14ac:dyDescent="0.55000000000000004">
      <c r="A9" t="s">
        <v>12</v>
      </c>
      <c r="B9" s="60">
        <v>10</v>
      </c>
      <c r="C9" s="60">
        <v>77</v>
      </c>
      <c r="D9" t="s">
        <v>134</v>
      </c>
      <c r="E9" t="s">
        <v>96</v>
      </c>
      <c r="F9">
        <f t="shared" si="0"/>
        <v>208.8</v>
      </c>
    </row>
    <row r="10" spans="1:6" x14ac:dyDescent="0.55000000000000004">
      <c r="A10" t="s">
        <v>97</v>
      </c>
      <c r="B10" s="60">
        <v>5</v>
      </c>
      <c r="C10" s="60">
        <v>125</v>
      </c>
      <c r="D10" t="s">
        <v>135</v>
      </c>
      <c r="E10" t="s">
        <v>120</v>
      </c>
      <c r="F10">
        <f t="shared" si="0"/>
        <v>411.75</v>
      </c>
    </row>
    <row r="11" spans="1:6" x14ac:dyDescent="0.55000000000000004">
      <c r="A11" t="s">
        <v>97</v>
      </c>
      <c r="B11" s="60">
        <v>10</v>
      </c>
      <c r="C11" s="60">
        <v>150</v>
      </c>
      <c r="D11" t="s">
        <v>136</v>
      </c>
      <c r="E11" t="s">
        <v>121</v>
      </c>
      <c r="F11" t="str">
        <f t="shared" si="0"/>
        <v/>
      </c>
    </row>
    <row r="12" spans="1:6" x14ac:dyDescent="0.55000000000000004">
      <c r="A12" t="s">
        <v>89</v>
      </c>
      <c r="B12" s="60">
        <v>5</v>
      </c>
      <c r="C12" s="59">
        <v>72.5</v>
      </c>
      <c r="D12" t="s">
        <v>137</v>
      </c>
      <c r="E12" t="s">
        <v>9</v>
      </c>
      <c r="F12">
        <f t="shared" si="0"/>
        <v>140</v>
      </c>
    </row>
    <row r="13" spans="1:6" x14ac:dyDescent="0.55000000000000004">
      <c r="A13" t="s">
        <v>96</v>
      </c>
      <c r="B13" s="59">
        <v>2.5</v>
      </c>
      <c r="C13" s="59">
        <v>46.3</v>
      </c>
      <c r="D13" t="s">
        <v>138</v>
      </c>
      <c r="F13" s="61">
        <f>SUM(F1:F12)</f>
        <v>2749.08</v>
      </c>
    </row>
    <row r="14" spans="1:6" x14ac:dyDescent="0.55000000000000004">
      <c r="A14" t="s">
        <v>89</v>
      </c>
      <c r="B14" s="60">
        <v>5</v>
      </c>
      <c r="C14" s="60">
        <v>30</v>
      </c>
      <c r="D14" t="s">
        <v>139</v>
      </c>
    </row>
    <row r="15" spans="1:6" x14ac:dyDescent="0.55000000000000004">
      <c r="A15" t="s">
        <v>96</v>
      </c>
      <c r="B15" s="60">
        <v>5</v>
      </c>
      <c r="C15" s="60">
        <v>60</v>
      </c>
      <c r="D15" t="s">
        <v>140</v>
      </c>
    </row>
    <row r="16" spans="1:6" x14ac:dyDescent="0.55000000000000004">
      <c r="A16" t="s">
        <v>120</v>
      </c>
      <c r="B16" s="60">
        <v>25</v>
      </c>
      <c r="C16" s="59">
        <v>411.75</v>
      </c>
      <c r="D16" t="s">
        <v>141</v>
      </c>
    </row>
    <row r="17" spans="1:4" x14ac:dyDescent="0.55000000000000004">
      <c r="A17" t="s">
        <v>93</v>
      </c>
      <c r="B17" s="60">
        <v>5</v>
      </c>
      <c r="C17" s="59">
        <v>79.67</v>
      </c>
      <c r="D17" t="s">
        <v>142</v>
      </c>
    </row>
    <row r="18" spans="1:4" x14ac:dyDescent="0.55000000000000004">
      <c r="A18" t="s">
        <v>95</v>
      </c>
      <c r="B18" s="60">
        <v>5</v>
      </c>
      <c r="C18" s="60">
        <v>60</v>
      </c>
      <c r="D18" t="s">
        <v>143</v>
      </c>
    </row>
    <row r="19" spans="1:4" x14ac:dyDescent="0.55000000000000004">
      <c r="A19" t="s">
        <v>9</v>
      </c>
      <c r="B19" s="60">
        <v>5</v>
      </c>
      <c r="C19" s="60">
        <v>140</v>
      </c>
      <c r="D19" t="s">
        <v>144</v>
      </c>
    </row>
    <row r="20" spans="1:4" x14ac:dyDescent="0.55000000000000004">
      <c r="A20" t="s">
        <v>96</v>
      </c>
      <c r="B20" s="60">
        <v>5</v>
      </c>
      <c r="C20" s="60">
        <v>20</v>
      </c>
      <c r="D20" t="s">
        <v>145</v>
      </c>
    </row>
    <row r="21" spans="1:4" x14ac:dyDescent="0.55000000000000004">
      <c r="A21" t="s">
        <v>89</v>
      </c>
      <c r="B21" s="60">
        <v>5</v>
      </c>
      <c r="C21" s="59">
        <v>43.75</v>
      </c>
      <c r="D21" t="s">
        <v>146</v>
      </c>
    </row>
    <row r="22" spans="1:4" x14ac:dyDescent="0.55000000000000004">
      <c r="A22" t="s">
        <v>92</v>
      </c>
      <c r="B22" s="60">
        <v>5</v>
      </c>
      <c r="C22" s="59">
        <v>19.2</v>
      </c>
      <c r="D22" t="s">
        <v>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D7A62A-0CB5-48B0-A73A-0A91BCC8EAEF}">
  <ds:schemaRefs>
    <ds:schemaRef ds:uri="21753bd8-bffc-4cd2-a328-982ee854c895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3e1ffae5-f160-4019-9720-1b11bf1b81a3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Punters club</vt:lpstr>
      <vt:lpstr>Punters 2020</vt:lpstr>
      <vt:lpstr>Punters 2021</vt:lpstr>
      <vt:lpstr>Punters 2022</vt:lpstr>
      <vt:lpstr>Punters 2023</vt:lpstr>
      <vt:lpstr>Punters 2024</vt:lpstr>
      <vt:lpstr>Punters 2025</vt:lpstr>
      <vt:lpstr>1 Leg Losses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HEMANPUNTERS</dc:title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2025-05-08T00:32:47Z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