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85D9B6BC-5273-4303-87E5-DCD66E14319B}" xr6:coauthVersionLast="47" xr6:coauthVersionMax="47" xr10:uidLastSave="{00000000-0000-0000-0000-000000000000}"/>
  <bookViews>
    <workbookView xWindow="-96" yWindow="-96" windowWidth="23232" windowHeight="13872" firstSheet="6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7" i="10" l="1"/>
  <c r="AL17" i="10"/>
  <c r="AK18" i="10"/>
  <c r="AL18" i="10"/>
  <c r="AJ18" i="10"/>
  <c r="AJ17" i="10"/>
  <c r="AI18" i="10"/>
  <c r="AI17" i="10"/>
  <c r="F2" i="11"/>
  <c r="F3" i="11"/>
  <c r="F4" i="11"/>
  <c r="F5" i="11"/>
  <c r="F6" i="11"/>
  <c r="F7" i="11"/>
  <c r="F8" i="11"/>
  <c r="F9" i="11"/>
  <c r="F10" i="11"/>
  <c r="F11" i="11"/>
  <c r="F12" i="11"/>
  <c r="F1" i="11"/>
  <c r="X11" i="10"/>
  <c r="M10" i="10"/>
  <c r="M7" i="10"/>
  <c r="Q7" i="10"/>
  <c r="K7" i="10"/>
  <c r="O7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4" i="10"/>
  <c r="AC5" i="10"/>
  <c r="AD5" i="10"/>
  <c r="Z5" i="10"/>
  <c r="W58" i="10"/>
  <c r="Z29" i="10"/>
  <c r="E56" i="10" s="1"/>
  <c r="Y29" i="10"/>
  <c r="AA29" i="10"/>
  <c r="AB29" i="10"/>
  <c r="X29" i="10"/>
  <c r="E55" i="10" s="1"/>
  <c r="W29" i="10"/>
  <c r="K60" i="10"/>
  <c r="Y34" i="10"/>
  <c r="Y33" i="10"/>
  <c r="V29" i="10"/>
  <c r="U29" i="10"/>
  <c r="T29" i="10"/>
  <c r="R29" i="10"/>
  <c r="Q29" i="10"/>
  <c r="AI14" i="10" s="1"/>
  <c r="P29" i="10"/>
  <c r="AJ15" i="10" s="1"/>
  <c r="O29" i="10"/>
  <c r="AI15" i="10" s="1"/>
  <c r="N29" i="10"/>
  <c r="M29" i="10"/>
  <c r="L29" i="10"/>
  <c r="E49" i="10" s="1"/>
  <c r="K29" i="10"/>
  <c r="AI8" i="10" s="1"/>
  <c r="J29" i="10"/>
  <c r="AJ11" i="10" s="1"/>
  <c r="I29" i="10"/>
  <c r="AI11" i="10" s="1"/>
  <c r="H29" i="10"/>
  <c r="F29" i="10"/>
  <c r="E29" i="10"/>
  <c r="AI7" i="10" s="1"/>
  <c r="D29" i="10"/>
  <c r="C29" i="10"/>
  <c r="AI10" i="10" s="1"/>
  <c r="S29" i="10"/>
  <c r="O34" i="10" s="1"/>
  <c r="AD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F13" i="11" l="1"/>
  <c r="P34" i="10"/>
  <c r="E50" i="10"/>
  <c r="E52" i="10"/>
  <c r="I32" i="10"/>
  <c r="E54" i="10"/>
  <c r="J34" i="10"/>
  <c r="AI9" i="10"/>
  <c r="I34" i="10"/>
  <c r="E57" i="10"/>
  <c r="E58" i="10"/>
  <c r="AJ8" i="10"/>
  <c r="AL8" i="10" s="1"/>
  <c r="X30" i="10"/>
  <c r="Z30" i="10"/>
  <c r="D30" i="10"/>
  <c r="AJ10" i="10"/>
  <c r="AK10" i="10" s="1"/>
  <c r="F30" i="10"/>
  <c r="R30" i="10"/>
  <c r="AJ14" i="10"/>
  <c r="AL14" i="10" s="1"/>
  <c r="P42" i="10"/>
  <c r="AD29" i="10"/>
  <c r="J30" i="10"/>
  <c r="L30" i="10"/>
  <c r="AJ16" i="10"/>
  <c r="E53" i="10"/>
  <c r="AJ7" i="10"/>
  <c r="AL7" i="10" s="1"/>
  <c r="P30" i="10"/>
  <c r="E59" i="10"/>
  <c r="AJ13" i="10"/>
  <c r="AI13" i="10"/>
  <c r="AK13" i="10" s="1"/>
  <c r="O42" i="10"/>
  <c r="AK15" i="10"/>
  <c r="AL11" i="10"/>
  <c r="AK11" i="10"/>
  <c r="AL15" i="10"/>
  <c r="N30" i="10"/>
  <c r="AC29" i="10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I12" i="10"/>
  <c r="E48" i="10"/>
  <c r="AF4" i="10"/>
  <c r="AJ12" i="10"/>
  <c r="T30" i="10"/>
  <c r="V30" i="10"/>
  <c r="E51" i="10"/>
  <c r="AJ9" i="10"/>
  <c r="G29" i="10"/>
  <c r="C34" i="10" s="1"/>
  <c r="D42" i="10"/>
  <c r="D34" i="10"/>
  <c r="I42" i="10"/>
  <c r="J42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AK8" i="10" l="1"/>
  <c r="AL10" i="10"/>
  <c r="I31" i="10"/>
  <c r="I33" i="10" s="1"/>
  <c r="I38" i="10" s="1"/>
  <c r="P43" i="10"/>
  <c r="AK14" i="10"/>
  <c r="J43" i="10"/>
  <c r="C42" i="10"/>
  <c r="D43" i="10" s="1"/>
  <c r="AL13" i="10"/>
  <c r="J35" i="10"/>
  <c r="AK7" i="10"/>
  <c r="K34" i="10"/>
  <c r="H30" i="10"/>
  <c r="AI16" i="10"/>
  <c r="P35" i="10"/>
  <c r="Q34" i="10"/>
  <c r="AL9" i="10"/>
  <c r="AK9" i="10"/>
  <c r="AL12" i="10"/>
  <c r="AK12" i="10"/>
  <c r="AF5" i="10"/>
  <c r="AG4" i="10"/>
  <c r="E34" i="10"/>
  <c r="D35" i="10"/>
  <c r="E60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F6" i="10" l="1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<sst xmlns="http://schemas.openxmlformats.org/spreadsheetml/2006/main" count="726" uniqueCount="152">
  <si>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</si>
  <si>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</si>
  <si>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</si>
  <si>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</si>
  <si>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</si>
  <si>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</si>
  <si>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</si>
  <si>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</si>
  <si>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</si>
  <si>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</si>
  <si>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</si>
  <si>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</si>
  <si>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</si>
  <si>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</si>
  <si>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</si>
  <si>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</si>
  <si>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</si>
  <si>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</si>
  <si>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</si>
  <si>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</si>
  <si>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</si>
  <si>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</si>
  <si>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</si>
  <si>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</si>
  <si>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</si>
  <si>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</si>
  <si>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</si>
  <si>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</si>
  <si>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</si>
  <si>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</si>
  <si>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</si>
  <si>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</si>
  <si>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</si>
  <si>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</si>
  <si>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</si>
  <si>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</si>
  <si>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</si>
  <si>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</si>
  <si>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</si>
  <si>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</si>
  <si>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</si>
  <si>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</si>
  <si>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</si>
  <si>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</si>
  <si>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</si>
  <si>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</si>
  <si>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</si>
  <si>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</si>
  <si>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</si>
  <si>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</si>
  <si>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</si>
  <si>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</si>
  <si>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</si>
  <si>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</si>
  <si>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</si>
  <si>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</si>
  <si>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</si>
  <si>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</si>
  <si>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</si>
  <si>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</si>
  <si>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</si>
  <si>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</si>
  <si>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</si>
  <si>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</si>
  <si>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</si>
  <si>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</si>
  <si>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</si>
  <si>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</si>
  <si>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</si>
  <si>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</si>
  <si>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</si>
  <si>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</si>
  <si>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</si>
  <si>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</si>
  <si>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</si>
  <si>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</si>
  <si>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</si>
  <si>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</si>
  <si>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</si>
  <si>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</si>
  <si>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</si>
  <si>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</si>
  <si>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</si>
  <si>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</si>
  <si>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</si>
  <si>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</si>
  <si>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</si>
  <si>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</si>
  <si>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</si>
  <si>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</si>
  <si>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</si>
  <si>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</si>
  <si>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</si>
  <si>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</si>
  <si>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</si>
  <si>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</si>
  <si>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</si>
  <si>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</si>
  <si>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</si>
  <si>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</si>
  <si>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</si>
  <si>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</si>
  <si>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</si>
  <si>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</si>
  <si>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</si>
  <si>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</si>
  <si>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</si>
  <si>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</si>
  <si>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</si>
  <si>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</si>
  <si>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</si>
  <si>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</si>
  <si>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</si>
  <si>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C.STARKIE</t>
  </si>
  <si>
    <t>C.PANO</t>
  </si>
  <si>
    <t>D.MILEVSKI</t>
  </si>
  <si>
    <t>cam</t>
  </si>
  <si>
    <t>pano</t>
  </si>
  <si>
    <t>Pano</t>
  </si>
  <si>
    <t>Cam</t>
  </si>
  <si>
    <t>Punter</t>
  </si>
  <si>
    <t>Bet Amount</t>
  </si>
  <si>
    <t>Potential Winnings</t>
  </si>
  <si>
    <t>Reason</t>
  </si>
  <si>
    <t>$10 bonus</t>
  </si>
  <si>
    <t>Perth Glory</t>
  </si>
  <si>
    <t>Lachie Ash 19/20</t>
  </si>
  <si>
    <t>Bailey Fritsch anytime</t>
  </si>
  <si>
    <t>Harley Reid 12/20</t>
  </si>
  <si>
    <t>Harley Reid 12 when needed over 20.5</t>
  </si>
  <si>
    <t>Brent Daniels anytime</t>
  </si>
  <si>
    <t>Eagles Suns under 167.5, total 185</t>
  </si>
  <si>
    <t>Cripps 22/25 touches</t>
  </si>
  <si>
    <t>Jarrod Berry 17/20 touches</t>
  </si>
  <si>
    <t>Wilkie 13/20 touches</t>
  </si>
  <si>
    <t>Nathan O'Driscoll 12/20 touches</t>
  </si>
  <si>
    <t>Liverpool lost to Fulham</t>
  </si>
  <si>
    <t>Chad Warner 10/20 touches</t>
  </si>
  <si>
    <t>Stringer 0 goals, needed 2</t>
  </si>
  <si>
    <t>Sean Woodson to win</t>
  </si>
  <si>
    <t>Colby McKercher 8/15 touches</t>
  </si>
  <si>
    <t>Swikowski 6/15 touches</t>
  </si>
  <si>
    <t>Logan Morris 0/2 goals</t>
  </si>
  <si>
    <t>Sandro Tonali shot on target</t>
  </si>
  <si>
    <t>Willie Rioli 1/2 goals</t>
  </si>
  <si>
    <t>Jabari Smith 2/4 rebounds</t>
  </si>
  <si>
    <t>Strikes for 2025 Season at 12 May 2025</t>
  </si>
  <si>
    <t>1 leg losses as at 12 May 2025</t>
  </si>
  <si>
    <t>$6.25 bonus</t>
  </si>
  <si>
    <t>Touk Miller 25, needed over 26.5</t>
  </si>
  <si>
    <t>Merrett 19/25 touches</t>
  </si>
  <si>
    <t>Vlaustin 18/20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</si>
</sst>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0.0%"/>
    <numFmt numFmtId="168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rgb="FFFF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3" fillId="2" borderId="1" xfId="0" applyNumberFormat="1" applyFont="1" applyFill="1" applyBorder="1"/>
    <xf numFmtId="166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4" borderId="8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0" fontId="0" fillId="0" borderId="0" xfId="0" applyNumberFormat="1"/>
    <xf numFmtId="166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7" fontId="0" fillId="0" borderId="0" xfId="0" applyNumberFormat="1"/>
    <xf numFmtId="166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8" fontId="0" fillId="0" borderId="0" xfId="0" applyNumberFormat="1"/>
    <xf numFmtId="9" fontId="0" fillId="0" borderId="0" xfId="1" applyFont="1"/>
    <xf numFmtId="166" fontId="4" fillId="3" borderId="7" xfId="0" applyNumberFormat="1" applyFont="1" applyFill="1" applyBorder="1" applyAlignment="1">
      <alignment horizontal="center"/>
    </xf>
    <xf numFmtId="166" fontId="4" fillId="6" borderId="0" xfId="0" applyNumberFormat="1" applyFont="1" applyFill="1"/>
    <xf numFmtId="168" fontId="4" fillId="6" borderId="0" xfId="0" applyNumberFormat="1" applyFont="1" applyFill="1"/>
    <xf numFmtId="166" fontId="0" fillId="7" borderId="0" xfId="0" applyNumberFormat="1" applyFill="1"/>
    <xf numFmtId="168" fontId="0" fillId="7" borderId="0" xfId="0" applyNumberFormat="1" applyFill="1"/>
    <xf numFmtId="166" fontId="0" fillId="8" borderId="0" xfId="0" applyNumberFormat="1" applyFill="1"/>
    <xf numFmtId="168" fontId="0" fillId="8" borderId="0" xfId="0" applyNumberFormat="1" applyFill="1"/>
    <xf numFmtId="0" fontId="0" fillId="9" borderId="0" xfId="0" applyFill="1"/>
    <xf numFmtId="0" fontId="0" fillId="0" borderId="21" xfId="0" applyBorder="1"/>
    <xf numFmtId="166" fontId="0" fillId="0" borderId="1" xfId="0" applyNumberFormat="1" applyBorder="1"/>
    <xf numFmtId="9" fontId="0" fillId="0" borderId="1" xfId="1" applyFont="1" applyBorder="1"/>
    <xf numFmtId="166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6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9" fillId="0" borderId="30" xfId="0" applyFont="1" applyBorder="1"/>
    <xf numFmtId="0" fontId="7" fillId="5" borderId="2" xfId="0" applyFont="1" applyFill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6" fontId="0" fillId="9" borderId="0" xfId="0" applyNumberFormat="1" applyFill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2" t="s">
        <v>18</v>
      </c>
      <c r="D2" s="62"/>
      <c r="E2" s="62" t="s">
        <v>19</v>
      </c>
      <c r="F2" s="62"/>
      <c r="G2" s="62" t="s">
        <v>20</v>
      </c>
      <c r="H2" s="62"/>
      <c r="I2" s="62" t="s">
        <v>21</v>
      </c>
      <c r="J2" s="62"/>
      <c r="K2" s="62" t="s">
        <v>22</v>
      </c>
      <c r="L2" s="62"/>
      <c r="M2" s="62" t="s">
        <v>23</v>
      </c>
      <c r="N2" s="62"/>
      <c r="O2" s="62" t="s">
        <v>24</v>
      </c>
      <c r="P2" s="62"/>
      <c r="Q2" s="62" t="s">
        <v>25</v>
      </c>
      <c r="R2" s="62"/>
      <c r="S2" s="62" t="s">
        <v>26</v>
      </c>
      <c r="T2" s="62"/>
      <c r="U2" s="62" t="s">
        <v>27</v>
      </c>
      <c r="V2" s="69"/>
      <c r="W2" s="68" t="s">
        <v>28</v>
      </c>
      <c r="X2" s="62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5" t="s">
        <v>56</v>
      </c>
      <c r="G29" s="66"/>
      <c r="H29" s="67"/>
      <c r="I29" s="63">
        <f>C27+E27+G27+I27+K27+M27+O27+Q27+S27+U27</f>
        <v>2469.42</v>
      </c>
      <c r="J29" s="64"/>
    </row>
    <row r="30" spans="2:27" x14ac:dyDescent="0.55000000000000004">
      <c r="G30" s="70" t="s">
        <v>57</v>
      </c>
      <c r="H30" s="70"/>
      <c r="I30" s="63">
        <f>+D27+F27+H27+J27+L27+N27+P27+R27+T27+V27</f>
        <v>1774.69</v>
      </c>
      <c r="J30" s="64"/>
    </row>
    <row r="31" spans="2:27" x14ac:dyDescent="0.55000000000000004">
      <c r="I31" s="63">
        <f>I30-I29</f>
        <v>-694.73</v>
      </c>
      <c r="J31" s="64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64">
        <f>I33+I31</f>
        <v>505.27</v>
      </c>
      <c r="J34" s="64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2" t="s">
        <v>18</v>
      </c>
      <c r="D2" s="62"/>
      <c r="E2" s="62" t="s">
        <v>22</v>
      </c>
      <c r="F2" s="62"/>
      <c r="G2" s="72" t="s">
        <v>21</v>
      </c>
      <c r="H2" s="68"/>
      <c r="I2" s="62" t="s">
        <v>20</v>
      </c>
      <c r="J2" s="62"/>
      <c r="K2" s="62" t="s">
        <v>19</v>
      </c>
      <c r="L2" s="62"/>
      <c r="M2" s="62" t="s">
        <v>25</v>
      </c>
      <c r="N2" s="62"/>
      <c r="O2" s="62" t="s">
        <v>24</v>
      </c>
      <c r="P2" s="62"/>
      <c r="Q2" s="62" t="s">
        <v>23</v>
      </c>
      <c r="R2" s="62"/>
      <c r="S2" s="62" t="s">
        <v>26</v>
      </c>
      <c r="T2" s="62"/>
      <c r="U2" s="62" t="s">
        <v>27</v>
      </c>
      <c r="V2" s="69"/>
      <c r="W2" s="68" t="s">
        <v>28</v>
      </c>
      <c r="X2" s="62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5" t="s">
        <v>56</v>
      </c>
      <c r="G29" s="66"/>
      <c r="H29" s="67"/>
      <c r="I29" s="63">
        <f>C27+E27+G27+I27+K27+M27+O27+Q27+S27+U27</f>
        <v>1788.24</v>
      </c>
      <c r="J29" s="64"/>
    </row>
    <row r="30" spans="2:27" x14ac:dyDescent="0.55000000000000004">
      <c r="G30" s="70" t="s">
        <v>57</v>
      </c>
      <c r="H30" s="70"/>
      <c r="I30" s="63">
        <f>+D27+F27+H27+J27+L27+N27+P27+R27+T27+V27</f>
        <v>2492.1999999999998</v>
      </c>
      <c r="J30" s="64"/>
    </row>
    <row r="31" spans="2:27" x14ac:dyDescent="0.55000000000000004">
      <c r="I31" s="63">
        <f>I30-I29</f>
        <v>703.95999999999981</v>
      </c>
      <c r="J31" s="64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71">
        <f>I33+I31</f>
        <v>1303.9599999999998</v>
      </c>
      <c r="J34" s="71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C2:D2"/>
    <mergeCell ref="E2:F2"/>
    <mergeCell ref="G2:H2"/>
    <mergeCell ref="I2:J2"/>
    <mergeCell ref="K2:L2"/>
    <mergeCell ref="Q2:R2"/>
    <mergeCell ref="S2:T2"/>
    <mergeCell ref="U2:V2"/>
    <mergeCell ref="W2:X2"/>
    <mergeCell ref="F29:H29"/>
    <mergeCell ref="I29:J29"/>
    <mergeCell ref="M2:N2"/>
    <mergeCell ref="G30:H30"/>
    <mergeCell ref="I30:J30"/>
    <mergeCell ref="I31:J31"/>
    <mergeCell ref="I34:J34"/>
    <mergeCell ref="O2:P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topLeftCell="A17"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2" t="s">
        <v>23</v>
      </c>
      <c r="D2" s="62"/>
      <c r="E2" s="62" t="s">
        <v>20</v>
      </c>
      <c r="F2" s="62"/>
      <c r="G2" s="62" t="s">
        <v>19</v>
      </c>
      <c r="H2" s="62"/>
      <c r="I2" s="62" t="s">
        <v>21</v>
      </c>
      <c r="J2" s="62"/>
      <c r="K2" s="62" t="s">
        <v>22</v>
      </c>
      <c r="L2" s="62"/>
      <c r="M2" s="62" t="s">
        <v>26</v>
      </c>
      <c r="N2" s="62"/>
      <c r="O2" s="62" t="s">
        <v>24</v>
      </c>
      <c r="P2" s="62"/>
      <c r="Q2" s="62" t="s">
        <v>25</v>
      </c>
      <c r="R2" s="62"/>
      <c r="S2" s="62" t="s">
        <v>18</v>
      </c>
      <c r="T2" s="62"/>
      <c r="U2" s="62" t="s">
        <v>65</v>
      </c>
      <c r="V2" s="69"/>
      <c r="W2" s="62" t="s">
        <v>66</v>
      </c>
      <c r="X2" s="69"/>
      <c r="Y2" s="68" t="s">
        <v>28</v>
      </c>
      <c r="Z2" s="62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5" t="s">
        <v>56</v>
      </c>
      <c r="G31" s="66"/>
      <c r="H31" s="67"/>
      <c r="I31" s="63">
        <f>C29+E29+G29+I29+K29+M29+O29+Q29+S29+U29+W29</f>
        <v>2521.33</v>
      </c>
      <c r="J31" s="64"/>
    </row>
    <row r="32" spans="2:30" x14ac:dyDescent="0.55000000000000004">
      <c r="G32" s="70" t="s">
        <v>57</v>
      </c>
      <c r="H32" s="70"/>
      <c r="I32" s="63">
        <f>+D29+F29+H29+J29+L29+N29+P29+R29+T29+V29+X29</f>
        <v>2997.5899999999997</v>
      </c>
      <c r="J32" s="64"/>
    </row>
    <row r="33" spans="3:17" x14ac:dyDescent="0.55000000000000004">
      <c r="I33" s="63">
        <f>I32-I31</f>
        <v>476.25999999999976</v>
      </c>
      <c r="J33" s="64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71">
        <f>I35+I33</f>
        <v>2476.2599999999998</v>
      </c>
      <c r="J36" s="71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C2:D2"/>
    <mergeCell ref="E2:F2"/>
    <mergeCell ref="G2:H2"/>
    <mergeCell ref="I2:J2"/>
    <mergeCell ref="K2:L2"/>
    <mergeCell ref="Q2:R2"/>
    <mergeCell ref="S2:T2"/>
    <mergeCell ref="U2:V2"/>
    <mergeCell ref="Y2:Z2"/>
    <mergeCell ref="F31:H31"/>
    <mergeCell ref="I31:J31"/>
    <mergeCell ref="M2:N2"/>
    <mergeCell ref="W2:X2"/>
    <mergeCell ref="G32:H32"/>
    <mergeCell ref="I32:J32"/>
    <mergeCell ref="I33:J33"/>
    <mergeCell ref="I36:J36"/>
    <mergeCell ref="O2:P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topLeftCell="A17" workbookViewId="0">
      <selection activeCell="Y36" sqref="Y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2" t="s">
        <v>26</v>
      </c>
      <c r="D2" s="62"/>
      <c r="E2" s="72" t="s">
        <v>20</v>
      </c>
      <c r="F2" s="68"/>
      <c r="G2" s="62" t="s">
        <v>23</v>
      </c>
      <c r="H2" s="62"/>
      <c r="I2" s="62" t="s">
        <v>19</v>
      </c>
      <c r="J2" s="62"/>
      <c r="K2" s="62" t="s">
        <v>18</v>
      </c>
      <c r="L2" s="62"/>
      <c r="M2" s="72" t="s">
        <v>22</v>
      </c>
      <c r="N2" s="68"/>
      <c r="O2" s="62" t="s">
        <v>25</v>
      </c>
      <c r="P2" s="62"/>
      <c r="Q2" s="62" t="s">
        <v>21</v>
      </c>
      <c r="R2" s="62"/>
      <c r="S2" s="62" t="s">
        <v>24</v>
      </c>
      <c r="T2" s="62"/>
      <c r="U2" s="62" t="s">
        <v>65</v>
      </c>
      <c r="V2" s="69"/>
      <c r="W2" s="62" t="s">
        <v>66</v>
      </c>
      <c r="X2" s="69"/>
      <c r="Y2" s="68" t="s">
        <v>28</v>
      </c>
      <c r="Z2" s="62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5" t="s">
        <v>56</v>
      </c>
      <c r="G31" s="66"/>
      <c r="H31" s="67"/>
      <c r="I31" s="63">
        <f>C29+E29+G29+I29+K29+M29+O29+Q29+S29+U29+W29</f>
        <v>2462.73</v>
      </c>
      <c r="J31" s="64"/>
    </row>
    <row r="32" spans="2:30" x14ac:dyDescent="0.55000000000000004">
      <c r="G32" s="70" t="s">
        <v>57</v>
      </c>
      <c r="H32" s="70"/>
      <c r="I32" s="63">
        <f>+D29+F29+H29+J29+L29+N29+P29+R29+T29+V29+X29</f>
        <v>1004.25</v>
      </c>
      <c r="J32" s="64"/>
    </row>
    <row r="33" spans="3:25" x14ac:dyDescent="0.55000000000000004">
      <c r="I33" s="63">
        <f>I32-I31</f>
        <v>-1458.48</v>
      </c>
      <c r="J33" s="64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71">
        <f>I36+I33+J37</f>
        <v>322.7800000000002</v>
      </c>
      <c r="J38" s="71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16" workbookViewId="0">
      <selection activeCell="F39" sqref="F39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2" t="s">
        <v>100</v>
      </c>
      <c r="D2" s="62"/>
      <c r="E2" s="72" t="s">
        <v>101</v>
      </c>
      <c r="F2" s="68"/>
      <c r="G2" s="62" t="s">
        <v>102</v>
      </c>
      <c r="H2" s="62"/>
      <c r="I2" s="62" t="s">
        <v>103</v>
      </c>
      <c r="J2" s="62"/>
      <c r="K2" s="62" t="s">
        <v>104</v>
      </c>
      <c r="L2" s="62"/>
      <c r="M2" s="72" t="s">
        <v>105</v>
      </c>
      <c r="N2" s="68"/>
      <c r="O2" s="62" t="s">
        <v>106</v>
      </c>
      <c r="P2" s="62"/>
      <c r="Q2" s="62" t="s">
        <v>107</v>
      </c>
      <c r="R2" s="62"/>
      <c r="S2" s="62" t="s">
        <v>24</v>
      </c>
      <c r="T2" s="62"/>
      <c r="U2" s="62" t="s">
        <v>108</v>
      </c>
      <c r="V2" s="69"/>
      <c r="W2" s="62" t="s">
        <v>66</v>
      </c>
      <c r="X2" s="69"/>
      <c r="Y2" s="68" t="s">
        <v>28</v>
      </c>
      <c r="Z2" s="62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5" t="s">
        <v>56</v>
      </c>
      <c r="G31" s="66"/>
      <c r="H31" s="67"/>
      <c r="I31" s="63">
        <f>C29+E29+G29+I29+K29+M29+O29+Q29+S29+U29+W29</f>
        <v>2158</v>
      </c>
      <c r="J31" s="64"/>
    </row>
    <row r="32" spans="2:30" x14ac:dyDescent="0.55000000000000004">
      <c r="G32" s="70" t="s">
        <v>57</v>
      </c>
      <c r="H32" s="70"/>
      <c r="I32" s="63">
        <f>+D29+F29+H29+J29+L29+N29+P29+R29+T29+V29+X29</f>
        <v>709.26</v>
      </c>
      <c r="J32" s="64"/>
    </row>
    <row r="33" spans="3:25" x14ac:dyDescent="0.55000000000000004">
      <c r="I33" s="63">
        <f>I32-I31</f>
        <v>-1448.74</v>
      </c>
      <c r="J33" s="64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71">
        <f>I36+I33</f>
        <v>552.84999999999991</v>
      </c>
      <c r="J38" s="71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0"/>
  <sheetViews>
    <sheetView tabSelected="1" topLeftCell="A7" workbookViewId="0">
      <selection activeCell="AL20" sqref="AL20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5625" customWidth="1"/>
    <col min="34" max="34" width="11" bestFit="1" customWidth="1"/>
    <col min="38" max="38" width="10.578125" customWidth="1"/>
  </cols>
  <sheetData>
    <row r="1" spans="2:38" ht="7.5" customHeight="1" x14ac:dyDescent="0.7">
      <c r="W1" s="73"/>
      <c r="X1" s="74"/>
    </row>
    <row r="2" spans="2:38" ht="18.3" x14ac:dyDescent="0.7">
      <c r="C2" s="62" t="s">
        <v>113</v>
      </c>
      <c r="D2" s="62"/>
      <c r="E2" s="72" t="s">
        <v>101</v>
      </c>
      <c r="F2" s="68"/>
      <c r="G2" s="62" t="s">
        <v>114</v>
      </c>
      <c r="H2" s="62"/>
      <c r="I2" s="62" t="s">
        <v>115</v>
      </c>
      <c r="J2" s="62"/>
      <c r="K2" s="62" t="s">
        <v>104</v>
      </c>
      <c r="L2" s="62"/>
      <c r="M2" s="72" t="s">
        <v>103</v>
      </c>
      <c r="N2" s="68"/>
      <c r="O2" s="62" t="s">
        <v>106</v>
      </c>
      <c r="P2" s="62"/>
      <c r="Q2" s="62" t="s">
        <v>107</v>
      </c>
      <c r="R2" s="62"/>
      <c r="S2" s="62" t="s">
        <v>100</v>
      </c>
      <c r="T2" s="62"/>
      <c r="U2" s="62" t="s">
        <v>108</v>
      </c>
      <c r="V2" s="72"/>
      <c r="W2" s="75" t="s">
        <v>102</v>
      </c>
      <c r="X2" s="76"/>
      <c r="Y2" s="75" t="s">
        <v>105</v>
      </c>
      <c r="Z2" s="77"/>
      <c r="AA2" s="78" t="s">
        <v>66</v>
      </c>
      <c r="AB2" s="79"/>
      <c r="AC2" s="68" t="s">
        <v>28</v>
      </c>
      <c r="AD2" s="62"/>
    </row>
    <row r="3" spans="2:38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57" t="s">
        <v>30</v>
      </c>
      <c r="X3" s="58" t="s">
        <v>31</v>
      </c>
      <c r="Y3" s="57" t="s">
        <v>30</v>
      </c>
      <c r="Z3" s="58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x14ac:dyDescent="0.55000000000000004">
      <c r="B4" s="54" t="s">
        <v>109</v>
      </c>
      <c r="C4" s="12"/>
      <c r="D4" s="13"/>
      <c r="E4" s="14"/>
      <c r="F4" s="13"/>
      <c r="G4" s="14">
        <v>25</v>
      </c>
      <c r="H4" s="13">
        <v>0</v>
      </c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7">
        <f>U4+S4+Q4+O4+M4+K4+I4+G4+E4+C4+W4+Y4</f>
        <v>25</v>
      </c>
      <c r="AD4" s="48">
        <f t="shared" ref="AD4" si="0">V4+T4+R4+P4+N4+L4+J4+H4+F4+D4</f>
        <v>0</v>
      </c>
      <c r="AE4" s="1">
        <f>AC4</f>
        <v>25</v>
      </c>
      <c r="AF4" s="1">
        <f>AD4</f>
        <v>0</v>
      </c>
      <c r="AG4" s="1">
        <f>AF4-AE4</f>
        <v>-25</v>
      </c>
      <c r="AH4" s="1"/>
    </row>
    <row r="5" spans="2:38" x14ac:dyDescent="0.55000000000000004">
      <c r="B5" s="54" t="s">
        <v>32</v>
      </c>
      <c r="C5" s="15">
        <v>25</v>
      </c>
      <c r="D5" s="16">
        <v>0</v>
      </c>
      <c r="E5" s="17">
        <v>25</v>
      </c>
      <c r="F5" s="16">
        <v>0</v>
      </c>
      <c r="G5" s="17"/>
      <c r="H5" s="16"/>
      <c r="I5" s="17">
        <v>25</v>
      </c>
      <c r="J5" s="16">
        <v>0</v>
      </c>
      <c r="K5" s="17">
        <v>25</v>
      </c>
      <c r="L5" s="16">
        <v>0</v>
      </c>
      <c r="M5" s="17">
        <v>20</v>
      </c>
      <c r="N5" s="16">
        <v>0</v>
      </c>
      <c r="O5" s="17">
        <v>25</v>
      </c>
      <c r="P5" s="16">
        <v>109.38</v>
      </c>
      <c r="Q5" s="17">
        <v>25</v>
      </c>
      <c r="R5" s="16">
        <v>0</v>
      </c>
      <c r="S5" s="17">
        <v>25</v>
      </c>
      <c r="T5" s="16">
        <v>190</v>
      </c>
      <c r="U5" s="15">
        <v>25</v>
      </c>
      <c r="V5" s="20">
        <v>0</v>
      </c>
      <c r="W5" s="15">
        <v>25</v>
      </c>
      <c r="X5" s="20">
        <v>0</v>
      </c>
      <c r="Y5" s="15">
        <v>25</v>
      </c>
      <c r="Z5" s="20">
        <f>54.38+45</f>
        <v>99.38</v>
      </c>
      <c r="AA5" s="15"/>
      <c r="AB5" s="20"/>
      <c r="AC5" s="17">
        <f>U5+S5+Q5+O5+M5+K5+I5+G5+E5+C5+W5+Y5</f>
        <v>270</v>
      </c>
      <c r="AD5" s="35">
        <f>V5+T5+R5+P5+N5+L5+J5+H5+F5+D5+X5+Z5</f>
        <v>398.76</v>
      </c>
      <c r="AE5" s="1">
        <f>AE4+AC5</f>
        <v>295</v>
      </c>
      <c r="AF5" s="1">
        <f>AF4+AD5</f>
        <v>398.76</v>
      </c>
      <c r="AG5" s="1">
        <f t="shared" ref="AG5:AG27" si="1">AF5-AE5</f>
        <v>103.75999999999999</v>
      </c>
      <c r="AH5" s="1"/>
    </row>
    <row r="6" spans="2:38" ht="14.7" thickBot="1" x14ac:dyDescent="0.6">
      <c r="B6" s="52" t="s">
        <v>34</v>
      </c>
      <c r="C6" s="15">
        <v>20</v>
      </c>
      <c r="D6" s="16">
        <v>0</v>
      </c>
      <c r="E6" s="17">
        <v>20</v>
      </c>
      <c r="F6" s="16">
        <v>0</v>
      </c>
      <c r="G6" s="17">
        <v>25</v>
      </c>
      <c r="H6" s="16">
        <v>0</v>
      </c>
      <c r="I6" s="17">
        <v>25</v>
      </c>
      <c r="J6" s="16">
        <v>0</v>
      </c>
      <c r="K6" s="17"/>
      <c r="L6" s="16"/>
      <c r="M6" s="17">
        <v>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 t="shared" ref="AC6:AC28" si="2">U6+S6+Q6+O6+M6+K6+I6+G6+E6+C6+W6+Y6</f>
        <v>95</v>
      </c>
      <c r="AD6" s="35">
        <f t="shared" ref="AD6:AD28" si="3">V6+T6+R6+P6+N6+L6+J6+H6+F6+D6+X6+Z6</f>
        <v>0</v>
      </c>
      <c r="AE6" s="1">
        <f t="shared" ref="AE6:AF21" si="4">AE5+AC6</f>
        <v>390</v>
      </c>
      <c r="AF6" s="1">
        <f t="shared" si="4"/>
        <v>398.76</v>
      </c>
      <c r="AG6" s="1">
        <f t="shared" si="1"/>
        <v>8.7599999999999909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>
        <v>5</v>
      </c>
      <c r="F7" s="16">
        <v>0</v>
      </c>
      <c r="G7" s="17"/>
      <c r="H7" s="16"/>
      <c r="I7" s="17"/>
      <c r="J7" s="16"/>
      <c r="K7" s="17">
        <f>10+7.5+5+2.5</f>
        <v>25</v>
      </c>
      <c r="L7" s="16">
        <v>0</v>
      </c>
      <c r="M7" s="17">
        <f>5+10+5</f>
        <v>20</v>
      </c>
      <c r="N7" s="16">
        <v>0</v>
      </c>
      <c r="O7" s="17">
        <f>5+5+5+5+5</f>
        <v>25</v>
      </c>
      <c r="P7" s="16">
        <v>0</v>
      </c>
      <c r="Q7" s="17">
        <f>5+10+5+5</f>
        <v>25</v>
      </c>
      <c r="R7" s="16">
        <v>0</v>
      </c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 t="shared" si="2"/>
        <v>100</v>
      </c>
      <c r="AD7" s="35">
        <f t="shared" si="3"/>
        <v>0</v>
      </c>
      <c r="AE7" s="1">
        <f t="shared" si="4"/>
        <v>490</v>
      </c>
      <c r="AF7" s="1">
        <f t="shared" si="4"/>
        <v>398.76</v>
      </c>
      <c r="AG7" s="1">
        <f t="shared" si="1"/>
        <v>-91.240000000000009</v>
      </c>
      <c r="AH7" s="44" t="s">
        <v>71</v>
      </c>
      <c r="AI7" s="44">
        <f>+E29+'Punters 2023'!AE7</f>
        <v>1103</v>
      </c>
      <c r="AJ7" s="44">
        <f>+F29+'Punters 2023'!AF7</f>
        <v>534</v>
      </c>
      <c r="AK7" s="49">
        <f>+AJ7-AI7</f>
        <v>-569</v>
      </c>
      <c r="AL7" s="47">
        <f>(AJ7-AI7)/AI7</f>
        <v>-0.51586582048957386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>
        <v>25</v>
      </c>
      <c r="T8" s="16">
        <v>0</v>
      </c>
      <c r="U8" s="15">
        <v>25</v>
      </c>
      <c r="V8" s="20">
        <v>0</v>
      </c>
      <c r="W8" s="15">
        <v>25</v>
      </c>
      <c r="X8" s="20">
        <v>0</v>
      </c>
      <c r="Y8" s="15">
        <v>25</v>
      </c>
      <c r="Z8" s="20">
        <v>1.65</v>
      </c>
      <c r="AA8" s="15"/>
      <c r="AB8" s="20"/>
      <c r="AC8" s="17">
        <f t="shared" si="2"/>
        <v>100</v>
      </c>
      <c r="AD8" s="35">
        <f t="shared" si="3"/>
        <v>1.65</v>
      </c>
      <c r="AE8" s="1">
        <f t="shared" si="4"/>
        <v>590</v>
      </c>
      <c r="AF8" s="1">
        <f t="shared" si="4"/>
        <v>400.40999999999997</v>
      </c>
      <c r="AG8" s="1">
        <f t="shared" si="1"/>
        <v>-189.59000000000003</v>
      </c>
      <c r="AH8" s="44" t="s">
        <v>72</v>
      </c>
      <c r="AI8" s="44">
        <f>+K29+'Punters 2023'!AE8</f>
        <v>1263</v>
      </c>
      <c r="AJ8" s="44">
        <f>+L29+'Punters 2023'!AF8</f>
        <v>1019.77</v>
      </c>
      <c r="AK8" s="50">
        <f t="shared" ref="AK8:AK16" si="5">+AJ8-AI8</f>
        <v>-243.23000000000002</v>
      </c>
      <c r="AL8" s="47">
        <f t="shared" ref="AL8:AL16" si="6">(AJ8-AI8)/AI8</f>
        <v>-0.19258115597783057</v>
      </c>
    </row>
    <row r="9" spans="2:38" ht="14.7" thickBot="1" x14ac:dyDescent="0.6">
      <c r="B9" s="52" t="s">
        <v>37</v>
      </c>
      <c r="C9" s="15">
        <v>30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25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 t="shared" si="2"/>
        <v>105</v>
      </c>
      <c r="AD9" s="35">
        <f t="shared" si="3"/>
        <v>0</v>
      </c>
      <c r="AE9" s="1">
        <f t="shared" si="4"/>
        <v>695</v>
      </c>
      <c r="AF9" s="1">
        <f t="shared" si="4"/>
        <v>400.40999999999997</v>
      </c>
      <c r="AG9" s="1">
        <f t="shared" si="1"/>
        <v>-294.59000000000003</v>
      </c>
      <c r="AH9" s="44" t="s">
        <v>73</v>
      </c>
      <c r="AI9" s="44">
        <f>+M29+'Punters 2023'!AE9</f>
        <v>1236.48</v>
      </c>
      <c r="AJ9" s="44">
        <f>N29+'Punters 2023'!AF9</f>
        <v>961.4</v>
      </c>
      <c r="AK9" s="50">
        <f t="shared" si="5"/>
        <v>-275.08000000000004</v>
      </c>
      <c r="AL9" s="47">
        <f t="shared" si="6"/>
        <v>-0.22247023809523814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f>5+10+5+10</f>
        <v>30</v>
      </c>
      <c r="N10" s="16">
        <v>0</v>
      </c>
      <c r="O10" s="17">
        <v>25</v>
      </c>
      <c r="P10" s="16">
        <v>0</v>
      </c>
      <c r="Q10" s="17">
        <v>25</v>
      </c>
      <c r="R10" s="16">
        <v>0</v>
      </c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 t="shared" si="2"/>
        <v>105</v>
      </c>
      <c r="AD10" s="35">
        <f t="shared" si="3"/>
        <v>0</v>
      </c>
      <c r="AE10" s="1">
        <f t="shared" si="4"/>
        <v>800</v>
      </c>
      <c r="AF10" s="1">
        <f t="shared" si="4"/>
        <v>400.40999999999997</v>
      </c>
      <c r="AG10" s="1">
        <f t="shared" si="1"/>
        <v>-399.59000000000003</v>
      </c>
      <c r="AH10" s="44" t="s">
        <v>74</v>
      </c>
      <c r="AI10" s="44">
        <f>+C29+'Punters 2023'!AE10</f>
        <v>1239.9000000000001</v>
      </c>
      <c r="AJ10" s="44">
        <f>+D29+'Punters 2023'!AF10</f>
        <v>1596.4499999999998</v>
      </c>
      <c r="AK10" s="50">
        <f t="shared" si="5"/>
        <v>356.54999999999973</v>
      </c>
      <c r="AL10" s="45">
        <f t="shared" si="6"/>
        <v>0.28756351318654705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>
        <v>25</v>
      </c>
      <c r="T11" s="16">
        <v>78.61</v>
      </c>
      <c r="U11" s="15">
        <v>25</v>
      </c>
      <c r="V11" s="20">
        <v>0</v>
      </c>
      <c r="W11" s="15">
        <v>25</v>
      </c>
      <c r="X11" s="20">
        <f>33.75+32.5</f>
        <v>66.25</v>
      </c>
      <c r="Y11" s="15">
        <v>25</v>
      </c>
      <c r="Z11" s="20">
        <v>83.75</v>
      </c>
      <c r="AA11" s="15"/>
      <c r="AB11" s="20"/>
      <c r="AC11" s="17">
        <f t="shared" si="2"/>
        <v>100</v>
      </c>
      <c r="AD11" s="35">
        <f t="shared" si="3"/>
        <v>228.61</v>
      </c>
      <c r="AE11" s="1">
        <f t="shared" si="4"/>
        <v>900</v>
      </c>
      <c r="AF11" s="1">
        <f t="shared" si="4"/>
        <v>629.02</v>
      </c>
      <c r="AG11" s="1">
        <f t="shared" si="1"/>
        <v>-270.98</v>
      </c>
      <c r="AH11" s="44" t="s">
        <v>75</v>
      </c>
      <c r="AI11" s="44">
        <f>+I29+'Punters 2023'!AE11</f>
        <v>968</v>
      </c>
      <c r="AJ11" s="44">
        <f>+J29+'Punters 2023'!AF11</f>
        <v>58.25</v>
      </c>
      <c r="AK11" s="49">
        <f t="shared" si="5"/>
        <v>-909.75</v>
      </c>
      <c r="AL11" s="47">
        <f t="shared" si="6"/>
        <v>-0.93982438016528924</v>
      </c>
    </row>
    <row r="12" spans="2:38" ht="14.7" thickBot="1" x14ac:dyDescent="0.6">
      <c r="B12" s="52" t="s">
        <v>40</v>
      </c>
      <c r="C12" s="15">
        <v>25</v>
      </c>
      <c r="D12" s="16">
        <v>80</v>
      </c>
      <c r="E12" s="17">
        <v>25</v>
      </c>
      <c r="F12" s="16">
        <v>0</v>
      </c>
      <c r="G12" s="17">
        <v>25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 t="shared" si="2"/>
        <v>75</v>
      </c>
      <c r="AD12" s="35">
        <f t="shared" si="3"/>
        <v>80</v>
      </c>
      <c r="AE12" s="1">
        <f t="shared" si="4"/>
        <v>975</v>
      </c>
      <c r="AF12" s="1">
        <f t="shared" si="4"/>
        <v>709.02</v>
      </c>
      <c r="AG12" s="1">
        <f t="shared" si="1"/>
        <v>-265.98</v>
      </c>
      <c r="AH12" s="44" t="s">
        <v>76</v>
      </c>
      <c r="AI12" s="44">
        <f>+U29+'Punters 2023'!AE12</f>
        <v>1269.96</v>
      </c>
      <c r="AJ12" s="44">
        <f>+V29+'Punters 2023'!AF12</f>
        <v>844.40999999999985</v>
      </c>
      <c r="AK12" s="49">
        <f t="shared" si="5"/>
        <v>-425.55000000000018</v>
      </c>
      <c r="AL12" s="47">
        <f t="shared" si="6"/>
        <v>-0.33508929415099703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>
        <v>25</v>
      </c>
      <c r="J13" s="16">
        <v>0</v>
      </c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121.88</v>
      </c>
      <c r="Q13" s="17">
        <v>25</v>
      </c>
      <c r="R13" s="16">
        <v>0</v>
      </c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 t="shared" si="2"/>
        <v>125</v>
      </c>
      <c r="AD13" s="35">
        <f t="shared" si="3"/>
        <v>121.88</v>
      </c>
      <c r="AE13" s="1">
        <f t="shared" si="4"/>
        <v>1100</v>
      </c>
      <c r="AF13" s="1">
        <f t="shared" si="4"/>
        <v>830.9</v>
      </c>
      <c r="AG13" s="1">
        <f t="shared" si="1"/>
        <v>-269.10000000000002</v>
      </c>
      <c r="AH13" s="44" t="s">
        <v>77</v>
      </c>
      <c r="AI13" s="44">
        <f>+S29+'Punters 2023'!AE13</f>
        <v>1196.3400000000001</v>
      </c>
      <c r="AJ13" s="44">
        <f>+T29+'Punters 2023'!AF13</f>
        <v>766.69</v>
      </c>
      <c r="AK13" s="49">
        <f t="shared" si="5"/>
        <v>-429.65000000000009</v>
      </c>
      <c r="AL13" s="47">
        <f t="shared" si="6"/>
        <v>-0.35913703462226459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5"/>
      <c r="Z14" s="20"/>
      <c r="AA14" s="15"/>
      <c r="AB14" s="20"/>
      <c r="AC14" s="17">
        <f t="shared" si="2"/>
        <v>0</v>
      </c>
      <c r="AD14" s="35">
        <f t="shared" si="3"/>
        <v>0</v>
      </c>
      <c r="AE14" s="1">
        <f t="shared" si="4"/>
        <v>1100</v>
      </c>
      <c r="AF14" s="1">
        <f t="shared" si="4"/>
        <v>830.9</v>
      </c>
      <c r="AG14" s="1">
        <f t="shared" si="1"/>
        <v>-269.10000000000002</v>
      </c>
      <c r="AH14" s="44" t="s">
        <v>78</v>
      </c>
      <c r="AI14" s="44">
        <f>+Q29+'Punters 2023'!AE14</f>
        <v>1223</v>
      </c>
      <c r="AJ14" s="44">
        <f>+R29+'Punters 2023'!AF14</f>
        <v>637.47</v>
      </c>
      <c r="AK14" s="49">
        <f t="shared" si="5"/>
        <v>-585.53</v>
      </c>
      <c r="AL14" s="47">
        <f t="shared" si="6"/>
        <v>-0.47876533115290265</v>
      </c>
    </row>
    <row r="15" spans="2:38" ht="14.7" thickBot="1" x14ac:dyDescent="0.6">
      <c r="B15" s="52" t="s">
        <v>43</v>
      </c>
      <c r="C15" s="15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 t="shared" si="2"/>
        <v>0</v>
      </c>
      <c r="AD15" s="35">
        <f t="shared" si="3"/>
        <v>0</v>
      </c>
      <c r="AE15" s="1">
        <f t="shared" si="4"/>
        <v>1100</v>
      </c>
      <c r="AF15" s="1">
        <f t="shared" si="4"/>
        <v>830.9</v>
      </c>
      <c r="AG15" s="1">
        <f t="shared" si="1"/>
        <v>-269.10000000000002</v>
      </c>
      <c r="AH15" s="44" t="s">
        <v>79</v>
      </c>
      <c r="AI15" s="44">
        <f>+O29+'Punters 2023'!AE15</f>
        <v>1232.7</v>
      </c>
      <c r="AJ15" s="44">
        <f>+P29+'Punters 2023'!AF15</f>
        <v>1692.35</v>
      </c>
      <c r="AK15" s="50">
        <f t="shared" si="5"/>
        <v>459.64999999999986</v>
      </c>
      <c r="AL15" s="45">
        <f t="shared" si="6"/>
        <v>0.3728806684513668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 t="shared" si="2"/>
        <v>0</v>
      </c>
      <c r="AD16" s="35">
        <f t="shared" si="3"/>
        <v>0</v>
      </c>
      <c r="AE16" s="1">
        <f t="shared" si="4"/>
        <v>1100</v>
      </c>
      <c r="AF16" s="1">
        <f t="shared" si="4"/>
        <v>830.9</v>
      </c>
      <c r="AG16" s="1">
        <f t="shared" si="1"/>
        <v>-269.10000000000002</v>
      </c>
      <c r="AH16" s="44" t="s">
        <v>80</v>
      </c>
      <c r="AI16" s="44">
        <f>+G29+'Punters 2023'!AE16</f>
        <v>527</v>
      </c>
      <c r="AJ16" s="44">
        <f>+H29+'Punters 2023'!AF16</f>
        <v>151.25</v>
      </c>
      <c r="AK16" s="49">
        <f t="shared" si="5"/>
        <v>-375.75</v>
      </c>
      <c r="AL16" s="47">
        <f t="shared" si="6"/>
        <v>-0.71299810246679318</v>
      </c>
    </row>
    <row r="17" spans="2:38" x14ac:dyDescent="0.55000000000000004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5"/>
      <c r="Z17" s="20"/>
      <c r="AA17" s="15"/>
      <c r="AB17" s="20"/>
      <c r="AC17" s="17">
        <f t="shared" si="2"/>
        <v>0</v>
      </c>
      <c r="AD17" s="35">
        <f t="shared" si="3"/>
        <v>0</v>
      </c>
      <c r="AE17" s="1">
        <f t="shared" si="4"/>
        <v>1100</v>
      </c>
      <c r="AF17" s="1">
        <f t="shared" si="4"/>
        <v>830.9</v>
      </c>
      <c r="AG17" s="1">
        <f t="shared" si="1"/>
        <v>-269.10000000000002</v>
      </c>
      <c r="AH17" s="44" t="s">
        <v>116</v>
      </c>
      <c r="AI17" s="44">
        <f>+C29</f>
        <v>100</v>
      </c>
      <c r="AJ17" s="44">
        <f>+D29</f>
        <v>80</v>
      </c>
      <c r="AK17" s="49">
        <f t="shared" ref="AK17:AK18" si="7">+AJ17-AI17</f>
        <v>-20</v>
      </c>
      <c r="AL17" s="47">
        <f t="shared" ref="AL17:AL18" si="8">(AJ17-AI17)/AI17</f>
        <v>-0.2</v>
      </c>
    </row>
    <row r="18" spans="2:38" x14ac:dyDescent="0.55000000000000004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 t="shared" si="2"/>
        <v>0</v>
      </c>
      <c r="AD18" s="35">
        <f t="shared" si="3"/>
        <v>0</v>
      </c>
      <c r="AE18" s="1">
        <f t="shared" si="4"/>
        <v>1100</v>
      </c>
      <c r="AF18" s="1">
        <f t="shared" si="4"/>
        <v>830.9</v>
      </c>
      <c r="AG18" s="1">
        <f t="shared" si="1"/>
        <v>-269.10000000000002</v>
      </c>
      <c r="AH18" s="44" t="s">
        <v>117</v>
      </c>
      <c r="AI18" s="44">
        <f>+G29</f>
        <v>100</v>
      </c>
      <c r="AJ18" s="44">
        <f>+H29</f>
        <v>0</v>
      </c>
      <c r="AK18" s="49">
        <f t="shared" si="7"/>
        <v>-100</v>
      </c>
      <c r="AL18" s="47">
        <f t="shared" si="8"/>
        <v>-1</v>
      </c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 t="shared" si="2"/>
        <v>0</v>
      </c>
      <c r="AD19" s="35">
        <f t="shared" si="3"/>
        <v>0</v>
      </c>
      <c r="AE19" s="1">
        <f t="shared" si="4"/>
        <v>1100</v>
      </c>
      <c r="AF19" s="1">
        <f t="shared" si="4"/>
        <v>830.9</v>
      </c>
      <c r="AG19" s="1">
        <f t="shared" si="1"/>
        <v>-269.10000000000002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5"/>
      <c r="Z20" s="20"/>
      <c r="AA20" s="15"/>
      <c r="AB20" s="20"/>
      <c r="AC20" s="17">
        <f t="shared" si="2"/>
        <v>0</v>
      </c>
      <c r="AD20" s="35">
        <f t="shared" si="3"/>
        <v>0</v>
      </c>
      <c r="AE20" s="1">
        <f t="shared" si="4"/>
        <v>1100</v>
      </c>
      <c r="AF20" s="1">
        <f t="shared" si="4"/>
        <v>830.9</v>
      </c>
      <c r="AG20" s="1">
        <f t="shared" si="1"/>
        <v>-269.10000000000002</v>
      </c>
      <c r="AH20" s="1"/>
    </row>
    <row r="21" spans="2:38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 t="shared" si="2"/>
        <v>0</v>
      </c>
      <c r="AD21" s="35">
        <f t="shared" si="3"/>
        <v>0</v>
      </c>
      <c r="AE21" s="1">
        <f t="shared" si="4"/>
        <v>1100</v>
      </c>
      <c r="AF21" s="1">
        <f t="shared" si="4"/>
        <v>830.9</v>
      </c>
      <c r="AG21" s="1">
        <f t="shared" si="1"/>
        <v>-269.10000000000002</v>
      </c>
      <c r="AH21" s="1"/>
    </row>
    <row r="22" spans="2:38" x14ac:dyDescent="0.55000000000000004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 t="shared" si="2"/>
        <v>0</v>
      </c>
      <c r="AD22" s="35">
        <f t="shared" si="3"/>
        <v>0</v>
      </c>
      <c r="AE22" s="1">
        <f t="shared" ref="AE22:AF27" si="9">AE21+AC22</f>
        <v>1100</v>
      </c>
      <c r="AF22" s="1">
        <f t="shared" si="9"/>
        <v>830.9</v>
      </c>
      <c r="AG22" s="1">
        <f t="shared" si="1"/>
        <v>-269.10000000000002</v>
      </c>
      <c r="AH22" s="1"/>
    </row>
    <row r="23" spans="2:38" x14ac:dyDescent="0.55000000000000004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5"/>
      <c r="Z23" s="20"/>
      <c r="AA23" s="15"/>
      <c r="AB23" s="20"/>
      <c r="AC23" s="17">
        <f t="shared" si="2"/>
        <v>0</v>
      </c>
      <c r="AD23" s="35">
        <f t="shared" si="3"/>
        <v>0</v>
      </c>
      <c r="AE23" s="1">
        <f t="shared" si="9"/>
        <v>1100</v>
      </c>
      <c r="AF23" s="1">
        <f t="shared" si="9"/>
        <v>830.9</v>
      </c>
      <c r="AG23" s="1">
        <f t="shared" si="1"/>
        <v>-269.10000000000002</v>
      </c>
      <c r="AH23" s="1"/>
    </row>
    <row r="24" spans="2:38" x14ac:dyDescent="0.55000000000000004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 t="shared" si="2"/>
        <v>0</v>
      </c>
      <c r="AD24" s="35">
        <f t="shared" si="3"/>
        <v>0</v>
      </c>
      <c r="AE24" s="1">
        <f t="shared" si="9"/>
        <v>1100</v>
      </c>
      <c r="AF24" s="1">
        <f t="shared" si="9"/>
        <v>830.9</v>
      </c>
      <c r="AG24" s="1">
        <f t="shared" si="1"/>
        <v>-269.10000000000002</v>
      </c>
      <c r="AH24" s="1"/>
    </row>
    <row r="25" spans="2:38" x14ac:dyDescent="0.55000000000000004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 t="shared" si="2"/>
        <v>0</v>
      </c>
      <c r="AD25" s="35">
        <f t="shared" si="3"/>
        <v>0</v>
      </c>
      <c r="AE25" s="1">
        <f t="shared" si="9"/>
        <v>1100</v>
      </c>
      <c r="AF25" s="1">
        <f t="shared" si="9"/>
        <v>830.9</v>
      </c>
      <c r="AG25" s="1">
        <f t="shared" si="1"/>
        <v>-269.10000000000002</v>
      </c>
      <c r="AH25" s="1"/>
    </row>
    <row r="26" spans="2:38" x14ac:dyDescent="0.55000000000000004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5"/>
      <c r="Z26" s="20"/>
      <c r="AA26" s="15"/>
      <c r="AB26" s="20"/>
      <c r="AC26" s="17">
        <f t="shared" si="2"/>
        <v>0</v>
      </c>
      <c r="AD26" s="35">
        <f t="shared" si="3"/>
        <v>0</v>
      </c>
      <c r="AE26" s="1">
        <f t="shared" si="9"/>
        <v>1100</v>
      </c>
      <c r="AF26" s="1">
        <f t="shared" si="9"/>
        <v>830.9</v>
      </c>
      <c r="AG26" s="1">
        <f t="shared" si="1"/>
        <v>-269.10000000000002</v>
      </c>
      <c r="AH26" s="1"/>
    </row>
    <row r="27" spans="2:38" x14ac:dyDescent="0.55000000000000004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 t="shared" si="2"/>
        <v>0</v>
      </c>
      <c r="AD27" s="35">
        <f t="shared" si="3"/>
        <v>0</v>
      </c>
      <c r="AE27" s="1">
        <f t="shared" si="9"/>
        <v>1100</v>
      </c>
      <c r="AF27" s="1">
        <f t="shared" si="9"/>
        <v>830.9</v>
      </c>
      <c r="AG27" s="1">
        <f t="shared" si="1"/>
        <v>-269.10000000000002</v>
      </c>
      <c r="AH27" s="1"/>
    </row>
    <row r="28" spans="2:38" x14ac:dyDescent="0.55000000000000004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 t="shared" si="2"/>
        <v>0</v>
      </c>
      <c r="AD28" s="35">
        <f t="shared" si="3"/>
        <v>0</v>
      </c>
      <c r="AE28" s="1"/>
      <c r="AF28" s="1"/>
      <c r="AG28" s="1"/>
      <c r="AH28" s="1"/>
    </row>
    <row r="29" spans="2:38" ht="14.7" thickBot="1" x14ac:dyDescent="0.6">
      <c r="B29" s="11" t="s">
        <v>55</v>
      </c>
      <c r="C29" s="18">
        <f t="shared" ref="C29:AD29" si="10">SUM(C4:C28)</f>
        <v>100</v>
      </c>
      <c r="D29" s="18">
        <f t="shared" si="10"/>
        <v>80</v>
      </c>
      <c r="E29" s="18">
        <f t="shared" si="10"/>
        <v>100</v>
      </c>
      <c r="F29" s="18">
        <f t="shared" si="10"/>
        <v>0</v>
      </c>
      <c r="G29" s="18">
        <f t="shared" si="10"/>
        <v>100</v>
      </c>
      <c r="H29" s="18">
        <f t="shared" si="10"/>
        <v>0</v>
      </c>
      <c r="I29" s="18">
        <f t="shared" si="10"/>
        <v>100</v>
      </c>
      <c r="J29" s="18">
        <f t="shared" si="10"/>
        <v>0</v>
      </c>
      <c r="K29" s="18">
        <f t="shared" si="10"/>
        <v>100</v>
      </c>
      <c r="L29" s="18">
        <f t="shared" si="10"/>
        <v>0</v>
      </c>
      <c r="M29" s="18">
        <f t="shared" si="10"/>
        <v>100</v>
      </c>
      <c r="N29" s="18">
        <f t="shared" si="10"/>
        <v>0</v>
      </c>
      <c r="O29" s="18">
        <f t="shared" si="10"/>
        <v>100</v>
      </c>
      <c r="P29" s="18">
        <f t="shared" si="10"/>
        <v>231.26</v>
      </c>
      <c r="Q29" s="18">
        <f t="shared" si="10"/>
        <v>100</v>
      </c>
      <c r="R29" s="18">
        <f t="shared" si="10"/>
        <v>0</v>
      </c>
      <c r="S29" s="18">
        <f t="shared" si="10"/>
        <v>75</v>
      </c>
      <c r="T29" s="18">
        <f>SUM(T4:T28)</f>
        <v>268.61</v>
      </c>
      <c r="U29" s="18">
        <f t="shared" si="10"/>
        <v>75</v>
      </c>
      <c r="V29" s="21">
        <f t="shared" si="10"/>
        <v>0</v>
      </c>
      <c r="W29" s="18">
        <f t="shared" ref="W29:X29" si="11">SUM(W4:W28)</f>
        <v>75</v>
      </c>
      <c r="X29" s="21">
        <f t="shared" si="11"/>
        <v>66.25</v>
      </c>
      <c r="Y29" s="18">
        <f t="shared" ref="Y29:Z29" si="12">SUM(Y4:Y28)</f>
        <v>75</v>
      </c>
      <c r="Z29" s="21">
        <f t="shared" si="12"/>
        <v>184.78</v>
      </c>
      <c r="AA29" s="18">
        <f t="shared" si="10"/>
        <v>0</v>
      </c>
      <c r="AB29" s="21">
        <f t="shared" si="10"/>
        <v>0</v>
      </c>
      <c r="AC29" s="29">
        <f t="shared" si="10"/>
        <v>1100</v>
      </c>
      <c r="AD29" s="18">
        <f t="shared" si="10"/>
        <v>830.9</v>
      </c>
      <c r="AE29" s="1"/>
    </row>
    <row r="30" spans="2:38" x14ac:dyDescent="0.55000000000000004">
      <c r="D30" s="56">
        <f>(D29-C29)/C29</f>
        <v>-0.2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1.3126</v>
      </c>
      <c r="R30" s="28">
        <f>(R29-Q29)/Q29</f>
        <v>-1</v>
      </c>
      <c r="T30" s="22">
        <f>(T29-S29)/S29</f>
        <v>2.581466666666667</v>
      </c>
      <c r="V30" s="28">
        <f>(V29-U29)/U29</f>
        <v>-1</v>
      </c>
      <c r="X30" s="28">
        <f>(X29-W29)/W29</f>
        <v>-0.11666666666666667</v>
      </c>
      <c r="Z30" s="28">
        <f>(Z29-Y29)/Y29</f>
        <v>1.4637333333333333</v>
      </c>
    </row>
    <row r="31" spans="2:38" x14ac:dyDescent="0.55000000000000004">
      <c r="F31" s="65" t="s">
        <v>56</v>
      </c>
      <c r="G31" s="66"/>
      <c r="H31" s="67"/>
      <c r="I31" s="63">
        <f>C29+E29+G29+I29+K29+M29+O29+Q29+S29+U29+AA29+W29+Y29</f>
        <v>1100</v>
      </c>
      <c r="J31" s="64"/>
    </row>
    <row r="32" spans="2:38" x14ac:dyDescent="0.55000000000000004">
      <c r="G32" s="70" t="s">
        <v>57</v>
      </c>
      <c r="H32" s="70"/>
      <c r="I32" s="63">
        <f>+D29+F29+H29+J29+L29+N29+P29+R29+T29+V29+AB29+X29+Z29</f>
        <v>830.9</v>
      </c>
      <c r="J32" s="64"/>
    </row>
    <row r="33" spans="3:25" x14ac:dyDescent="0.55000000000000004">
      <c r="I33" s="63">
        <f>I32-I31</f>
        <v>-269.10000000000002</v>
      </c>
      <c r="J33" s="64"/>
      <c r="Y33">
        <f>2167+183+5*10</f>
        <v>2400</v>
      </c>
    </row>
    <row r="34" spans="3:25" x14ac:dyDescent="0.55000000000000004">
      <c r="C34" s="36">
        <f>C29+E29+G29+I29</f>
        <v>400</v>
      </c>
      <c r="D34" s="36">
        <f>D29+F29+H29+J29</f>
        <v>80</v>
      </c>
      <c r="E34" s="37">
        <f>D34-C34</f>
        <v>-320</v>
      </c>
      <c r="I34" s="38">
        <f>O29+K29+M29+Q29</f>
        <v>400</v>
      </c>
      <c r="J34" s="38">
        <f>P29+L29+N29</f>
        <v>231.26</v>
      </c>
      <c r="K34" s="39">
        <f>J34-I34</f>
        <v>-168.74</v>
      </c>
      <c r="O34" s="40">
        <f>U29+W29+Y29+S29</f>
        <v>300</v>
      </c>
      <c r="P34" s="40">
        <f>V29+X29+T29+Z29</f>
        <v>519.64</v>
      </c>
      <c r="Q34" s="41">
        <f>P34-O34</f>
        <v>219.64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-0.8</v>
      </c>
      <c r="E35" s="37"/>
      <c r="I35" s="38"/>
      <c r="J35" s="34">
        <f>(J34-I34)/I34</f>
        <v>-0.42185</v>
      </c>
      <c r="K35" s="39"/>
      <c r="O35" s="40"/>
      <c r="P35" s="34">
        <f>(P34-O34)/O34</f>
        <v>0.7321333333333333</v>
      </c>
      <c r="Q35" s="41"/>
      <c r="X35" s="55"/>
    </row>
    <row r="36" spans="3:25" x14ac:dyDescent="0.55000000000000004">
      <c r="G36" t="s">
        <v>58</v>
      </c>
      <c r="I36">
        <v>2400.0500000000002</v>
      </c>
    </row>
    <row r="38" spans="3:25" x14ac:dyDescent="0.55000000000000004">
      <c r="G38" s="42" t="s">
        <v>64</v>
      </c>
      <c r="H38" s="42"/>
      <c r="I38" s="71">
        <f>I36+I33</f>
        <v>2130.9500000000003</v>
      </c>
      <c r="J38" s="71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400</v>
      </c>
      <c r="D42" s="1">
        <f>D29+F29+H29+J29</f>
        <v>80</v>
      </c>
      <c r="I42" s="1">
        <f>O29+K29+M29</f>
        <v>300</v>
      </c>
      <c r="J42" s="1">
        <f>P29+L29+N29</f>
        <v>231.26</v>
      </c>
      <c r="O42" s="1">
        <f>U29+Q29+S29</f>
        <v>250</v>
      </c>
      <c r="P42" s="1">
        <f>V29+R29+T29</f>
        <v>268.61</v>
      </c>
    </row>
    <row r="43" spans="3:25" x14ac:dyDescent="0.55000000000000004">
      <c r="D43" s="1">
        <f>D42-C42</f>
        <v>-320</v>
      </c>
      <c r="J43" s="33">
        <f>J42-I42</f>
        <v>-68.740000000000009</v>
      </c>
      <c r="P43" s="33">
        <f>P42-O42</f>
        <v>18.610000000000014</v>
      </c>
    </row>
    <row r="45" spans="3:25" x14ac:dyDescent="0.55000000000000004">
      <c r="V45" t="s">
        <v>147</v>
      </c>
    </row>
    <row r="46" spans="3:25" x14ac:dyDescent="0.55000000000000004">
      <c r="D46" t="s">
        <v>88</v>
      </c>
      <c r="J46" t="s">
        <v>146</v>
      </c>
      <c r="V46" t="s">
        <v>89</v>
      </c>
      <c r="W46">
        <v>4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2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4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0</v>
      </c>
      <c r="V49" t="s">
        <v>92</v>
      </c>
      <c r="W49">
        <v>1</v>
      </c>
    </row>
    <row r="50" spans="4:23" x14ac:dyDescent="0.55000000000000004">
      <c r="D50" t="s">
        <v>94</v>
      </c>
      <c r="E50" s="1">
        <f>SUM(T29)</f>
        <v>268.61</v>
      </c>
      <c r="J50" t="s">
        <v>94</v>
      </c>
      <c r="K50">
        <v>0</v>
      </c>
      <c r="V50" t="s">
        <v>9</v>
      </c>
      <c r="W50">
        <v>2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2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SUM(J29)</f>
        <v>0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2</v>
      </c>
      <c r="V53" t="s">
        <v>98</v>
      </c>
      <c r="W53">
        <v>1</v>
      </c>
    </row>
    <row r="54" spans="4:23" x14ac:dyDescent="0.55000000000000004">
      <c r="D54" t="s">
        <v>98</v>
      </c>
      <c r="E54" s="1">
        <f>SUM(N29)</f>
        <v>0</v>
      </c>
      <c r="J54" t="s">
        <v>98</v>
      </c>
      <c r="K54">
        <v>2</v>
      </c>
      <c r="V54" t="s">
        <v>97</v>
      </c>
      <c r="W54">
        <v>5</v>
      </c>
    </row>
    <row r="55" spans="4:23" x14ac:dyDescent="0.55000000000000004">
      <c r="D55" t="s">
        <v>89</v>
      </c>
      <c r="E55" s="1">
        <f>SUM(X29)</f>
        <v>66.25</v>
      </c>
      <c r="J55" t="s">
        <v>89</v>
      </c>
      <c r="K55">
        <v>0</v>
      </c>
      <c r="V55" t="s">
        <v>94</v>
      </c>
      <c r="W55">
        <v>0</v>
      </c>
    </row>
    <row r="56" spans="4:23" x14ac:dyDescent="0.55000000000000004">
      <c r="D56" t="s">
        <v>96</v>
      </c>
      <c r="E56" s="1">
        <f>SUM(Z29)</f>
        <v>184.78</v>
      </c>
      <c r="J56" t="s">
        <v>96</v>
      </c>
      <c r="K56">
        <v>0</v>
      </c>
      <c r="V56" t="s">
        <v>118</v>
      </c>
      <c r="W56">
        <v>1</v>
      </c>
    </row>
    <row r="57" spans="4:23" x14ac:dyDescent="0.55000000000000004">
      <c r="D57" t="s">
        <v>118</v>
      </c>
      <c r="E57" s="1">
        <f>SUM(H29)</f>
        <v>0</v>
      </c>
      <c r="J57" t="s">
        <v>118</v>
      </c>
      <c r="K57">
        <v>0</v>
      </c>
      <c r="V57" t="s">
        <v>119</v>
      </c>
      <c r="W57">
        <v>0</v>
      </c>
    </row>
    <row r="58" spans="4:23" x14ac:dyDescent="0.55000000000000004">
      <c r="D58" t="s">
        <v>119</v>
      </c>
      <c r="E58" s="1">
        <f>SUM(D29)</f>
        <v>80</v>
      </c>
      <c r="J58" t="s">
        <v>119</v>
      </c>
      <c r="K58">
        <v>2</v>
      </c>
      <c r="V58" t="s">
        <v>99</v>
      </c>
      <c r="W58">
        <f>SUM(W46:W57)</f>
        <v>24</v>
      </c>
    </row>
    <row r="59" spans="4:23" x14ac:dyDescent="0.55000000000000004">
      <c r="D59" t="s">
        <v>9</v>
      </c>
      <c r="E59" s="1">
        <f>SUM(P29)</f>
        <v>231.26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SUM(E48:E59)</f>
        <v>830.9</v>
      </c>
      <c r="J60" t="s">
        <v>99</v>
      </c>
      <c r="K60">
        <f>SUM(K48:K59)</f>
        <v>15</v>
      </c>
    </row>
  </sheetData>
  <mergeCells count="21">
    <mergeCell ref="AA2:AB2"/>
    <mergeCell ref="AC2:AD2"/>
    <mergeCell ref="C2:D2"/>
    <mergeCell ref="E2:F2"/>
    <mergeCell ref="G2:H2"/>
    <mergeCell ref="I2:J2"/>
    <mergeCell ref="K2:L2"/>
    <mergeCell ref="M2:N2"/>
    <mergeCell ref="G32:H32"/>
    <mergeCell ref="I32:J32"/>
    <mergeCell ref="I33:J33"/>
    <mergeCell ref="I38:J38"/>
    <mergeCell ref="O2:P2"/>
    <mergeCell ref="W1:X1"/>
    <mergeCell ref="W2:X2"/>
    <mergeCell ref="Y2:Z2"/>
    <mergeCell ref="F31:H31"/>
    <mergeCell ref="I31:J31"/>
    <mergeCell ref="Q2:R2"/>
    <mergeCell ref="S2:T2"/>
    <mergeCell ref="U2:V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F25"/>
  <sheetViews>
    <sheetView workbookViewId="0">
      <selection activeCell="C23" sqref="C23"/>
    </sheetView>
  </sheetViews>
  <sheetFormatPr defaultRowHeight="14.4" x14ac:dyDescent="0.55000000000000004"/>
  <cols>
    <col min="1" max="1" width="10" customWidth="1"/>
    <col min="2" max="2" width="13.26171875" customWidth="1"/>
    <col min="3" max="3" width="20.41796875" customWidth="1"/>
    <col min="4" max="4" width="39.26171875" customWidth="1"/>
  </cols>
  <sheetData>
    <row r="1" spans="1:6" x14ac:dyDescent="0.55000000000000004">
      <c r="A1" t="s">
        <v>120</v>
      </c>
      <c r="B1" t="s">
        <v>121</v>
      </c>
      <c r="C1" t="s">
        <v>122</v>
      </c>
      <c r="D1" t="s">
        <v>123</v>
      </c>
      <c r="E1" t="s">
        <v>92</v>
      </c>
      <c r="F1">
        <f>IF(COUNTIF(A:A, E1)=0, "", SUMIF(A:A, E1, C:C))</f>
        <v>19.2</v>
      </c>
    </row>
    <row r="2" spans="1:6" x14ac:dyDescent="0.55000000000000004">
      <c r="A2" t="s">
        <v>97</v>
      </c>
      <c r="B2" t="s">
        <v>124</v>
      </c>
      <c r="C2" s="59">
        <v>376.63</v>
      </c>
      <c r="D2" t="s">
        <v>125</v>
      </c>
      <c r="E2" t="s">
        <v>12</v>
      </c>
      <c r="F2">
        <f t="shared" ref="F2:F12" si="0">IF(COUNTIF(A:A, E2)=0, "", SUMIF(A:A, E2, C:C))</f>
        <v>240.13</v>
      </c>
    </row>
    <row r="3" spans="1:6" x14ac:dyDescent="0.55000000000000004">
      <c r="A3" t="s">
        <v>93</v>
      </c>
      <c r="B3" t="s">
        <v>124</v>
      </c>
      <c r="C3" s="59">
        <v>236.2</v>
      </c>
      <c r="D3" t="s">
        <v>126</v>
      </c>
      <c r="E3" t="s">
        <v>94</v>
      </c>
      <c r="F3" t="str">
        <f t="shared" si="0"/>
        <v/>
      </c>
    </row>
    <row r="4" spans="1:6" x14ac:dyDescent="0.55000000000000004">
      <c r="A4" t="s">
        <v>97</v>
      </c>
      <c r="B4" s="60">
        <v>5</v>
      </c>
      <c r="C4" s="59">
        <v>375.45</v>
      </c>
      <c r="D4" t="s">
        <v>127</v>
      </c>
      <c r="E4" t="s">
        <v>95</v>
      </c>
      <c r="F4">
        <f t="shared" si="0"/>
        <v>60</v>
      </c>
    </row>
    <row r="5" spans="1:6" x14ac:dyDescent="0.55000000000000004">
      <c r="A5" t="s">
        <v>96</v>
      </c>
      <c r="B5" s="59">
        <v>7.5</v>
      </c>
      <c r="C5" s="59">
        <v>82.5</v>
      </c>
      <c r="D5" t="s">
        <v>128</v>
      </c>
      <c r="E5" t="s">
        <v>93</v>
      </c>
      <c r="F5">
        <f t="shared" si="0"/>
        <v>315.87</v>
      </c>
    </row>
    <row r="6" spans="1:6" x14ac:dyDescent="0.55000000000000004">
      <c r="A6" t="s">
        <v>12</v>
      </c>
      <c r="B6" s="59">
        <v>7.5</v>
      </c>
      <c r="C6" s="59">
        <v>163.13</v>
      </c>
      <c r="D6" t="s">
        <v>129</v>
      </c>
      <c r="E6" t="s">
        <v>97</v>
      </c>
      <c r="F6">
        <f t="shared" si="0"/>
        <v>1207.08</v>
      </c>
    </row>
    <row r="7" spans="1:6" x14ac:dyDescent="0.55000000000000004">
      <c r="A7" t="s">
        <v>89</v>
      </c>
      <c r="B7" s="60">
        <v>5</v>
      </c>
      <c r="C7" s="60">
        <v>70</v>
      </c>
      <c r="D7" t="s">
        <v>130</v>
      </c>
      <c r="E7" t="s">
        <v>98</v>
      </c>
      <c r="F7">
        <f t="shared" si="0"/>
        <v>188.88</v>
      </c>
    </row>
    <row r="8" spans="1:6" x14ac:dyDescent="0.55000000000000004">
      <c r="A8" t="s">
        <v>89</v>
      </c>
      <c r="B8" s="60">
        <v>5</v>
      </c>
      <c r="C8" s="60">
        <v>110</v>
      </c>
      <c r="D8" t="s">
        <v>131</v>
      </c>
      <c r="E8" t="s">
        <v>89</v>
      </c>
      <c r="F8">
        <f t="shared" si="0"/>
        <v>326.25</v>
      </c>
    </row>
    <row r="9" spans="1:6" x14ac:dyDescent="0.55000000000000004">
      <c r="A9" t="s">
        <v>12</v>
      </c>
      <c r="B9" s="60">
        <v>10</v>
      </c>
      <c r="C9" s="60">
        <v>77</v>
      </c>
      <c r="D9" t="s">
        <v>132</v>
      </c>
      <c r="E9" t="s">
        <v>96</v>
      </c>
      <c r="F9">
        <f t="shared" si="0"/>
        <v>208.8</v>
      </c>
    </row>
    <row r="10" spans="1:6" x14ac:dyDescent="0.55000000000000004">
      <c r="A10" t="s">
        <v>97</v>
      </c>
      <c r="B10" s="60">
        <v>5</v>
      </c>
      <c r="C10" s="60">
        <v>125</v>
      </c>
      <c r="D10" t="s">
        <v>133</v>
      </c>
      <c r="E10" t="s">
        <v>118</v>
      </c>
      <c r="F10">
        <f t="shared" si="0"/>
        <v>411.75</v>
      </c>
    </row>
    <row r="11" spans="1:6" x14ac:dyDescent="0.55000000000000004">
      <c r="A11" t="s">
        <v>97</v>
      </c>
      <c r="B11" s="60">
        <v>10</v>
      </c>
      <c r="C11" s="60">
        <v>150</v>
      </c>
      <c r="D11" t="s">
        <v>134</v>
      </c>
      <c r="E11" t="s">
        <v>119</v>
      </c>
      <c r="F11" t="str">
        <f t="shared" si="0"/>
        <v/>
      </c>
    </row>
    <row r="12" spans="1:6" x14ac:dyDescent="0.55000000000000004">
      <c r="A12" t="s">
        <v>89</v>
      </c>
      <c r="B12" s="60">
        <v>5</v>
      </c>
      <c r="C12" s="59">
        <v>72.5</v>
      </c>
      <c r="D12" t="s">
        <v>135</v>
      </c>
      <c r="E12" t="s">
        <v>9</v>
      </c>
      <c r="F12">
        <f t="shared" si="0"/>
        <v>159.37</v>
      </c>
    </row>
    <row r="13" spans="1:6" x14ac:dyDescent="0.55000000000000004">
      <c r="A13" t="s">
        <v>96</v>
      </c>
      <c r="B13" s="59">
        <v>2.5</v>
      </c>
      <c r="C13" s="59">
        <v>46.3</v>
      </c>
      <c r="D13" t="s">
        <v>136</v>
      </c>
      <c r="F13" s="61">
        <f>SUM(F1:F12)</f>
        <v>3137.33</v>
      </c>
    </row>
    <row r="14" spans="1:6" x14ac:dyDescent="0.55000000000000004">
      <c r="A14" t="s">
        <v>89</v>
      </c>
      <c r="B14" s="60">
        <v>5</v>
      </c>
      <c r="C14" s="60">
        <v>30</v>
      </c>
      <c r="D14" t="s">
        <v>137</v>
      </c>
    </row>
    <row r="15" spans="1:6" x14ac:dyDescent="0.55000000000000004">
      <c r="A15" t="s">
        <v>96</v>
      </c>
      <c r="B15" s="60">
        <v>5</v>
      </c>
      <c r="C15" s="60">
        <v>60</v>
      </c>
      <c r="D15" t="s">
        <v>138</v>
      </c>
    </row>
    <row r="16" spans="1:6" x14ac:dyDescent="0.55000000000000004">
      <c r="A16" t="s">
        <v>118</v>
      </c>
      <c r="B16" s="60">
        <v>25</v>
      </c>
      <c r="C16" s="59">
        <v>411.75</v>
      </c>
      <c r="D16" t="s">
        <v>139</v>
      </c>
    </row>
    <row r="17" spans="1:4" x14ac:dyDescent="0.55000000000000004">
      <c r="A17" t="s">
        <v>93</v>
      </c>
      <c r="B17" s="60">
        <v>5</v>
      </c>
      <c r="C17" s="59">
        <v>79.67</v>
      </c>
      <c r="D17" t="s">
        <v>140</v>
      </c>
    </row>
    <row r="18" spans="1:4" x14ac:dyDescent="0.55000000000000004">
      <c r="A18" t="s">
        <v>95</v>
      </c>
      <c r="B18" s="60">
        <v>5</v>
      </c>
      <c r="C18" s="60">
        <v>60</v>
      </c>
      <c r="D18" t="s">
        <v>141</v>
      </c>
    </row>
    <row r="19" spans="1:4" x14ac:dyDescent="0.55000000000000004">
      <c r="A19" t="s">
        <v>9</v>
      </c>
      <c r="B19" s="60">
        <v>5</v>
      </c>
      <c r="C19" s="60">
        <v>140</v>
      </c>
      <c r="D19" t="s">
        <v>142</v>
      </c>
    </row>
    <row r="20" spans="1:4" x14ac:dyDescent="0.55000000000000004">
      <c r="A20" t="s">
        <v>96</v>
      </c>
      <c r="B20" s="60">
        <v>5</v>
      </c>
      <c r="C20" s="60">
        <v>20</v>
      </c>
      <c r="D20" t="s">
        <v>143</v>
      </c>
    </row>
    <row r="21" spans="1:4" x14ac:dyDescent="0.55000000000000004">
      <c r="A21" t="s">
        <v>89</v>
      </c>
      <c r="B21" s="60">
        <v>5</v>
      </c>
      <c r="C21" s="59">
        <v>43.75</v>
      </c>
      <c r="D21" t="s">
        <v>144</v>
      </c>
    </row>
    <row r="22" spans="1:4" x14ac:dyDescent="0.55000000000000004">
      <c r="A22" t="s">
        <v>92</v>
      </c>
      <c r="B22" s="60">
        <v>5</v>
      </c>
      <c r="C22" s="59">
        <v>19.2</v>
      </c>
      <c r="D22" t="s">
        <v>145</v>
      </c>
    </row>
    <row r="23" spans="1:4" x14ac:dyDescent="0.55000000000000004">
      <c r="A23" t="s">
        <v>9</v>
      </c>
      <c r="B23" t="s">
        <v>148</v>
      </c>
      <c r="C23" s="59">
        <v>19.37</v>
      </c>
      <c r="D23" t="s">
        <v>149</v>
      </c>
    </row>
    <row r="24" spans="1:4" x14ac:dyDescent="0.55000000000000004">
      <c r="A24" t="s">
        <v>98</v>
      </c>
      <c r="B24" s="60">
        <v>20</v>
      </c>
      <c r="C24" s="59">
        <v>188.88</v>
      </c>
      <c r="D24" t="s">
        <v>150</v>
      </c>
    </row>
    <row r="25" spans="1:4" x14ac:dyDescent="0.55000000000000004">
      <c r="A25" t="s">
        <v>97</v>
      </c>
      <c r="B25" s="60">
        <v>5</v>
      </c>
      <c r="C25" s="60">
        <v>180</v>
      </c>
      <c r="D25" t="s">
        <v>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D7A62A-0CB5-48B0-A73A-0A91BCC8EAEF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3e1ffae5-f160-4019-9720-1b11bf1b81a3"/>
    <ds:schemaRef ds:uri="http://schemas.microsoft.com/office/infopath/2007/PartnerControls"/>
    <ds:schemaRef ds:uri="http://schemas.openxmlformats.org/package/2006/metadata/core-properties"/>
    <ds:schemaRef ds:uri="21753bd8-bffc-4cd2-a328-982ee854c89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2025-05-15T03:01:10Z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