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9B1A2B4C-3913-49C3-AF13-D5D0746782B0}" xr6:coauthVersionLast="47" xr6:coauthVersionMax="47" xr10:uidLastSave="{00000000-0000-0000-0000-000000000000}"/>
  <bookViews>
    <workbookView xWindow="-96" yWindow="-96" windowWidth="23232" windowHeight="13872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8" i="10" l="1"/>
  <c r="AD28" i="10"/>
  <c r="AF28" i="10" s="1"/>
  <c r="AC29" i="10"/>
  <c r="AD29" i="10"/>
  <c r="G4" i="11"/>
  <c r="G5" i="11"/>
  <c r="G6" i="11"/>
  <c r="G7" i="11"/>
  <c r="G8" i="11"/>
  <c r="G9" i="11"/>
  <c r="G10" i="11"/>
  <c r="G11" i="11"/>
  <c r="G12" i="11"/>
  <c r="G3" i="11"/>
  <c r="G2" i="11"/>
  <c r="G1" i="11"/>
  <c r="E24" i="10"/>
  <c r="C21" i="10"/>
  <c r="G21" i="10"/>
  <c r="I21" i="10"/>
  <c r="E18" i="10"/>
  <c r="F2" i="11"/>
  <c r="F3" i="11"/>
  <c r="F4" i="11"/>
  <c r="F5" i="11"/>
  <c r="F6" i="11"/>
  <c r="F7" i="11"/>
  <c r="F8" i="11"/>
  <c r="F9" i="11"/>
  <c r="F10" i="11"/>
  <c r="F11" i="11"/>
  <c r="F12" i="11"/>
  <c r="F1" i="11"/>
  <c r="F13" i="11" s="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4" i="10"/>
  <c r="AC5" i="10"/>
  <c r="Z5" i="10"/>
  <c r="AD5" i="10" s="1"/>
  <c r="W59" i="10"/>
  <c r="Z30" i="10"/>
  <c r="E57" i="10" s="1"/>
  <c r="Y30" i="10"/>
  <c r="AA30" i="10"/>
  <c r="AB30" i="10"/>
  <c r="X30" i="10"/>
  <c r="E56" i="10" s="1"/>
  <c r="W30" i="10"/>
  <c r="K61" i="10"/>
  <c r="Y35" i="10"/>
  <c r="Y34" i="10"/>
  <c r="V30" i="10"/>
  <c r="U30" i="10"/>
  <c r="T30" i="10"/>
  <c r="R30" i="10"/>
  <c r="Q30" i="10"/>
  <c r="AI14" i="10" s="1"/>
  <c r="P30" i="10"/>
  <c r="AJ15" i="10" s="1"/>
  <c r="O30" i="10"/>
  <c r="AI15" i="10" s="1"/>
  <c r="N30" i="10"/>
  <c r="M30" i="10"/>
  <c r="L30" i="10"/>
  <c r="E50" i="10" s="1"/>
  <c r="K30" i="10"/>
  <c r="AI8" i="10" s="1"/>
  <c r="J30" i="10"/>
  <c r="AJ11" i="10" s="1"/>
  <c r="I30" i="10"/>
  <c r="AI11" i="10" s="1"/>
  <c r="H30" i="10"/>
  <c r="AJ18" i="10" s="1"/>
  <c r="F30" i="10"/>
  <c r="E30" i="10"/>
  <c r="AI7" i="10" s="1"/>
  <c r="D30" i="10"/>
  <c r="AJ17" i="10" s="1"/>
  <c r="C30" i="10"/>
  <c r="S30" i="10"/>
  <c r="O35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F29" i="10" l="1"/>
  <c r="AI10" i="10"/>
  <c r="AI17" i="10"/>
  <c r="P35" i="10"/>
  <c r="E51" i="10"/>
  <c r="E53" i="10"/>
  <c r="I33" i="10"/>
  <c r="E55" i="10"/>
  <c r="J35" i="10"/>
  <c r="AI9" i="10"/>
  <c r="I35" i="10"/>
  <c r="E58" i="10"/>
  <c r="E59" i="10"/>
  <c r="AJ8" i="10"/>
  <c r="AL8" i="10" s="1"/>
  <c r="X31" i="10"/>
  <c r="Z31" i="10"/>
  <c r="D31" i="10"/>
  <c r="AJ10" i="10"/>
  <c r="AK10" i="10" s="1"/>
  <c r="F31" i="10"/>
  <c r="R31" i="10"/>
  <c r="AJ14" i="10"/>
  <c r="AL14" i="10" s="1"/>
  <c r="P43" i="10"/>
  <c r="AD30" i="10"/>
  <c r="J31" i="10"/>
  <c r="L31" i="10"/>
  <c r="AJ16" i="10"/>
  <c r="E54" i="10"/>
  <c r="AJ7" i="10"/>
  <c r="AL7" i="10" s="1"/>
  <c r="P31" i="10"/>
  <c r="E60" i="10"/>
  <c r="AJ13" i="10"/>
  <c r="AI13" i="10"/>
  <c r="AK13" i="10" s="1"/>
  <c r="O43" i="10"/>
  <c r="AK15" i="10"/>
  <c r="AL11" i="10"/>
  <c r="AK11" i="10"/>
  <c r="AL15" i="10"/>
  <c r="N31" i="10"/>
  <c r="AK8" i="10"/>
  <c r="AC30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E28" i="10" s="1"/>
  <c r="AI12" i="10"/>
  <c r="E49" i="10"/>
  <c r="AF4" i="10"/>
  <c r="AJ12" i="10"/>
  <c r="T31" i="10"/>
  <c r="V31" i="10"/>
  <c r="E52" i="10"/>
  <c r="AJ9" i="10"/>
  <c r="G30" i="10"/>
  <c r="D43" i="10"/>
  <c r="D35" i="10"/>
  <c r="I43" i="10"/>
  <c r="J43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G28" i="10" l="1"/>
  <c r="AE29" i="10"/>
  <c r="AG29" i="10" s="1"/>
  <c r="C35" i="10"/>
  <c r="AI18" i="10"/>
  <c r="AK17" i="10"/>
  <c r="AL17" i="10"/>
  <c r="AL10" i="10"/>
  <c r="I32" i="10"/>
  <c r="I34" i="10" s="1"/>
  <c r="I39" i="10" s="1"/>
  <c r="P44" i="10"/>
  <c r="AK14" i="10"/>
  <c r="J44" i="10"/>
  <c r="C43" i="10"/>
  <c r="D44" i="10" s="1"/>
  <c r="AL13" i="10"/>
  <c r="J36" i="10"/>
  <c r="AK7" i="10"/>
  <c r="K35" i="10"/>
  <c r="H31" i="10"/>
  <c r="AI16" i="10"/>
  <c r="P36" i="10"/>
  <c r="Q35" i="10"/>
  <c r="AL9" i="10"/>
  <c r="AK9" i="10"/>
  <c r="AL12" i="10"/>
  <c r="AK12" i="10"/>
  <c r="AF5" i="10"/>
  <c r="AG4" i="10"/>
  <c r="E35" i="10"/>
  <c r="D36" i="10"/>
  <c r="E61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<sst xmlns="http://schemas.openxmlformats.org/spreadsheetml/2006/main" count="787" uniqueCount="180">
  <si>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</si>
  <si>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</si>
  <si>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</si>
  <si>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</si>
  <si>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</si>
  <si>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</si>
  <si>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</si>
  <si>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</si>
  <si>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</si>
  <si>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</si>
  <si>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</si>
  <si>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</si>
  <si>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</si>
  <si>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</si>
  <si>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</si>
  <si>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</si>
  <si>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</si>
  <si>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</si>
  <si>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</si>
  <si>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</si>
  <si>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</si>
  <si>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</si>
  <si>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</si>
  <si>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</si>
  <si>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</si>
  <si>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</si>
  <si>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</si>
  <si>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</si>
  <si>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</si>
  <si>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</si>
  <si>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</si>
  <si>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</si>
  <si>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</si>
  <si>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</si>
  <si>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</si>
  <si>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</si>
  <si>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</si>
  <si>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</si>
  <si>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</si>
  <si>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</si>
  <si>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</si>
  <si>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</si>
  <si>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</si>
  <si>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</si>
  <si>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</si>
  <si>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</si>
  <si>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</si>
  <si>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</si>
  <si>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</si>
  <si>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</si>
  <si>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</si>
  <si>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</si>
  <si>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</si>
  <si>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</si>
  <si>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</si>
  <si>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</si>
  <si>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</si>
  <si>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</si>
  <si>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</si>
  <si>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</si>
  <si>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</si>
  <si>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</si>
  <si>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</si>
  <si>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</si>
  <si>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</si>
  <si>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</si>
  <si>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</si>
  <si>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</si>
  <si>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</si>
  <si>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</si>
  <si>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</si>
  <si>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</si>
  <si>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</si>
  <si>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</si>
  <si>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</si>
  <si>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</si>
  <si>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</si>
  <si>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</si>
  <si>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</si>
  <si>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</si>
  <si>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</si>
  <si>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</si>
  <si>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</si>
  <si>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</si>
  <si>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</si>
  <si>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</si>
  <si>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</si>
  <si>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</si>
  <si>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</si>
  <si>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</si>
  <si>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</si>
  <si>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</si>
  <si>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</si>
  <si>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</si>
  <si>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</si>
  <si>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</si>
  <si>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</si>
  <si>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</si>
  <si>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</si>
  <si>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</si>
  <si>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</si>
  <si>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</si>
  <si>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</si>
  <si>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</si>
  <si>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</si>
  <si>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</si>
  <si>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</si>
  <si>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</si>
  <si>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</si>
  <si>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</si>
  <si>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</si>
  <si>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</si>
  <si>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</si>
  <si>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</si>
  <si>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</si>
  <si>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</si>
  <si>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</si>
  <si>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</si>
  <si>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25 August 2025</t>
  </si>
  <si>
    <t>Strikes for 2025 Season at 31 July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</si>
  <si>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</si>
  <si>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</si>
  <si>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</si>
  <si>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</si>
  <si>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</si>
  <si>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</si>
  <si>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</si>
  <si>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</si>
  <si>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</si>
  <si>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</si>
  <si>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</si>
  <si>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</si>
  <si>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</si>
  <si>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</si>
  <si>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</si>
  <si>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</si>
  <si>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</si>
  <si>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</si>
  <si>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</si>
  <si>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</si>
  <si>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</si>
  <si>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</si>
  <si>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</si>
  <si>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Switkowski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</si>
  <si>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</si>
  <si>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</si>
  <si>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</si>
  <si>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</si>
  <si>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</si>
  <si>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</si>
  <si>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</si>
  <si>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</si>
  <si>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</si>
  <si>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</si>
  <si>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</si>
  <si>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</si>
  <si>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Darcy Fogarty 1/3 goals</t>
  </si>
  <si>
    <t>Julius Randle 5/19 points</t>
  </si>
  <si>
    <t>Total over uner 174, total was 162</t>
  </si>
  <si>
    <t>Tommy Talau 1/2 tries scored</t>
  </si>
  <si>
    <t>Cronulla Sharks lost to NZ Warriors</t>
  </si>
  <si>
    <t>Josh Kelly 17/20 disposals</t>
  </si>
  <si>
    <t>Nick Daicos 19/25 disposals</t>
  </si>
  <si>
    <t>$7.50 bonus</t>
  </si>
  <si>
    <t>Bowey 21 of 22 disposals</t>
  </si>
  <si>
    <t>Cody Brundage KO/TKO???</t>
  </si>
  <si>
    <t>Max gawn 14/15 touches</t>
  </si>
  <si>
    <t>Caleb Serong most disposals</t>
  </si>
  <si>
    <t>Petracca 23/24 disposals</t>
  </si>
  <si>
    <t>MucCluggage 18/25.5 disposals</t>
  </si>
  <si>
    <t>Herbie Farnworth anytime try scorer</t>
  </si>
  <si>
    <t>GWS Essendon over 171.5, total 160</t>
  </si>
  <si>
    <t>O'Driscoll 8/15 touches (stinky docker)</t>
  </si>
  <si>
    <t>Daniel Tuner 9/10 touches</t>
  </si>
  <si>
    <t>Dogs to won 1-39</t>
  </si>
  <si>
    <t>Kozzie Pickett 2+ goals</t>
  </si>
  <si>
    <t>Collingwood to kick 2+ goals every quarter</t>
  </si>
  <si>
    <t>Tom Sparrow 8/10 disposals</t>
  </si>
  <si>
    <t>Jeremy Cameron anytime second half</t>
  </si>
  <si>
    <t>Naughton 2/3 goals vs Dorkers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</si>
</sst>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1"/>
  <sheetViews>
    <sheetView tabSelected="1" workbookViewId="0">
      <selection activeCell="X28" sqref="X2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83984375" customWidth="1"/>
    <col min="6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7" si="2">U6+S6+Q6+O6+M6+K6+I6+G6+E6+C6+W6+Y6</f>
        <v>95</v>
      </c>
      <c r="AD6" s="35">
        <f t="shared" ref="AD6:AD27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+E30+'Punters 2023'!AE7</f>
        <v>1223</v>
      </c>
      <c r="AJ7" s="44">
        <f>+F30+'Punters 2023'!AF7</f>
        <v>534</v>
      </c>
      <c r="AK7" s="49">
        <f>+AJ7-AI7</f>
        <v>-689</v>
      </c>
      <c r="AL7" s="47">
        <f>(AJ7-AI7)/AI7</f>
        <v>-0.56336876533115288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+K30+'Punters 2023'!AE8</f>
        <v>1388</v>
      </c>
      <c r="AJ8" s="44">
        <f>+L30+'Punters 2023'!AF8</f>
        <v>1019.77</v>
      </c>
      <c r="AK8" s="50">
        <f t="shared" ref="AK8:AK16" si="5">+AJ8-AI8</f>
        <v>-368.23</v>
      </c>
      <c r="AL8" s="47">
        <f t="shared" ref="AL8:AL16" si="6">(AJ8-AI8)/AI8</f>
        <v>-0.26529538904899136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+M30+'Punters 2023'!AE9</f>
        <v>1356.48</v>
      </c>
      <c r="AJ9" s="44">
        <f>N30+'Punters 2023'!AF9</f>
        <v>1029.4000000000001</v>
      </c>
      <c r="AK9" s="50">
        <f t="shared" si="5"/>
        <v>-327.07999999999993</v>
      </c>
      <c r="AL9" s="47">
        <f t="shared" si="6"/>
        <v>-0.24112408586930875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+C30+'Punters 2023'!AE10</f>
        <v>1364.9</v>
      </c>
      <c r="AJ10" s="44">
        <f>+D30+'Punters 2023'!AF10</f>
        <v>1641.4499999999998</v>
      </c>
      <c r="AK10" s="50">
        <f t="shared" si="5"/>
        <v>276.54999999999973</v>
      </c>
      <c r="AL10" s="45">
        <f t="shared" si="6"/>
        <v>0.20261557623269083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+I30+'Punters 2023'!AE11</f>
        <v>1093</v>
      </c>
      <c r="AJ11" s="44">
        <f>+J30+'Punters 2023'!AF11</f>
        <v>241.6</v>
      </c>
      <c r="AK11" s="49">
        <f t="shared" si="5"/>
        <v>-851.4</v>
      </c>
      <c r="AL11" s="47">
        <f t="shared" si="6"/>
        <v>-0.77895699908508687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+U30+'Punters 2023'!AE12</f>
        <v>1394.96</v>
      </c>
      <c r="AJ12" s="44">
        <f>+V30+'Punters 2023'!AF12</f>
        <v>844.40999999999985</v>
      </c>
      <c r="AK12" s="49">
        <f t="shared" si="5"/>
        <v>-550.55000000000018</v>
      </c>
      <c r="AL12" s="47">
        <f t="shared" si="6"/>
        <v>-0.39467081493376166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+S30+'Punters 2023'!AE13</f>
        <v>1346.3400000000001</v>
      </c>
      <c r="AJ13" s="44">
        <f>+T30+'Punters 2023'!AF13</f>
        <v>766.69</v>
      </c>
      <c r="AK13" s="49">
        <f t="shared" si="5"/>
        <v>-579.65000000000009</v>
      </c>
      <c r="AL13" s="47">
        <f t="shared" si="6"/>
        <v>-0.43053760565681776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+Q30+'Punters 2023'!AE14</f>
        <v>1348</v>
      </c>
      <c r="AJ14" s="44">
        <f>+R30+'Punters 2023'!AF14</f>
        <v>772.12</v>
      </c>
      <c r="AK14" s="49">
        <f t="shared" si="5"/>
        <v>-575.88</v>
      </c>
      <c r="AL14" s="47">
        <f t="shared" si="6"/>
        <v>-0.42721068249258159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+O30+'Punters 2023'!AE15</f>
        <v>1357.7</v>
      </c>
      <c r="AJ15" s="44">
        <f>+P30+'Punters 2023'!AF15</f>
        <v>2054.85</v>
      </c>
      <c r="AK15" s="50">
        <f t="shared" si="5"/>
        <v>697.14999999999986</v>
      </c>
      <c r="AL15" s="45">
        <f t="shared" si="6"/>
        <v>0.51347867717463347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10</v>
      </c>
      <c r="N16" s="16">
        <v>0</v>
      </c>
      <c r="O16" s="17">
        <v>25</v>
      </c>
      <c r="P16" s="16">
        <v>0</v>
      </c>
      <c r="Q16" s="17">
        <v>25</v>
      </c>
      <c r="R16" s="16">
        <v>0</v>
      </c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85</v>
      </c>
      <c r="AD16" s="35">
        <f t="shared" si="3"/>
        <v>0</v>
      </c>
      <c r="AE16" s="1">
        <f t="shared" si="4"/>
        <v>1385</v>
      </c>
      <c r="AF16" s="1">
        <f t="shared" si="4"/>
        <v>1014.25</v>
      </c>
      <c r="AG16" s="1">
        <f t="shared" si="1"/>
        <v>-370.75</v>
      </c>
      <c r="AH16" s="44" t="s">
        <v>80</v>
      </c>
      <c r="AI16" s="44">
        <f>+G30+'Punters 2023'!AE16</f>
        <v>658</v>
      </c>
      <c r="AJ16" s="44">
        <f>+H30+'Punters 2023'!AF16</f>
        <v>151.25</v>
      </c>
      <c r="AK16" s="49">
        <f t="shared" si="5"/>
        <v>-506.75</v>
      </c>
      <c r="AL16" s="47">
        <f t="shared" si="6"/>
        <v>-0.77013677811550152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>
        <v>15</v>
      </c>
      <c r="N17" s="16">
        <v>0</v>
      </c>
      <c r="O17" s="17"/>
      <c r="P17" s="16"/>
      <c r="Q17" s="17"/>
      <c r="R17" s="16"/>
      <c r="S17" s="17">
        <v>25</v>
      </c>
      <c r="T17" s="16">
        <v>0</v>
      </c>
      <c r="U17" s="15">
        <v>25</v>
      </c>
      <c r="V17" s="20">
        <v>0</v>
      </c>
      <c r="W17" s="15">
        <v>25</v>
      </c>
      <c r="X17" s="20">
        <v>0</v>
      </c>
      <c r="Y17" s="15">
        <v>25</v>
      </c>
      <c r="Z17" s="20">
        <v>0</v>
      </c>
      <c r="AA17" s="15"/>
      <c r="AB17" s="20"/>
      <c r="AC17" s="17">
        <f t="shared" si="2"/>
        <v>115</v>
      </c>
      <c r="AD17" s="35">
        <f t="shared" si="3"/>
        <v>0</v>
      </c>
      <c r="AE17" s="1">
        <f t="shared" si="4"/>
        <v>1500</v>
      </c>
      <c r="AF17" s="1">
        <f t="shared" si="4"/>
        <v>1014.25</v>
      </c>
      <c r="AG17" s="1">
        <f t="shared" si="1"/>
        <v>-485.75</v>
      </c>
      <c r="AH17" s="44" t="s">
        <v>116</v>
      </c>
      <c r="AI17" s="44">
        <f>+C30</f>
        <v>225</v>
      </c>
      <c r="AJ17" s="44">
        <f>+D30</f>
        <v>125</v>
      </c>
      <c r="AK17" s="49">
        <f t="shared" ref="AK17:AK18" si="7">+AJ17-AI17</f>
        <v>-100</v>
      </c>
      <c r="AL17" s="47">
        <f t="shared" ref="AL17:AL18" si="8">(AJ17-AI17)/AI17</f>
        <v>-0.44444444444444442</v>
      </c>
    </row>
    <row r="18" spans="2:38" x14ac:dyDescent="0.55000000000000004">
      <c r="B18" s="52" t="s">
        <v>46</v>
      </c>
      <c r="C18" s="15">
        <v>25</v>
      </c>
      <c r="D18" s="16">
        <v>0</v>
      </c>
      <c r="E18" s="17">
        <f>5+5+5+10</f>
        <v>25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100</v>
      </c>
      <c r="AD18" s="35">
        <f t="shared" si="3"/>
        <v>0</v>
      </c>
      <c r="AE18" s="1">
        <f t="shared" si="4"/>
        <v>1600</v>
      </c>
      <c r="AF18" s="1">
        <f t="shared" si="4"/>
        <v>1014.25</v>
      </c>
      <c r="AG18" s="1">
        <f t="shared" si="1"/>
        <v>-585.75</v>
      </c>
      <c r="AH18" s="44" t="s">
        <v>117</v>
      </c>
      <c r="AI18" s="44">
        <f>+G30</f>
        <v>231</v>
      </c>
      <c r="AJ18" s="44">
        <f>+H30</f>
        <v>0</v>
      </c>
      <c r="AK18" s="49">
        <f t="shared" si="7"/>
        <v>-231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17.5</v>
      </c>
      <c r="L19" s="16">
        <v>0</v>
      </c>
      <c r="M19" s="17">
        <v>25</v>
      </c>
      <c r="N19" s="16">
        <v>0</v>
      </c>
      <c r="O19" s="17">
        <v>20</v>
      </c>
      <c r="P19" s="16">
        <v>0</v>
      </c>
      <c r="Q19" s="17">
        <v>25</v>
      </c>
      <c r="R19" s="16">
        <v>0</v>
      </c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87.5</v>
      </c>
      <c r="AD19" s="35">
        <f t="shared" si="3"/>
        <v>0</v>
      </c>
      <c r="AE19" s="1">
        <f t="shared" si="4"/>
        <v>1687.5</v>
      </c>
      <c r="AF19" s="1">
        <f t="shared" si="4"/>
        <v>1014.25</v>
      </c>
      <c r="AG19" s="1">
        <f t="shared" si="1"/>
        <v>-673.25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>
        <v>7.5</v>
      </c>
      <c r="L20" s="16">
        <v>0</v>
      </c>
      <c r="M20" s="17"/>
      <c r="N20" s="16"/>
      <c r="O20" s="17">
        <v>5</v>
      </c>
      <c r="P20" s="16">
        <v>0</v>
      </c>
      <c r="Q20" s="17"/>
      <c r="R20" s="16"/>
      <c r="S20" s="17">
        <v>25</v>
      </c>
      <c r="T20" s="16">
        <v>0</v>
      </c>
      <c r="U20" s="15">
        <v>25</v>
      </c>
      <c r="V20" s="20">
        <v>0</v>
      </c>
      <c r="W20" s="15">
        <v>25</v>
      </c>
      <c r="X20" s="20">
        <v>0</v>
      </c>
      <c r="Y20" s="15">
        <v>25</v>
      </c>
      <c r="Z20" s="20">
        <v>0</v>
      </c>
      <c r="AA20" s="15"/>
      <c r="AB20" s="20"/>
      <c r="AC20" s="17">
        <f t="shared" si="2"/>
        <v>112.5</v>
      </c>
      <c r="AD20" s="35">
        <f t="shared" si="3"/>
        <v>0</v>
      </c>
      <c r="AE20" s="1">
        <f t="shared" si="4"/>
        <v>1800</v>
      </c>
      <c r="AF20" s="1">
        <f t="shared" si="4"/>
        <v>1014.25</v>
      </c>
      <c r="AG20" s="1">
        <f t="shared" si="1"/>
        <v>-785.75</v>
      </c>
      <c r="AH20" s="1"/>
    </row>
    <row r="21" spans="2:38" ht="14.7" thickBot="1" x14ac:dyDescent="0.6">
      <c r="B21" s="52" t="s">
        <v>49</v>
      </c>
      <c r="C21" s="15">
        <f>6+5+4.5+4.5</f>
        <v>20</v>
      </c>
      <c r="D21" s="16">
        <v>45</v>
      </c>
      <c r="E21" s="17">
        <v>15</v>
      </c>
      <c r="F21" s="16">
        <v>0</v>
      </c>
      <c r="G21" s="17">
        <f>10+1+5+10</f>
        <v>26</v>
      </c>
      <c r="H21" s="16">
        <v>0</v>
      </c>
      <c r="I21" s="17">
        <f>5+5+5</f>
        <v>15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76</v>
      </c>
      <c r="AD21" s="35">
        <f t="shared" si="3"/>
        <v>45</v>
      </c>
      <c r="AE21" s="1">
        <f t="shared" si="4"/>
        <v>1876</v>
      </c>
      <c r="AF21" s="1">
        <f t="shared" si="4"/>
        <v>1059.25</v>
      </c>
      <c r="AG21" s="1">
        <f t="shared" si="1"/>
        <v>-816.75</v>
      </c>
      <c r="AH21" s="1"/>
    </row>
    <row r="22" spans="2:38" x14ac:dyDescent="0.55000000000000004">
      <c r="B22" s="51" t="s">
        <v>50</v>
      </c>
      <c r="C22" s="15">
        <v>5</v>
      </c>
      <c r="D22" s="16">
        <v>0</v>
      </c>
      <c r="E22" s="17"/>
      <c r="F22" s="16"/>
      <c r="G22" s="17"/>
      <c r="H22" s="16"/>
      <c r="I22" s="17">
        <v>10</v>
      </c>
      <c r="J22" s="16">
        <v>0</v>
      </c>
      <c r="K22" s="17">
        <v>17.5</v>
      </c>
      <c r="L22" s="16">
        <v>0</v>
      </c>
      <c r="M22" s="17"/>
      <c r="N22" s="16"/>
      <c r="O22" s="17">
        <v>25</v>
      </c>
      <c r="P22" s="16">
        <v>0</v>
      </c>
      <c r="Q22" s="17">
        <v>25</v>
      </c>
      <c r="R22" s="16">
        <v>0</v>
      </c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82.5</v>
      </c>
      <c r="AD22" s="35">
        <f t="shared" si="3"/>
        <v>0</v>
      </c>
      <c r="AE22" s="1">
        <f t="shared" ref="AE22:AF27" si="9">AE21+AC22</f>
        <v>1958.5</v>
      </c>
      <c r="AF22" s="1">
        <f t="shared" si="9"/>
        <v>1059.25</v>
      </c>
      <c r="AG22" s="1">
        <f t="shared" si="1"/>
        <v>-899.25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>
        <v>7.5</v>
      </c>
      <c r="L23" s="16">
        <v>0</v>
      </c>
      <c r="M23" s="17">
        <v>20</v>
      </c>
      <c r="N23" s="16">
        <v>0</v>
      </c>
      <c r="O23" s="17"/>
      <c r="P23" s="16"/>
      <c r="Q23" s="17"/>
      <c r="R23" s="16"/>
      <c r="S23" s="17">
        <v>25</v>
      </c>
      <c r="T23" s="16">
        <v>0</v>
      </c>
      <c r="U23" s="15">
        <v>25</v>
      </c>
      <c r="V23" s="20">
        <v>0</v>
      </c>
      <c r="W23" s="15">
        <v>25</v>
      </c>
      <c r="X23" s="20">
        <v>69.83</v>
      </c>
      <c r="Y23" s="15">
        <v>27</v>
      </c>
      <c r="Z23" s="20">
        <v>0</v>
      </c>
      <c r="AA23" s="15"/>
      <c r="AB23" s="20"/>
      <c r="AC23" s="17">
        <f t="shared" si="2"/>
        <v>129.5</v>
      </c>
      <c r="AD23" s="35">
        <f t="shared" si="3"/>
        <v>69.83</v>
      </c>
      <c r="AE23" s="1">
        <f t="shared" si="9"/>
        <v>2088</v>
      </c>
      <c r="AF23" s="1">
        <f t="shared" si="9"/>
        <v>1129.08</v>
      </c>
      <c r="AG23" s="1">
        <f t="shared" si="1"/>
        <v>-958.92000000000007</v>
      </c>
      <c r="AH23" s="1"/>
    </row>
    <row r="24" spans="2:38" x14ac:dyDescent="0.55000000000000004">
      <c r="B24" s="52" t="s">
        <v>60</v>
      </c>
      <c r="C24" s="15">
        <v>25</v>
      </c>
      <c r="D24" s="16">
        <v>0</v>
      </c>
      <c r="E24" s="17">
        <f>10+25-5</f>
        <v>30</v>
      </c>
      <c r="F24" s="16">
        <v>0</v>
      </c>
      <c r="G24" s="17">
        <v>30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110</v>
      </c>
      <c r="AD24" s="35">
        <f t="shared" si="3"/>
        <v>0</v>
      </c>
      <c r="AE24" s="1">
        <f t="shared" si="9"/>
        <v>2198</v>
      </c>
      <c r="AF24" s="1">
        <f t="shared" si="9"/>
        <v>1129.08</v>
      </c>
      <c r="AG24" s="1">
        <f t="shared" si="1"/>
        <v>-1068.92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362.5</v>
      </c>
      <c r="Q25" s="17">
        <v>25</v>
      </c>
      <c r="R25" s="16">
        <v>134.65</v>
      </c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100</v>
      </c>
      <c r="AD25" s="35">
        <f t="shared" si="3"/>
        <v>497.15</v>
      </c>
      <c r="AE25" s="1">
        <f t="shared" si="9"/>
        <v>2298</v>
      </c>
      <c r="AF25" s="1">
        <f t="shared" si="9"/>
        <v>1626.23</v>
      </c>
      <c r="AG25" s="1">
        <f t="shared" si="1"/>
        <v>-671.77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>
        <v>25</v>
      </c>
      <c r="T26" s="16">
        <v>0</v>
      </c>
      <c r="U26" s="15">
        <v>25</v>
      </c>
      <c r="V26" s="20">
        <v>0</v>
      </c>
      <c r="W26" s="15">
        <v>25</v>
      </c>
      <c r="X26" s="20">
        <v>0</v>
      </c>
      <c r="Y26" s="15">
        <v>25</v>
      </c>
      <c r="Z26" s="20">
        <v>0</v>
      </c>
      <c r="AA26" s="15"/>
      <c r="AB26" s="20"/>
      <c r="AC26" s="17">
        <f t="shared" si="2"/>
        <v>100</v>
      </c>
      <c r="AD26" s="35">
        <f t="shared" si="3"/>
        <v>0</v>
      </c>
      <c r="AE26" s="1">
        <f t="shared" si="9"/>
        <v>2398</v>
      </c>
      <c r="AF26" s="1">
        <f t="shared" si="9"/>
        <v>1626.23</v>
      </c>
      <c r="AG26" s="1">
        <f t="shared" si="1"/>
        <v>-771.77</v>
      </c>
      <c r="AH26" s="1"/>
    </row>
    <row r="27" spans="2:38" x14ac:dyDescent="0.55000000000000004">
      <c r="B27" s="30" t="s">
        <v>63</v>
      </c>
      <c r="C27" s="15">
        <v>20</v>
      </c>
      <c r="D27" s="16">
        <v>0</v>
      </c>
      <c r="E27" s="17">
        <v>25</v>
      </c>
      <c r="F27" s="16">
        <v>0</v>
      </c>
      <c r="G27" s="17">
        <v>25</v>
      </c>
      <c r="H27" s="16">
        <v>0</v>
      </c>
      <c r="I27" s="17">
        <v>20</v>
      </c>
      <c r="J27" s="16">
        <v>0</v>
      </c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90</v>
      </c>
      <c r="AD27" s="35">
        <f t="shared" si="3"/>
        <v>0</v>
      </c>
      <c r="AE27" s="1">
        <f t="shared" si="9"/>
        <v>2488</v>
      </c>
      <c r="AF27" s="1">
        <f t="shared" si="9"/>
        <v>1626.23</v>
      </c>
      <c r="AG27" s="1">
        <f t="shared" si="1"/>
        <v>-861.77</v>
      </c>
      <c r="AH27" s="1"/>
    </row>
    <row r="28" spans="2:38" x14ac:dyDescent="0.55000000000000004">
      <c r="B28" s="30" t="s">
        <v>84</v>
      </c>
      <c r="C28" s="15">
        <v>5</v>
      </c>
      <c r="D28" s="16">
        <v>0</v>
      </c>
      <c r="E28" s="17"/>
      <c r="F28" s="16"/>
      <c r="G28" s="17"/>
      <c r="H28" s="16"/>
      <c r="I28" s="17">
        <v>5</v>
      </c>
      <c r="J28" s="16">
        <v>0</v>
      </c>
      <c r="K28" s="17">
        <v>25</v>
      </c>
      <c r="L28" s="16">
        <v>0</v>
      </c>
      <c r="M28" s="17">
        <v>25</v>
      </c>
      <c r="N28" s="16">
        <v>68</v>
      </c>
      <c r="O28" s="17">
        <v>25</v>
      </c>
      <c r="P28" s="16">
        <v>0</v>
      </c>
      <c r="Q28" s="17">
        <v>25</v>
      </c>
      <c r="R28" s="16">
        <v>0</v>
      </c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ref="AC28:AC29" si="10">U28+S28+Q28+O28+M28+K28+I28+G28+E28+C28+W28+Y28</f>
        <v>110</v>
      </c>
      <c r="AD28" s="35">
        <f t="shared" ref="AD28:AD29" si="11">V28+T28+R28+P28+N28+L28+J28+H28+F28+D28+X28+Z28</f>
        <v>68</v>
      </c>
      <c r="AE28" s="1">
        <f t="shared" ref="AE28:AE29" si="12">AE27+AC28</f>
        <v>2598</v>
      </c>
      <c r="AF28" s="1">
        <f t="shared" ref="AF28:AF29" si="13">AF27+AD28</f>
        <v>1694.23</v>
      </c>
      <c r="AG28" s="1">
        <f t="shared" ref="AG28:AG29" si="14">AF28-AE28</f>
        <v>-903.77</v>
      </c>
      <c r="AH28" s="1"/>
    </row>
    <row r="29" spans="2:38" x14ac:dyDescent="0.55000000000000004">
      <c r="B29" s="30" t="s">
        <v>51</v>
      </c>
      <c r="C29" s="15"/>
      <c r="D29" s="16"/>
      <c r="E29" s="17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>
        <v>25</v>
      </c>
      <c r="T29" s="16">
        <v>0</v>
      </c>
      <c r="U29" s="15">
        <v>0</v>
      </c>
      <c r="V29" s="20">
        <v>0</v>
      </c>
      <c r="W29" s="15">
        <v>0</v>
      </c>
      <c r="X29" s="20">
        <v>0</v>
      </c>
      <c r="Y29" s="15">
        <v>25</v>
      </c>
      <c r="Z29" s="20">
        <v>0</v>
      </c>
      <c r="AA29" s="15"/>
      <c r="AB29" s="20"/>
      <c r="AC29" s="17">
        <f t="shared" si="10"/>
        <v>50</v>
      </c>
      <c r="AD29" s="35">
        <f t="shared" si="11"/>
        <v>0</v>
      </c>
      <c r="AE29" s="1">
        <f t="shared" si="12"/>
        <v>2648</v>
      </c>
      <c r="AF29" s="1">
        <f t="shared" si="13"/>
        <v>1694.23</v>
      </c>
      <c r="AG29" s="1">
        <f t="shared" si="14"/>
        <v>-953.77</v>
      </c>
      <c r="AH29" s="1"/>
    </row>
    <row r="30" spans="2:38" ht="14.7" thickBot="1" x14ac:dyDescent="0.6">
      <c r="B30" s="11" t="s">
        <v>55</v>
      </c>
      <c r="C30" s="18">
        <f t="shared" ref="C30:AD30" si="15">SUM(C4:C29)</f>
        <v>225</v>
      </c>
      <c r="D30" s="18">
        <f t="shared" si="15"/>
        <v>125</v>
      </c>
      <c r="E30" s="18">
        <f t="shared" si="15"/>
        <v>220</v>
      </c>
      <c r="F30" s="18">
        <f t="shared" si="15"/>
        <v>0</v>
      </c>
      <c r="G30" s="18">
        <f t="shared" si="15"/>
        <v>231</v>
      </c>
      <c r="H30" s="18">
        <f t="shared" si="15"/>
        <v>0</v>
      </c>
      <c r="I30" s="18">
        <f t="shared" si="15"/>
        <v>225</v>
      </c>
      <c r="J30" s="18">
        <f t="shared" si="15"/>
        <v>183.35</v>
      </c>
      <c r="K30" s="18">
        <f t="shared" si="15"/>
        <v>225</v>
      </c>
      <c r="L30" s="18">
        <f t="shared" si="15"/>
        <v>0</v>
      </c>
      <c r="M30" s="18">
        <f t="shared" si="15"/>
        <v>220</v>
      </c>
      <c r="N30" s="18">
        <f t="shared" si="15"/>
        <v>68</v>
      </c>
      <c r="O30" s="18">
        <f t="shared" si="15"/>
        <v>225</v>
      </c>
      <c r="P30" s="18">
        <f t="shared" si="15"/>
        <v>593.76</v>
      </c>
      <c r="Q30" s="18">
        <f t="shared" si="15"/>
        <v>225</v>
      </c>
      <c r="R30" s="18">
        <f t="shared" si="15"/>
        <v>134.65</v>
      </c>
      <c r="S30" s="18">
        <f t="shared" si="15"/>
        <v>225</v>
      </c>
      <c r="T30" s="18">
        <f>SUM(T4:T29)</f>
        <v>268.61</v>
      </c>
      <c r="U30" s="18">
        <f t="shared" si="15"/>
        <v>200</v>
      </c>
      <c r="V30" s="21">
        <f t="shared" si="15"/>
        <v>0</v>
      </c>
      <c r="W30" s="18">
        <f t="shared" ref="W30:X30" si="16">SUM(W4:W29)</f>
        <v>200</v>
      </c>
      <c r="X30" s="21">
        <f t="shared" si="16"/>
        <v>136.07999999999998</v>
      </c>
      <c r="Y30" s="18">
        <f t="shared" ref="Y30:Z30" si="17">SUM(Y4:Y29)</f>
        <v>227</v>
      </c>
      <c r="Z30" s="21">
        <f t="shared" si="17"/>
        <v>184.78</v>
      </c>
      <c r="AA30" s="18">
        <f t="shared" si="15"/>
        <v>0</v>
      </c>
      <c r="AB30" s="21">
        <f t="shared" si="15"/>
        <v>0</v>
      </c>
      <c r="AC30" s="29">
        <f t="shared" si="15"/>
        <v>2648</v>
      </c>
      <c r="AD30" s="18">
        <f t="shared" si="15"/>
        <v>1694.23</v>
      </c>
      <c r="AE30" s="1"/>
    </row>
    <row r="31" spans="2:38" x14ac:dyDescent="0.55000000000000004">
      <c r="D31" s="56">
        <f>(D30-C30)/C30</f>
        <v>-0.44444444444444442</v>
      </c>
      <c r="F31" s="34">
        <f>(F30-E30)/E30</f>
        <v>-1</v>
      </c>
      <c r="H31" s="34">
        <f>(H30-G30)/G30</f>
        <v>-1</v>
      </c>
      <c r="J31" s="34">
        <f>(J30-I30)/I30</f>
        <v>-0.18511111111111114</v>
      </c>
      <c r="L31" s="28">
        <f>(L30-K30)/K30</f>
        <v>-1</v>
      </c>
      <c r="N31" s="28">
        <f>(N30-M30)/M30</f>
        <v>-0.69090909090909092</v>
      </c>
      <c r="P31" s="28">
        <f>(P30-O30)/O30</f>
        <v>1.6389333333333334</v>
      </c>
      <c r="R31" s="28">
        <f>(R30-Q30)/Q30</f>
        <v>-0.40155555555555555</v>
      </c>
      <c r="T31" s="22">
        <f>(T30-S30)/S30</f>
        <v>0.19382222222222228</v>
      </c>
      <c r="V31" s="28">
        <f>(V30-U30)/U30</f>
        <v>-1</v>
      </c>
      <c r="X31" s="28">
        <f>(X30-W30)/W30</f>
        <v>-0.31960000000000011</v>
      </c>
      <c r="Z31" s="28">
        <f>(Z30-Y30)/Y30</f>
        <v>-0.18599118942731277</v>
      </c>
    </row>
    <row r="32" spans="2:38" x14ac:dyDescent="0.55000000000000004">
      <c r="F32" s="64" t="s">
        <v>56</v>
      </c>
      <c r="G32" s="65"/>
      <c r="H32" s="66"/>
      <c r="I32" s="62">
        <f>C30+E30+G30+I30+K30+M30+O30+Q30+S30+U30+AA30+W30+Y30</f>
        <v>2648</v>
      </c>
      <c r="J32" s="63"/>
    </row>
    <row r="33" spans="3:25" x14ac:dyDescent="0.55000000000000004">
      <c r="G33" s="70" t="s">
        <v>57</v>
      </c>
      <c r="H33" s="70"/>
      <c r="I33" s="62">
        <f>+D30+F30+H30+J30+L30+N30+P30+R30+T30+V30+AB30+X30+Z30</f>
        <v>1694.2299999999998</v>
      </c>
      <c r="J33" s="63"/>
    </row>
    <row r="34" spans="3:25" x14ac:dyDescent="0.55000000000000004">
      <c r="I34" s="62">
        <f>I33-I32</f>
        <v>-953.77000000000021</v>
      </c>
      <c r="J34" s="63"/>
      <c r="Y34">
        <f>2167+183+5*10</f>
        <v>2400</v>
      </c>
    </row>
    <row r="35" spans="3:25" x14ac:dyDescent="0.55000000000000004">
      <c r="C35" s="36">
        <f>C30+E30+G30+I30</f>
        <v>901</v>
      </c>
      <c r="D35" s="36">
        <f>D30+F30+H30+J30</f>
        <v>308.35000000000002</v>
      </c>
      <c r="E35" s="37">
        <f>D35-C35</f>
        <v>-592.65</v>
      </c>
      <c r="I35" s="38">
        <f>O30+K30+M30+Q30</f>
        <v>895</v>
      </c>
      <c r="J35" s="38">
        <f>P30+L30+N30</f>
        <v>661.76</v>
      </c>
      <c r="K35" s="39">
        <f>J35-I35</f>
        <v>-233.24</v>
      </c>
      <c r="O35" s="40">
        <f>U30+W30+Y30+S30</f>
        <v>852</v>
      </c>
      <c r="P35" s="40">
        <f>V30+X30+T30+Z30</f>
        <v>589.47</v>
      </c>
      <c r="Q35" s="41">
        <f>P35-O35</f>
        <v>-262.52999999999997</v>
      </c>
      <c r="X35" s="55"/>
      <c r="Y35">
        <f>15*10</f>
        <v>150</v>
      </c>
    </row>
    <row r="36" spans="3:25" x14ac:dyDescent="0.55000000000000004">
      <c r="C36" s="36"/>
      <c r="D36" s="34">
        <f>(D35-C35)/C35</f>
        <v>-0.65776914539400666</v>
      </c>
      <c r="E36" s="37"/>
      <c r="I36" s="38"/>
      <c r="J36" s="34">
        <f>(J35-I35)/I35</f>
        <v>-0.26060335195530726</v>
      </c>
      <c r="K36" s="39"/>
      <c r="O36" s="40"/>
      <c r="P36" s="34">
        <f>(P35-O35)/O35</f>
        <v>-0.30813380281690139</v>
      </c>
      <c r="Q36" s="41"/>
      <c r="X36" s="55"/>
    </row>
    <row r="37" spans="3:25" x14ac:dyDescent="0.55000000000000004">
      <c r="G37" t="s">
        <v>58</v>
      </c>
      <c r="I37">
        <v>2400.0500000000002</v>
      </c>
    </row>
    <row r="39" spans="3:25" x14ac:dyDescent="0.55000000000000004">
      <c r="G39" s="42" t="s">
        <v>64</v>
      </c>
      <c r="H39" s="42"/>
      <c r="I39" s="72">
        <f>I37+I34</f>
        <v>1446.28</v>
      </c>
      <c r="J39" s="72"/>
      <c r="M39" s="33"/>
    </row>
    <row r="41" spans="3:25" x14ac:dyDescent="0.55000000000000004">
      <c r="X41" s="55"/>
    </row>
    <row r="43" spans="3:25" x14ac:dyDescent="0.55000000000000004">
      <c r="C43" s="1">
        <f>C30+E30+G30+I30</f>
        <v>901</v>
      </c>
      <c r="D43" s="1">
        <f>D30+F30+H30+J30</f>
        <v>308.35000000000002</v>
      </c>
      <c r="I43" s="1">
        <f>O30+K30+M30</f>
        <v>670</v>
      </c>
      <c r="J43" s="1">
        <f>P30+L30+N30</f>
        <v>661.76</v>
      </c>
      <c r="O43" s="1">
        <f>U30+Q30+S30</f>
        <v>650</v>
      </c>
      <c r="P43" s="1">
        <f>V30+R30+T30</f>
        <v>403.26</v>
      </c>
    </row>
    <row r="44" spans="3:25" x14ac:dyDescent="0.55000000000000004">
      <c r="D44" s="1">
        <f>D43-C43</f>
        <v>-592.65</v>
      </c>
      <c r="J44" s="33">
        <f>J43-I43</f>
        <v>-8.2400000000000091</v>
      </c>
      <c r="P44" s="33">
        <f>P43-O43</f>
        <v>-246.74</v>
      </c>
    </row>
    <row r="46" spans="3:25" x14ac:dyDescent="0.55000000000000004">
      <c r="V46" t="s">
        <v>118</v>
      </c>
    </row>
    <row r="47" spans="3:25" x14ac:dyDescent="0.55000000000000004">
      <c r="D47" t="s">
        <v>88</v>
      </c>
      <c r="J47" t="s">
        <v>119</v>
      </c>
      <c r="V47" t="s">
        <v>89</v>
      </c>
      <c r="W47">
        <v>9</v>
      </c>
    </row>
    <row r="48" spans="3:25" x14ac:dyDescent="0.55000000000000004">
      <c r="D48" t="s">
        <v>90</v>
      </c>
      <c r="E48" t="s">
        <v>91</v>
      </c>
      <c r="J48" t="s">
        <v>90</v>
      </c>
      <c r="K48" t="s">
        <v>112</v>
      </c>
      <c r="V48" t="s">
        <v>12</v>
      </c>
      <c r="W48">
        <v>6</v>
      </c>
    </row>
    <row r="49" spans="4:23" x14ac:dyDescent="0.55000000000000004">
      <c r="D49" t="s">
        <v>92</v>
      </c>
      <c r="E49" s="1">
        <f>SUM(V30)</f>
        <v>0</v>
      </c>
      <c r="J49" t="s">
        <v>92</v>
      </c>
      <c r="K49">
        <v>4</v>
      </c>
      <c r="V49" t="s">
        <v>93</v>
      </c>
      <c r="W49">
        <v>7</v>
      </c>
    </row>
    <row r="50" spans="4:23" x14ac:dyDescent="0.55000000000000004">
      <c r="D50" t="s">
        <v>12</v>
      </c>
      <c r="E50" s="1">
        <f>SUM(L30)</f>
        <v>0</v>
      </c>
      <c r="J50" t="s">
        <v>12</v>
      </c>
      <c r="K50">
        <v>1</v>
      </c>
      <c r="V50" t="s">
        <v>92</v>
      </c>
      <c r="W50">
        <v>2</v>
      </c>
    </row>
    <row r="51" spans="4:23" x14ac:dyDescent="0.55000000000000004">
      <c r="D51" t="s">
        <v>94</v>
      </c>
      <c r="E51" s="1">
        <f>SUM(T30)</f>
        <v>268.61</v>
      </c>
      <c r="J51" t="s">
        <v>94</v>
      </c>
      <c r="K51">
        <v>1</v>
      </c>
      <c r="V51" t="s">
        <v>9</v>
      </c>
      <c r="W51">
        <v>4</v>
      </c>
    </row>
    <row r="52" spans="4:23" x14ac:dyDescent="0.55000000000000004">
      <c r="D52" t="s">
        <v>95</v>
      </c>
      <c r="E52" s="1">
        <f>SUM(F30)</f>
        <v>0</v>
      </c>
      <c r="J52" t="s">
        <v>95</v>
      </c>
      <c r="K52">
        <v>3</v>
      </c>
      <c r="V52" t="s">
        <v>11</v>
      </c>
      <c r="W52">
        <v>2</v>
      </c>
    </row>
    <row r="53" spans="4:23" x14ac:dyDescent="0.55000000000000004">
      <c r="D53" t="s">
        <v>93</v>
      </c>
      <c r="E53" s="1">
        <f>SUM(J30)</f>
        <v>183.35</v>
      </c>
      <c r="J53" t="s">
        <v>93</v>
      </c>
      <c r="K53">
        <v>3</v>
      </c>
      <c r="V53" t="s">
        <v>96</v>
      </c>
      <c r="W53">
        <v>4</v>
      </c>
    </row>
    <row r="54" spans="4:23" x14ac:dyDescent="0.55000000000000004">
      <c r="D54" t="s">
        <v>97</v>
      </c>
      <c r="E54" s="1">
        <f>SUM(R30)</f>
        <v>134.65</v>
      </c>
      <c r="J54" t="s">
        <v>97</v>
      </c>
      <c r="K54">
        <v>4</v>
      </c>
      <c r="V54" t="s">
        <v>98</v>
      </c>
      <c r="W54">
        <v>2</v>
      </c>
    </row>
    <row r="55" spans="4:23" x14ac:dyDescent="0.55000000000000004">
      <c r="D55" t="s">
        <v>98</v>
      </c>
      <c r="E55" s="1">
        <f>SUM(N30)</f>
        <v>68</v>
      </c>
      <c r="J55" t="s">
        <v>98</v>
      </c>
      <c r="K55">
        <v>2</v>
      </c>
      <c r="V55" t="s">
        <v>97</v>
      </c>
      <c r="W55">
        <v>6</v>
      </c>
    </row>
    <row r="56" spans="4:23" x14ac:dyDescent="0.55000000000000004">
      <c r="D56" t="s">
        <v>89</v>
      </c>
      <c r="E56" s="1">
        <f>SUM(X30)</f>
        <v>136.07999999999998</v>
      </c>
      <c r="J56" t="s">
        <v>89</v>
      </c>
      <c r="K56">
        <v>0</v>
      </c>
      <c r="V56" t="s">
        <v>94</v>
      </c>
      <c r="W56">
        <v>5</v>
      </c>
    </row>
    <row r="57" spans="4:23" x14ac:dyDescent="0.55000000000000004">
      <c r="D57" t="s">
        <v>96</v>
      </c>
      <c r="E57" s="1">
        <f>SUM(Z30)</f>
        <v>184.78</v>
      </c>
      <c r="J57" t="s">
        <v>96</v>
      </c>
      <c r="K57">
        <v>1</v>
      </c>
      <c r="V57" t="s">
        <v>120</v>
      </c>
      <c r="W57">
        <v>3</v>
      </c>
    </row>
    <row r="58" spans="4:23" x14ac:dyDescent="0.55000000000000004">
      <c r="D58" t="s">
        <v>120</v>
      </c>
      <c r="E58" s="1">
        <f>SUM(H30)</f>
        <v>0</v>
      </c>
      <c r="J58" t="s">
        <v>120</v>
      </c>
      <c r="K58">
        <v>2</v>
      </c>
      <c r="V58" t="s">
        <v>121</v>
      </c>
      <c r="W58">
        <v>1</v>
      </c>
    </row>
    <row r="59" spans="4:23" x14ac:dyDescent="0.55000000000000004">
      <c r="D59" t="s">
        <v>121</v>
      </c>
      <c r="E59" s="1">
        <f>SUM(D30)</f>
        <v>125</v>
      </c>
      <c r="J59" t="s">
        <v>121</v>
      </c>
      <c r="K59">
        <v>2</v>
      </c>
      <c r="V59" t="s">
        <v>99</v>
      </c>
      <c r="W59">
        <f>SUM(W47:W58)</f>
        <v>51</v>
      </c>
    </row>
    <row r="60" spans="4:23" x14ac:dyDescent="0.55000000000000004">
      <c r="D60" t="s">
        <v>9</v>
      </c>
      <c r="E60" s="1">
        <f>SUM(P30)</f>
        <v>593.76</v>
      </c>
      <c r="J60" t="s">
        <v>9</v>
      </c>
      <c r="K60">
        <v>0</v>
      </c>
    </row>
    <row r="61" spans="4:23" x14ac:dyDescent="0.55000000000000004">
      <c r="D61" t="s">
        <v>99</v>
      </c>
      <c r="E61" s="1">
        <f>SUM(E49:E60)</f>
        <v>1694.23</v>
      </c>
      <c r="J61" t="s">
        <v>99</v>
      </c>
      <c r="K61">
        <f>SUM(K49:K60)</f>
        <v>23</v>
      </c>
    </row>
  </sheetData>
  <mergeCells count="21">
    <mergeCell ref="W1:X1"/>
    <mergeCell ref="W2:X2"/>
    <mergeCell ref="Y2:Z2"/>
    <mergeCell ref="F32:H32"/>
    <mergeCell ref="I32:J32"/>
    <mergeCell ref="Q2:R2"/>
    <mergeCell ref="S2:T2"/>
    <mergeCell ref="U2:V2"/>
    <mergeCell ref="G33:H33"/>
    <mergeCell ref="I33:J33"/>
    <mergeCell ref="I34:J34"/>
    <mergeCell ref="I39:J39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G52"/>
  <sheetViews>
    <sheetView workbookViewId="0">
      <selection activeCell="D53" sqref="D53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7" x14ac:dyDescent="0.55000000000000004">
      <c r="A1" t="s">
        <v>122</v>
      </c>
      <c r="B1" t="s">
        <v>123</v>
      </c>
      <c r="C1" t="s">
        <v>124</v>
      </c>
      <c r="D1" t="s">
        <v>125</v>
      </c>
      <c r="E1" t="s">
        <v>92</v>
      </c>
      <c r="F1">
        <f>IF(COUNTIF(A:A, E1)=0, "", SUMIF(A:A, E1, C:C))</f>
        <v>123.2</v>
      </c>
      <c r="G1">
        <f>COUNTIF(A1:A80, E1)</f>
        <v>2</v>
      </c>
    </row>
    <row r="2" spans="1:7" x14ac:dyDescent="0.55000000000000004">
      <c r="A2" t="s">
        <v>97</v>
      </c>
      <c r="B2" t="s">
        <v>126</v>
      </c>
      <c r="C2" s="59">
        <v>376.63</v>
      </c>
      <c r="D2" t="s">
        <v>127</v>
      </c>
      <c r="E2" t="s">
        <v>12</v>
      </c>
      <c r="F2">
        <f t="shared" ref="F2:F12" si="0">IF(COUNTIF(A:A, E2)=0, "", SUMIF(A:A, E2, C:C))</f>
        <v>826.38</v>
      </c>
      <c r="G2">
        <f>COUNTIF(A1:A80, E2)</f>
        <v>7</v>
      </c>
    </row>
    <row r="3" spans="1:7" x14ac:dyDescent="0.55000000000000004">
      <c r="A3" t="s">
        <v>93</v>
      </c>
      <c r="B3" t="s">
        <v>126</v>
      </c>
      <c r="C3" s="59">
        <v>236.2</v>
      </c>
      <c r="D3" t="s">
        <v>128</v>
      </c>
      <c r="E3" t="s">
        <v>94</v>
      </c>
      <c r="F3">
        <f t="shared" si="0"/>
        <v>612.5</v>
      </c>
      <c r="G3">
        <f>COUNTIF(A1:A80, E3)</f>
        <v>5</v>
      </c>
    </row>
    <row r="4" spans="1:7" x14ac:dyDescent="0.55000000000000004">
      <c r="A4" t="s">
        <v>97</v>
      </c>
      <c r="B4" s="60">
        <v>5</v>
      </c>
      <c r="C4" s="59">
        <v>375.45</v>
      </c>
      <c r="D4" t="s">
        <v>129</v>
      </c>
      <c r="E4" t="s">
        <v>95</v>
      </c>
      <c r="F4">
        <f t="shared" si="0"/>
        <v>60</v>
      </c>
      <c r="G4">
        <f t="shared" ref="G4" si="1">COUNTIF(A4:A83, E4)</f>
        <v>1</v>
      </c>
    </row>
    <row r="5" spans="1:7" x14ac:dyDescent="0.55000000000000004">
      <c r="A5" t="s">
        <v>96</v>
      </c>
      <c r="B5" s="59">
        <v>7.5</v>
      </c>
      <c r="C5" s="59">
        <v>82.5</v>
      </c>
      <c r="D5" t="s">
        <v>130</v>
      </c>
      <c r="E5" t="s">
        <v>93</v>
      </c>
      <c r="F5">
        <f t="shared" si="0"/>
        <v>743.04</v>
      </c>
      <c r="G5">
        <f t="shared" ref="G5" si="2">COUNTIF(A4:A83, E5)</f>
        <v>5</v>
      </c>
    </row>
    <row r="6" spans="1:7" x14ac:dyDescent="0.55000000000000004">
      <c r="A6" t="s">
        <v>12</v>
      </c>
      <c r="B6" s="59">
        <v>7.5</v>
      </c>
      <c r="C6" s="59">
        <v>163.13</v>
      </c>
      <c r="D6" t="s">
        <v>131</v>
      </c>
      <c r="E6" t="s">
        <v>97</v>
      </c>
      <c r="F6">
        <f t="shared" si="0"/>
        <v>1325.98</v>
      </c>
      <c r="G6">
        <f t="shared" ref="G6" si="3">COUNTIF(A4:A83, E6)</f>
        <v>5</v>
      </c>
    </row>
    <row r="7" spans="1:7" x14ac:dyDescent="0.55000000000000004">
      <c r="A7" t="s">
        <v>89</v>
      </c>
      <c r="B7" s="60">
        <v>5</v>
      </c>
      <c r="C7" s="60">
        <v>70</v>
      </c>
      <c r="D7" t="s">
        <v>132</v>
      </c>
      <c r="E7" t="s">
        <v>98</v>
      </c>
      <c r="F7">
        <f t="shared" si="0"/>
        <v>311.38</v>
      </c>
      <c r="G7">
        <f t="shared" ref="G7" si="4">COUNTIF(A7:A86, E7)</f>
        <v>2</v>
      </c>
    </row>
    <row r="8" spans="1:7" x14ac:dyDescent="0.55000000000000004">
      <c r="A8" t="s">
        <v>89</v>
      </c>
      <c r="B8" s="60">
        <v>5</v>
      </c>
      <c r="C8" s="60">
        <v>110</v>
      </c>
      <c r="D8" t="s">
        <v>133</v>
      </c>
      <c r="E8" t="s">
        <v>89</v>
      </c>
      <c r="F8">
        <f t="shared" si="0"/>
        <v>661.05</v>
      </c>
      <c r="G8">
        <f t="shared" ref="G8" si="5">COUNTIF(A7:A86, E8)</f>
        <v>9</v>
      </c>
    </row>
    <row r="9" spans="1:7" x14ac:dyDescent="0.55000000000000004">
      <c r="A9" t="s">
        <v>12</v>
      </c>
      <c r="B9" s="60">
        <v>10</v>
      </c>
      <c r="C9" s="60">
        <v>77</v>
      </c>
      <c r="D9" t="s">
        <v>134</v>
      </c>
      <c r="E9" t="s">
        <v>96</v>
      </c>
      <c r="F9">
        <f t="shared" si="0"/>
        <v>208.8</v>
      </c>
      <c r="G9">
        <f t="shared" ref="G9" si="6">COUNTIF(A7:A86, E9)</f>
        <v>3</v>
      </c>
    </row>
    <row r="10" spans="1:7" x14ac:dyDescent="0.55000000000000004">
      <c r="A10" t="s">
        <v>97</v>
      </c>
      <c r="B10" s="60">
        <v>5</v>
      </c>
      <c r="C10" s="60">
        <v>125</v>
      </c>
      <c r="D10" t="s">
        <v>135</v>
      </c>
      <c r="E10" t="s">
        <v>120</v>
      </c>
      <c r="F10">
        <f t="shared" si="0"/>
        <v>1134.25</v>
      </c>
      <c r="G10">
        <f t="shared" ref="G10" si="7">COUNTIF(A10:A89, E10)</f>
        <v>3</v>
      </c>
    </row>
    <row r="11" spans="1:7" x14ac:dyDescent="0.55000000000000004">
      <c r="A11" t="s">
        <v>97</v>
      </c>
      <c r="B11" s="60">
        <v>10</v>
      </c>
      <c r="C11" s="60">
        <v>150</v>
      </c>
      <c r="D11" t="s">
        <v>136</v>
      </c>
      <c r="E11" t="s">
        <v>121</v>
      </c>
      <c r="F11">
        <f t="shared" si="0"/>
        <v>700</v>
      </c>
      <c r="G11">
        <f t="shared" ref="G11" si="8">COUNTIF(A10:A89, E11)</f>
        <v>1</v>
      </c>
    </row>
    <row r="12" spans="1:7" x14ac:dyDescent="0.55000000000000004">
      <c r="A12" t="s">
        <v>89</v>
      </c>
      <c r="B12" s="60">
        <v>5</v>
      </c>
      <c r="C12" s="59">
        <v>72.5</v>
      </c>
      <c r="D12" t="s">
        <v>137</v>
      </c>
      <c r="E12" t="s">
        <v>9</v>
      </c>
      <c r="F12">
        <f t="shared" si="0"/>
        <v>421.87</v>
      </c>
      <c r="G12">
        <f t="shared" ref="G12" si="9">COUNTIF(A10:A89, E12)</f>
        <v>4</v>
      </c>
    </row>
    <row r="13" spans="1:7" x14ac:dyDescent="0.55000000000000004">
      <c r="A13" t="s">
        <v>96</v>
      </c>
      <c r="B13" s="59">
        <v>2.5</v>
      </c>
      <c r="C13" s="59">
        <v>46.3</v>
      </c>
      <c r="D13" t="s">
        <v>138</v>
      </c>
      <c r="F13" s="61">
        <f>SUM(F1:F12)</f>
        <v>7128.45</v>
      </c>
    </row>
    <row r="14" spans="1:7" x14ac:dyDescent="0.55000000000000004">
      <c r="A14" t="s">
        <v>89</v>
      </c>
      <c r="B14" s="60">
        <v>5</v>
      </c>
      <c r="C14" s="60">
        <v>30</v>
      </c>
      <c r="D14" t="s">
        <v>139</v>
      </c>
    </row>
    <row r="15" spans="1:7" x14ac:dyDescent="0.55000000000000004">
      <c r="A15" t="s">
        <v>96</v>
      </c>
      <c r="B15" s="60">
        <v>5</v>
      </c>
      <c r="C15" s="60">
        <v>60</v>
      </c>
      <c r="D15" t="s">
        <v>140</v>
      </c>
    </row>
    <row r="16" spans="1:7" x14ac:dyDescent="0.55000000000000004">
      <c r="A16" t="s">
        <v>120</v>
      </c>
      <c r="B16" s="60">
        <v>25</v>
      </c>
      <c r="C16" s="59">
        <v>411.75</v>
      </c>
      <c r="D16" t="s">
        <v>141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142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143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144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145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146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147</v>
      </c>
    </row>
    <row r="23" spans="1:4" x14ac:dyDescent="0.55000000000000004">
      <c r="A23" t="s">
        <v>9</v>
      </c>
      <c r="B23" t="s">
        <v>148</v>
      </c>
      <c r="C23" s="59">
        <v>19.37</v>
      </c>
      <c r="D23" t="s">
        <v>149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150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151</v>
      </c>
    </row>
    <row r="26" spans="1:4" x14ac:dyDescent="0.55000000000000004">
      <c r="A26" t="s">
        <v>94</v>
      </c>
      <c r="B26" t="s">
        <v>152</v>
      </c>
      <c r="C26" s="59">
        <v>98.75</v>
      </c>
      <c r="D26" t="s">
        <v>153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154</v>
      </c>
    </row>
    <row r="28" spans="1:4" x14ac:dyDescent="0.55000000000000004">
      <c r="A28" t="s">
        <v>94</v>
      </c>
      <c r="B28" t="s">
        <v>152</v>
      </c>
      <c r="C28" s="59">
        <v>103.75</v>
      </c>
      <c r="D28" t="s">
        <v>155</v>
      </c>
    </row>
    <row r="29" spans="1:4" x14ac:dyDescent="0.55000000000000004">
      <c r="A29" t="s">
        <v>120</v>
      </c>
      <c r="B29" s="60">
        <v>10</v>
      </c>
      <c r="C29" s="59">
        <v>197.5</v>
      </c>
      <c r="D29" t="s">
        <v>156</v>
      </c>
    </row>
    <row r="30" spans="1:4" x14ac:dyDescent="0.55000000000000004">
      <c r="A30" t="s">
        <v>121</v>
      </c>
      <c r="B30" s="60">
        <v>5</v>
      </c>
      <c r="C30" s="60">
        <v>700</v>
      </c>
      <c r="D30" t="s">
        <v>157</v>
      </c>
    </row>
    <row r="31" spans="1:4" x14ac:dyDescent="0.55000000000000004">
      <c r="A31" t="s">
        <v>12</v>
      </c>
      <c r="B31" s="60">
        <v>20</v>
      </c>
      <c r="C31" s="60">
        <v>170</v>
      </c>
      <c r="D31" t="s">
        <v>158</v>
      </c>
    </row>
    <row r="32" spans="1:4" x14ac:dyDescent="0.55000000000000004">
      <c r="A32" t="s">
        <v>94</v>
      </c>
      <c r="B32" s="60">
        <v>5</v>
      </c>
      <c r="C32" s="59">
        <v>148.75</v>
      </c>
      <c r="D32" t="s">
        <v>159</v>
      </c>
    </row>
    <row r="33" spans="1:4" x14ac:dyDescent="0.55000000000000004">
      <c r="A33" t="s">
        <v>92</v>
      </c>
      <c r="B33" s="60">
        <v>10</v>
      </c>
      <c r="C33" s="59">
        <v>104</v>
      </c>
      <c r="D33" t="s">
        <v>160</v>
      </c>
    </row>
    <row r="34" spans="1:4" x14ac:dyDescent="0.55000000000000004">
      <c r="A34" t="s">
        <v>98</v>
      </c>
      <c r="B34" s="60">
        <v>10</v>
      </c>
      <c r="C34" s="59">
        <v>122.5</v>
      </c>
      <c r="D34" t="s">
        <v>161</v>
      </c>
    </row>
    <row r="35" spans="1:4" x14ac:dyDescent="0.55000000000000004">
      <c r="A35" t="s">
        <v>89</v>
      </c>
      <c r="B35" s="60">
        <v>15</v>
      </c>
      <c r="C35" s="59">
        <v>35.549999999999997</v>
      </c>
      <c r="D35" t="s">
        <v>162</v>
      </c>
    </row>
    <row r="36" spans="1:4" x14ac:dyDescent="0.55000000000000004">
      <c r="A36" t="s">
        <v>93</v>
      </c>
      <c r="B36" t="s">
        <v>163</v>
      </c>
      <c r="C36" s="59">
        <v>37.5</v>
      </c>
      <c r="D36" t="s">
        <v>164</v>
      </c>
    </row>
    <row r="37" spans="1:4" x14ac:dyDescent="0.55000000000000004">
      <c r="A37" t="s">
        <v>120</v>
      </c>
      <c r="B37" s="60">
        <v>10</v>
      </c>
      <c r="C37" s="60">
        <v>525</v>
      </c>
      <c r="D37" t="s">
        <v>165</v>
      </c>
    </row>
    <row r="38" spans="1:4" x14ac:dyDescent="0.55000000000000004">
      <c r="A38" t="s">
        <v>94</v>
      </c>
      <c r="B38" t="s">
        <v>152</v>
      </c>
      <c r="C38" s="60">
        <v>95</v>
      </c>
      <c r="D38" t="s">
        <v>166</v>
      </c>
    </row>
    <row r="39" spans="1:4" x14ac:dyDescent="0.55000000000000004">
      <c r="A39" t="s">
        <v>12</v>
      </c>
      <c r="B39" s="59">
        <v>7.5</v>
      </c>
      <c r="C39" s="59">
        <v>63.75</v>
      </c>
      <c r="D39" t="s">
        <v>166</v>
      </c>
    </row>
    <row r="40" spans="1:4" x14ac:dyDescent="0.55000000000000004">
      <c r="A40" t="s">
        <v>89</v>
      </c>
      <c r="B40" s="60">
        <v>7</v>
      </c>
      <c r="C40" s="59">
        <v>106.75</v>
      </c>
      <c r="D40" t="s">
        <v>167</v>
      </c>
    </row>
    <row r="41" spans="1:4" x14ac:dyDescent="0.55000000000000004">
      <c r="A41" t="s">
        <v>11</v>
      </c>
      <c r="B41" s="60">
        <v>15</v>
      </c>
      <c r="C41" s="59">
        <v>157.5</v>
      </c>
      <c r="D41" t="s">
        <v>168</v>
      </c>
    </row>
    <row r="42" spans="1:4" x14ac:dyDescent="0.55000000000000004">
      <c r="A42" t="s">
        <v>9</v>
      </c>
      <c r="B42" s="60">
        <v>10</v>
      </c>
      <c r="C42" s="60">
        <v>105</v>
      </c>
      <c r="D42" t="s">
        <v>169</v>
      </c>
    </row>
    <row r="43" spans="1:4" x14ac:dyDescent="0.55000000000000004">
      <c r="A43" t="s">
        <v>94</v>
      </c>
      <c r="B43" s="60">
        <v>5</v>
      </c>
      <c r="C43" s="59">
        <v>166.25</v>
      </c>
      <c r="D43" t="s">
        <v>170</v>
      </c>
    </row>
    <row r="44" spans="1:4" x14ac:dyDescent="0.55000000000000004">
      <c r="A44" t="s">
        <v>12</v>
      </c>
      <c r="B44" s="59">
        <v>7.5</v>
      </c>
      <c r="C44" s="60">
        <v>90</v>
      </c>
      <c r="D44" t="s">
        <v>171</v>
      </c>
    </row>
    <row r="45" spans="1:4" x14ac:dyDescent="0.55000000000000004">
      <c r="A45" t="s">
        <v>93</v>
      </c>
      <c r="B45" t="s">
        <v>152</v>
      </c>
      <c r="C45" s="59">
        <v>146.19999999999999</v>
      </c>
      <c r="D45" t="s">
        <v>172</v>
      </c>
    </row>
    <row r="46" spans="1:4" x14ac:dyDescent="0.55000000000000004">
      <c r="A46" t="s">
        <v>93</v>
      </c>
      <c r="B46" t="s">
        <v>152</v>
      </c>
      <c r="C46" s="59">
        <v>155.30000000000001</v>
      </c>
      <c r="D46" t="s">
        <v>173</v>
      </c>
    </row>
    <row r="47" spans="1:4" x14ac:dyDescent="0.55000000000000004">
      <c r="A47" t="s">
        <v>97</v>
      </c>
      <c r="B47" s="60">
        <v>10</v>
      </c>
      <c r="C47" s="59">
        <v>118.9</v>
      </c>
      <c r="D47" t="s">
        <v>174</v>
      </c>
    </row>
    <row r="48" spans="1:4" x14ac:dyDescent="0.55000000000000004">
      <c r="A48" t="s">
        <v>12</v>
      </c>
      <c r="B48" s="59">
        <v>7.5</v>
      </c>
      <c r="C48" s="59">
        <v>127.5</v>
      </c>
      <c r="D48" t="s">
        <v>175</v>
      </c>
    </row>
    <row r="49" spans="1:4" x14ac:dyDescent="0.55000000000000004">
      <c r="A49" t="s">
        <v>12</v>
      </c>
      <c r="B49" s="60">
        <v>10</v>
      </c>
      <c r="C49" s="60">
        <v>135</v>
      </c>
      <c r="D49" t="s">
        <v>176</v>
      </c>
    </row>
    <row r="50" spans="1:4" x14ac:dyDescent="0.55000000000000004">
      <c r="A50" t="s">
        <v>89</v>
      </c>
      <c r="B50" s="60">
        <v>5</v>
      </c>
      <c r="C50" s="59">
        <v>152.5</v>
      </c>
      <c r="D50" t="s">
        <v>177</v>
      </c>
    </row>
    <row r="51" spans="1:4" x14ac:dyDescent="0.55000000000000004">
      <c r="A51" t="s">
        <v>93</v>
      </c>
      <c r="B51" s="60">
        <v>5</v>
      </c>
      <c r="C51" s="59">
        <v>88.17</v>
      </c>
      <c r="D51" t="s">
        <v>178</v>
      </c>
    </row>
    <row r="52" spans="1:4" x14ac:dyDescent="0.55000000000000004">
      <c r="A52" t="s">
        <v>9</v>
      </c>
      <c r="B52" s="60">
        <v>10</v>
      </c>
      <c r="C52" s="59">
        <v>157.5</v>
      </c>
      <c r="D52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2025-09-30T03:06:12Z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