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C020696A-46D5-4352-8593-37B7F73EB871}" xr6:coauthVersionLast="47" xr6:coauthVersionMax="47" xr10:uidLastSave="{00000000-0000-0000-0000-000000000000}"/>
  <bookViews>
    <workbookView xWindow="-96" yWindow="-96" windowWidth="23232" windowHeight="13872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0" l="1"/>
  <c r="F2" i="11"/>
  <c r="F3" i="11"/>
  <c r="F4" i="11"/>
  <c r="F5" i="11"/>
  <c r="F6" i="11"/>
  <c r="F7" i="11"/>
  <c r="F8" i="11"/>
  <c r="F9" i="11"/>
  <c r="F10" i="11"/>
  <c r="F11" i="11"/>
  <c r="F12" i="11"/>
  <c r="F1" i="11"/>
  <c r="F13" i="11" s="1"/>
  <c r="X11" i="10"/>
  <c r="M10" i="10"/>
  <c r="M7" i="10"/>
  <c r="Q7" i="10"/>
  <c r="K7" i="10"/>
  <c r="O7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Z5" i="10"/>
  <c r="W58" i="10"/>
  <c r="Z29" i="10"/>
  <c r="E56" i="10" s="1"/>
  <c r="Y29" i="10"/>
  <c r="AA29" i="10"/>
  <c r="AB29" i="10"/>
  <c r="X29" i="10"/>
  <c r="E55" i="10" s="1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AJ18" i="10" s="1"/>
  <c r="F29" i="10"/>
  <c r="E29" i="10"/>
  <c r="AI7" i="10" s="1"/>
  <c r="D29" i="10"/>
  <c r="AJ17" i="10" s="1"/>
  <c r="C29" i="10"/>
  <c r="S29" i="10"/>
  <c r="O34" i="10" s="1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AI10" i="10" l="1"/>
  <c r="AI17" i="10"/>
  <c r="P34" i="10"/>
  <c r="E50" i="10"/>
  <c r="E52" i="10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C34" i="10" l="1"/>
  <c r="AI18" i="10"/>
  <c r="AK17" i="10"/>
  <c r="AL17" i="10"/>
  <c r="AL10" i="10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K18" i="10" l="1"/>
  <c r="AL18" i="10"/>
  <c r="AF6" i="10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<sst xmlns="http://schemas.openxmlformats.org/spreadsheetml/2006/main" count="753" uniqueCount="166">
  <si>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</si>
  <si>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</si>
  <si>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</si>
  <si>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</si>
  <si>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</si>
  <si>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</si>
  <si>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</si>
  <si>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</si>
  <si>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</si>
  <si>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</si>
  <si>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</si>
  <si>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</si>
  <si>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</si>
  <si>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</si>
  <si>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</si>
  <si>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</si>
  <si>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</si>
  <si>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</si>
  <si>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</si>
  <si>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</si>
  <si>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</si>
  <si>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</si>
  <si>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</si>
  <si>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</si>
  <si>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</si>
  <si>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</si>
  <si>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</si>
  <si>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</si>
  <si>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</si>
  <si>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</si>
  <si>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</si>
  <si>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</si>
  <si>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</si>
  <si>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</si>
  <si>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</si>
  <si>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</si>
  <si>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</si>
  <si>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</si>
  <si>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</si>
  <si>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</si>
  <si>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</si>
  <si>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</si>
  <si>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</si>
  <si>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</si>
  <si>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</si>
  <si>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</si>
  <si>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</si>
  <si>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</si>
  <si>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</si>
  <si>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</si>
  <si>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</si>
  <si>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</si>
  <si>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</si>
  <si>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</si>
  <si>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</si>
  <si>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</si>
  <si>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</si>
  <si>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</si>
  <si>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</si>
  <si>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</si>
  <si>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</si>
  <si>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</si>
  <si>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</si>
  <si>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</si>
  <si>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</si>
  <si>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</si>
  <si>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</si>
  <si>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</si>
  <si>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</si>
  <si>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</si>
  <si>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</si>
  <si>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</si>
  <si>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</si>
  <si>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</si>
  <si>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</si>
  <si>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</si>
  <si>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</si>
  <si>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</si>
  <si>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</si>
  <si>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</si>
  <si>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</si>
  <si>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</si>
  <si>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</si>
  <si>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</si>
  <si>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</si>
  <si>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</si>
  <si>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</si>
  <si>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</si>
  <si>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</si>
  <si>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</si>
  <si>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</si>
  <si>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</si>
  <si>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</si>
  <si>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</si>
  <si>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</si>
  <si>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</si>
  <si>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</si>
  <si>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</si>
  <si>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</si>
  <si>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</si>
  <si>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</si>
  <si>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</si>
  <si>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</si>
  <si>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</si>
  <si>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</si>
  <si>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</si>
  <si>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</si>
  <si>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</si>
  <si>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</si>
  <si>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</si>
  <si>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</si>
  <si>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</si>
  <si>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</si>
  <si>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</si>
  <si>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</si>
  <si>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</si>
  <si>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</si>
  <si>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</si>
  <si>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16 June 2025</t>
  </si>
  <si>
    <t>Strikes for 2025 Season at 10 June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</si>
  <si>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</si>
  <si>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</si>
  <si>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</si>
  <si>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</si>
  <si>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</si>
  <si>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</si>
  <si>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</si>
  <si>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</si>
  <si>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</si>
  <si>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</si>
  <si>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</si>
  <si>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</si>
  <si>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</si>
  <si>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</si>
  <si>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Cripps 22/25 touches</t>
  </si>
  <si>
    <t>Jarrod Berry 17/20 touches</t>
  </si>
  <si>
    <t>Wilkie 13/20 touches</t>
  </si>
  <si>
    <t>Nathan O'Driscoll 12/20 touches</t>
  </si>
  <si>
    <t>Liverpool lost to Fulham</t>
  </si>
  <si>
    <t>Chad Warner 10/20 touches</t>
  </si>
  <si>
    <t>Stringer 0 goals, needed 2</t>
  </si>
  <si>
    <t>Sean Woodson to win</t>
  </si>
  <si>
    <t>Colby McKercher 8/15 touches</t>
  </si>
  <si>
    <t>Swikowski 6/15 touches</t>
  </si>
  <si>
    <t>Logan Morris 0/2 goals</t>
  </si>
  <si>
    <t>Sandro Tonali shot on target</t>
  </si>
  <si>
    <t>Willie Rioli 1/2 goals</t>
  </si>
  <si>
    <t>Jabari Smith 2/4 rebounds</t>
  </si>
  <si>
    <t>$6.25 bonus</t>
  </si>
  <si>
    <t>Touk Miller 25, needed over 26.5</t>
  </si>
  <si>
    <t>Merrett 19/25 touches</t>
  </si>
  <si>
    <t>Vlaustin 18/20 touches</t>
  </si>
  <si>
    <t>$5 bonus</t>
  </si>
  <si>
    <t>Jamie Elliott 1/2 goals</t>
  </si>
  <si>
    <t>Jesse Hoagn 1/2 goals</t>
  </si>
  <si>
    <t>Liam Baker 18/20 touches</t>
  </si>
  <si>
    <t>Darcy Fogarty 1/3 goals</t>
  </si>
  <si>
    <t>Julius Randle 5/19 points</t>
  </si>
  <si>
    <t>Total over uner 174, total was 162</t>
  </si>
  <si>
    <t>Tommy Talau 1/2 tries scored</t>
  </si>
  <si>
    <t>Cronulla Sharks lost to NZ Warriors</t>
  </si>
  <si>
    <t>Josh Kelly 17/20 disposals</t>
  </si>
  <si>
    <t>Nick Daicos 19/25 disposals</t>
  </si>
  <si>
    <t>$7.50 bonus</t>
  </si>
  <si>
    <t>Bowey 21 of 22 disposals</t>
  </si>
  <si>
    <t>Cody Brundage KO/TKO???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</si>
</sst>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9" fillId="0" borderId="30" xfId="0" applyFont="1" applyBorder="1"/>
    <xf numFmtId="0" fontId="7" fillId="5" borderId="2" xfId="0" applyFon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19</v>
      </c>
      <c r="F2" s="62"/>
      <c r="G2" s="62" t="s">
        <v>20</v>
      </c>
      <c r="H2" s="62"/>
      <c r="I2" s="62" t="s">
        <v>21</v>
      </c>
      <c r="J2" s="62"/>
      <c r="K2" s="62" t="s">
        <v>22</v>
      </c>
      <c r="L2" s="62"/>
      <c r="M2" s="62" t="s">
        <v>23</v>
      </c>
      <c r="N2" s="62"/>
      <c r="O2" s="62" t="s">
        <v>24</v>
      </c>
      <c r="P2" s="62"/>
      <c r="Q2" s="62" t="s">
        <v>25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2469.42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1774.69</v>
      </c>
      <c r="J30" s="64"/>
    </row>
    <row r="31" spans="2:27" x14ac:dyDescent="0.55000000000000004">
      <c r="I31" s="63">
        <f>I30-I29</f>
        <v>-694.73</v>
      </c>
      <c r="J31" s="64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4">
        <f>I33+I31</f>
        <v>505.27</v>
      </c>
      <c r="J34" s="64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2" t="s">
        <v>18</v>
      </c>
      <c r="D2" s="62"/>
      <c r="E2" s="62" t="s">
        <v>22</v>
      </c>
      <c r="F2" s="62"/>
      <c r="G2" s="72" t="s">
        <v>21</v>
      </c>
      <c r="H2" s="68"/>
      <c r="I2" s="62" t="s">
        <v>20</v>
      </c>
      <c r="J2" s="62"/>
      <c r="K2" s="62" t="s">
        <v>19</v>
      </c>
      <c r="L2" s="62"/>
      <c r="M2" s="62" t="s">
        <v>25</v>
      </c>
      <c r="N2" s="62"/>
      <c r="O2" s="62" t="s">
        <v>24</v>
      </c>
      <c r="P2" s="62"/>
      <c r="Q2" s="62" t="s">
        <v>23</v>
      </c>
      <c r="R2" s="62"/>
      <c r="S2" s="62" t="s">
        <v>26</v>
      </c>
      <c r="T2" s="62"/>
      <c r="U2" s="62" t="s">
        <v>27</v>
      </c>
      <c r="V2" s="69"/>
      <c r="W2" s="68" t="s">
        <v>28</v>
      </c>
      <c r="X2" s="62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5" t="s">
        <v>56</v>
      </c>
      <c r="G29" s="66"/>
      <c r="H29" s="67"/>
      <c r="I29" s="63">
        <f>C27+E27+G27+I27+K27+M27+O27+Q27+S27+U27</f>
        <v>1788.24</v>
      </c>
      <c r="J29" s="64"/>
    </row>
    <row r="30" spans="2:27" x14ac:dyDescent="0.55000000000000004">
      <c r="G30" s="70" t="s">
        <v>57</v>
      </c>
      <c r="H30" s="70"/>
      <c r="I30" s="63">
        <f>+D27+F27+H27+J27+L27+N27+P27+R27+T27+V27</f>
        <v>2492.1999999999998</v>
      </c>
      <c r="J30" s="64"/>
    </row>
    <row r="31" spans="2:27" x14ac:dyDescent="0.55000000000000004">
      <c r="I31" s="63">
        <f>I30-I29</f>
        <v>703.95999999999981</v>
      </c>
      <c r="J31" s="64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1">
        <f>I33+I31</f>
        <v>1303.9599999999998</v>
      </c>
      <c r="J34" s="71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C2:D2"/>
    <mergeCell ref="E2:F2"/>
    <mergeCell ref="G2:H2"/>
    <mergeCell ref="I2:J2"/>
    <mergeCell ref="K2:L2"/>
    <mergeCell ref="Q2:R2"/>
    <mergeCell ref="S2:T2"/>
    <mergeCell ref="U2:V2"/>
    <mergeCell ref="W2:X2"/>
    <mergeCell ref="F29:H29"/>
    <mergeCell ref="I29:J29"/>
    <mergeCell ref="M2:N2"/>
    <mergeCell ref="G30:H30"/>
    <mergeCell ref="I30:J30"/>
    <mergeCell ref="I31:J31"/>
    <mergeCell ref="I34:J34"/>
    <mergeCell ref="O2:P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topLeftCell="A17"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23</v>
      </c>
      <c r="D2" s="62"/>
      <c r="E2" s="62" t="s">
        <v>20</v>
      </c>
      <c r="F2" s="62"/>
      <c r="G2" s="62" t="s">
        <v>19</v>
      </c>
      <c r="H2" s="62"/>
      <c r="I2" s="62" t="s">
        <v>21</v>
      </c>
      <c r="J2" s="62"/>
      <c r="K2" s="62" t="s">
        <v>22</v>
      </c>
      <c r="L2" s="62"/>
      <c r="M2" s="62" t="s">
        <v>26</v>
      </c>
      <c r="N2" s="62"/>
      <c r="O2" s="62" t="s">
        <v>24</v>
      </c>
      <c r="P2" s="62"/>
      <c r="Q2" s="62" t="s">
        <v>25</v>
      </c>
      <c r="R2" s="62"/>
      <c r="S2" s="62" t="s">
        <v>18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2521.33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2997.5899999999997</v>
      </c>
      <c r="J32" s="64"/>
    </row>
    <row r="33" spans="3:17" x14ac:dyDescent="0.55000000000000004">
      <c r="I33" s="63">
        <f>I32-I31</f>
        <v>476.25999999999976</v>
      </c>
      <c r="J33" s="64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1">
        <f>I35+I33</f>
        <v>2476.2599999999998</v>
      </c>
      <c r="J36" s="71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C2:D2"/>
    <mergeCell ref="E2:F2"/>
    <mergeCell ref="G2:H2"/>
    <mergeCell ref="I2:J2"/>
    <mergeCell ref="K2:L2"/>
    <mergeCell ref="Q2:R2"/>
    <mergeCell ref="S2:T2"/>
    <mergeCell ref="U2:V2"/>
    <mergeCell ref="Y2:Z2"/>
    <mergeCell ref="F31:H31"/>
    <mergeCell ref="I31:J31"/>
    <mergeCell ref="M2:N2"/>
    <mergeCell ref="W2:X2"/>
    <mergeCell ref="G32:H32"/>
    <mergeCell ref="I32:J32"/>
    <mergeCell ref="I33:J33"/>
    <mergeCell ref="I36:J36"/>
    <mergeCell ref="O2:P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topLeftCell="A17" workbookViewId="0">
      <selection activeCell="Y36" sqref="Y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2" t="s">
        <v>26</v>
      </c>
      <c r="D2" s="62"/>
      <c r="E2" s="72" t="s">
        <v>20</v>
      </c>
      <c r="F2" s="68"/>
      <c r="G2" s="62" t="s">
        <v>23</v>
      </c>
      <c r="H2" s="62"/>
      <c r="I2" s="62" t="s">
        <v>19</v>
      </c>
      <c r="J2" s="62"/>
      <c r="K2" s="62" t="s">
        <v>18</v>
      </c>
      <c r="L2" s="62"/>
      <c r="M2" s="72" t="s">
        <v>22</v>
      </c>
      <c r="N2" s="68"/>
      <c r="O2" s="62" t="s">
        <v>25</v>
      </c>
      <c r="P2" s="62"/>
      <c r="Q2" s="62" t="s">
        <v>21</v>
      </c>
      <c r="R2" s="62"/>
      <c r="S2" s="62" t="s">
        <v>24</v>
      </c>
      <c r="T2" s="62"/>
      <c r="U2" s="62" t="s">
        <v>65</v>
      </c>
      <c r="V2" s="69"/>
      <c r="W2" s="62" t="s">
        <v>66</v>
      </c>
      <c r="X2" s="69"/>
      <c r="Y2" s="68" t="s">
        <v>28</v>
      </c>
      <c r="Z2" s="62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2462.73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1004.25</v>
      </c>
      <c r="J32" s="64"/>
    </row>
    <row r="33" spans="3:25" x14ac:dyDescent="0.55000000000000004">
      <c r="I33" s="63">
        <f>I32-I31</f>
        <v>-1458.48</v>
      </c>
      <c r="J33" s="64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1">
        <f>I36+I33+J37</f>
        <v>322.7800000000002</v>
      </c>
      <c r="J38" s="71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16" workbookViewId="0">
      <selection activeCell="F39" sqref="F39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2" t="s">
        <v>100</v>
      </c>
      <c r="D2" s="62"/>
      <c r="E2" s="72" t="s">
        <v>101</v>
      </c>
      <c r="F2" s="68"/>
      <c r="G2" s="62" t="s">
        <v>102</v>
      </c>
      <c r="H2" s="62"/>
      <c r="I2" s="62" t="s">
        <v>103</v>
      </c>
      <c r="J2" s="62"/>
      <c r="K2" s="62" t="s">
        <v>104</v>
      </c>
      <c r="L2" s="62"/>
      <c r="M2" s="72" t="s">
        <v>105</v>
      </c>
      <c r="N2" s="68"/>
      <c r="O2" s="62" t="s">
        <v>106</v>
      </c>
      <c r="P2" s="62"/>
      <c r="Q2" s="62" t="s">
        <v>107</v>
      </c>
      <c r="R2" s="62"/>
      <c r="S2" s="62" t="s">
        <v>24</v>
      </c>
      <c r="T2" s="62"/>
      <c r="U2" s="62" t="s">
        <v>108</v>
      </c>
      <c r="V2" s="69"/>
      <c r="W2" s="62" t="s">
        <v>66</v>
      </c>
      <c r="X2" s="69"/>
      <c r="Y2" s="68" t="s">
        <v>28</v>
      </c>
      <c r="Z2" s="62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5" t="s">
        <v>56</v>
      </c>
      <c r="G31" s="66"/>
      <c r="H31" s="67"/>
      <c r="I31" s="63">
        <f>C29+E29+G29+I29+K29+M29+O29+Q29+S29+U29+W29</f>
        <v>2158</v>
      </c>
      <c r="J31" s="64"/>
    </row>
    <row r="32" spans="2:30" x14ac:dyDescent="0.55000000000000004">
      <c r="G32" s="70" t="s">
        <v>57</v>
      </c>
      <c r="H32" s="70"/>
      <c r="I32" s="63">
        <f>+D29+F29+H29+J29+L29+N29+P29+R29+T29+V29+X29</f>
        <v>709.26</v>
      </c>
      <c r="J32" s="64"/>
    </row>
    <row r="33" spans="3:25" x14ac:dyDescent="0.55000000000000004">
      <c r="I33" s="63">
        <f>I32-I31</f>
        <v>-1448.74</v>
      </c>
      <c r="J33" s="64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1">
        <f>I36+I33</f>
        <v>552.84999999999991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F31:H31"/>
    <mergeCell ref="I31:J31"/>
    <mergeCell ref="G32:H32"/>
    <mergeCell ref="I32:J32"/>
    <mergeCell ref="I33:J33"/>
    <mergeCell ref="I38:J38"/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10" workbookViewId="0">
      <selection activeCell="L20" sqref="L20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5" width="9.83984375" customWidth="1"/>
    <col min="6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3"/>
      <c r="X1" s="74"/>
    </row>
    <row r="2" spans="2:38" ht="18.3" x14ac:dyDescent="0.7">
      <c r="C2" s="62" t="s">
        <v>113</v>
      </c>
      <c r="D2" s="62"/>
      <c r="E2" s="72" t="s">
        <v>101</v>
      </c>
      <c r="F2" s="68"/>
      <c r="G2" s="62" t="s">
        <v>114</v>
      </c>
      <c r="H2" s="62"/>
      <c r="I2" s="62" t="s">
        <v>115</v>
      </c>
      <c r="J2" s="62"/>
      <c r="K2" s="62" t="s">
        <v>104</v>
      </c>
      <c r="L2" s="62"/>
      <c r="M2" s="72" t="s">
        <v>103</v>
      </c>
      <c r="N2" s="68"/>
      <c r="O2" s="62" t="s">
        <v>106</v>
      </c>
      <c r="P2" s="62"/>
      <c r="Q2" s="62" t="s">
        <v>107</v>
      </c>
      <c r="R2" s="62"/>
      <c r="S2" s="62" t="s">
        <v>100</v>
      </c>
      <c r="T2" s="62"/>
      <c r="U2" s="62" t="s">
        <v>108</v>
      </c>
      <c r="V2" s="72"/>
      <c r="W2" s="75" t="s">
        <v>102</v>
      </c>
      <c r="X2" s="76"/>
      <c r="Y2" s="75" t="s">
        <v>105</v>
      </c>
      <c r="Z2" s="77"/>
      <c r="AA2" s="78" t="s">
        <v>66</v>
      </c>
      <c r="AB2" s="79"/>
      <c r="AC2" s="68" t="s">
        <v>28</v>
      </c>
      <c r="AD2" s="62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7" t="s">
        <v>30</v>
      </c>
      <c r="X3" s="58" t="s">
        <v>31</v>
      </c>
      <c r="Y3" s="57" t="s">
        <v>30</v>
      </c>
      <c r="Z3" s="58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>
        <v>5</v>
      </c>
      <c r="F7" s="16">
        <v>0</v>
      </c>
      <c r="G7" s="17"/>
      <c r="H7" s="16"/>
      <c r="I7" s="17"/>
      <c r="J7" s="16"/>
      <c r="K7" s="17">
        <f>10+7.5+5+2.5</f>
        <v>25</v>
      </c>
      <c r="L7" s="16">
        <v>0</v>
      </c>
      <c r="M7" s="17">
        <f>5+10+5</f>
        <v>20</v>
      </c>
      <c r="N7" s="16">
        <v>0</v>
      </c>
      <c r="O7" s="17">
        <f>5+5+5+5+5</f>
        <v>25</v>
      </c>
      <c r="P7" s="16">
        <v>0</v>
      </c>
      <c r="Q7" s="17">
        <f>5+10+5+5</f>
        <v>25</v>
      </c>
      <c r="R7" s="16">
        <v>0</v>
      </c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100</v>
      </c>
      <c r="AD7" s="35">
        <f t="shared" si="3"/>
        <v>0</v>
      </c>
      <c r="AE7" s="1">
        <f t="shared" si="4"/>
        <v>490</v>
      </c>
      <c r="AF7" s="1">
        <f t="shared" si="4"/>
        <v>398.76</v>
      </c>
      <c r="AG7" s="1">
        <f t="shared" si="1"/>
        <v>-91.240000000000009</v>
      </c>
      <c r="AH7" s="44" t="s">
        <v>71</v>
      </c>
      <c r="AI7" s="44">
        <f>+E29+'Punters 2023'!AE7</f>
        <v>1153</v>
      </c>
      <c r="AJ7" s="44">
        <f>+F29+'Punters 2023'!AF7</f>
        <v>534</v>
      </c>
      <c r="AK7" s="49">
        <f>+AJ7-AI7</f>
        <v>-619</v>
      </c>
      <c r="AL7" s="47">
        <f>(AJ7-AI7)/AI7</f>
        <v>-0.53686036426712924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>
        <v>25</v>
      </c>
      <c r="T8" s="16">
        <v>0</v>
      </c>
      <c r="U8" s="15">
        <v>25</v>
      </c>
      <c r="V8" s="20">
        <v>0</v>
      </c>
      <c r="W8" s="15">
        <v>25</v>
      </c>
      <c r="X8" s="20">
        <v>0</v>
      </c>
      <c r="Y8" s="15">
        <v>25</v>
      </c>
      <c r="Z8" s="20">
        <v>1.65</v>
      </c>
      <c r="AA8" s="15"/>
      <c r="AB8" s="20"/>
      <c r="AC8" s="17">
        <f t="shared" si="2"/>
        <v>100</v>
      </c>
      <c r="AD8" s="35">
        <f t="shared" si="3"/>
        <v>1.65</v>
      </c>
      <c r="AE8" s="1">
        <f t="shared" si="4"/>
        <v>590</v>
      </c>
      <c r="AF8" s="1">
        <f t="shared" si="4"/>
        <v>400.40999999999997</v>
      </c>
      <c r="AG8" s="1">
        <f t="shared" si="1"/>
        <v>-189.59000000000003</v>
      </c>
      <c r="AH8" s="44" t="s">
        <v>72</v>
      </c>
      <c r="AI8" s="44">
        <f>+K29+'Punters 2023'!AE8</f>
        <v>1305.5</v>
      </c>
      <c r="AJ8" s="44">
        <f>+L29+'Punters 2023'!AF8</f>
        <v>1019.77</v>
      </c>
      <c r="AK8" s="50">
        <f t="shared" ref="AK8:AK16" si="5">+AJ8-AI8</f>
        <v>-285.73</v>
      </c>
      <c r="AL8" s="47">
        <f t="shared" ref="AL8:AL16" si="6">(AJ8-AI8)/AI8</f>
        <v>-0.21886633473764844</v>
      </c>
    </row>
    <row r="9" spans="2:38" ht="14.7" thickBot="1" x14ac:dyDescent="0.6">
      <c r="B9" s="52" t="s">
        <v>37</v>
      </c>
      <c r="C9" s="15">
        <v>30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25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105</v>
      </c>
      <c r="AD9" s="35">
        <f t="shared" si="3"/>
        <v>0</v>
      </c>
      <c r="AE9" s="1">
        <f t="shared" si="4"/>
        <v>695</v>
      </c>
      <c r="AF9" s="1">
        <f t="shared" si="4"/>
        <v>400.40999999999997</v>
      </c>
      <c r="AG9" s="1">
        <f t="shared" si="1"/>
        <v>-294.59000000000003</v>
      </c>
      <c r="AH9" s="44" t="s">
        <v>73</v>
      </c>
      <c r="AI9" s="44">
        <f>+M29+'Punters 2023'!AE9</f>
        <v>1286.48</v>
      </c>
      <c r="AJ9" s="44">
        <f>N29+'Punters 2023'!AF9</f>
        <v>961.4</v>
      </c>
      <c r="AK9" s="50">
        <f t="shared" si="5"/>
        <v>-325.08000000000004</v>
      </c>
      <c r="AL9" s="47">
        <f t="shared" si="6"/>
        <v>-0.25268950935887075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f>5+10+5+10</f>
        <v>30</v>
      </c>
      <c r="N10" s="16">
        <v>0</v>
      </c>
      <c r="O10" s="17">
        <v>25</v>
      </c>
      <c r="P10" s="16">
        <v>0</v>
      </c>
      <c r="Q10" s="17">
        <v>25</v>
      </c>
      <c r="R10" s="16">
        <v>0</v>
      </c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105</v>
      </c>
      <c r="AD10" s="35">
        <f t="shared" si="3"/>
        <v>0</v>
      </c>
      <c r="AE10" s="1">
        <f t="shared" si="4"/>
        <v>800</v>
      </c>
      <c r="AF10" s="1">
        <f t="shared" si="4"/>
        <v>400.40999999999997</v>
      </c>
      <c r="AG10" s="1">
        <f t="shared" si="1"/>
        <v>-399.59000000000003</v>
      </c>
      <c r="AH10" s="44" t="s">
        <v>74</v>
      </c>
      <c r="AI10" s="44">
        <f>+C29+'Punters 2023'!AE10</f>
        <v>1289.9000000000001</v>
      </c>
      <c r="AJ10" s="44">
        <f>+D29+'Punters 2023'!AF10</f>
        <v>1596.4499999999998</v>
      </c>
      <c r="AK10" s="50">
        <f t="shared" si="5"/>
        <v>306.54999999999973</v>
      </c>
      <c r="AL10" s="45">
        <f t="shared" si="6"/>
        <v>0.23765408171176036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>
        <v>25</v>
      </c>
      <c r="T11" s="16">
        <v>78.61</v>
      </c>
      <c r="U11" s="15">
        <v>25</v>
      </c>
      <c r="V11" s="20">
        <v>0</v>
      </c>
      <c r="W11" s="15">
        <v>25</v>
      </c>
      <c r="X11" s="20">
        <f>33.75+32.5</f>
        <v>66.25</v>
      </c>
      <c r="Y11" s="15">
        <v>25</v>
      </c>
      <c r="Z11" s="20">
        <v>83.75</v>
      </c>
      <c r="AA11" s="15"/>
      <c r="AB11" s="20"/>
      <c r="AC11" s="17">
        <f t="shared" si="2"/>
        <v>100</v>
      </c>
      <c r="AD11" s="35">
        <f t="shared" si="3"/>
        <v>228.61</v>
      </c>
      <c r="AE11" s="1">
        <f t="shared" si="4"/>
        <v>900</v>
      </c>
      <c r="AF11" s="1">
        <f t="shared" si="4"/>
        <v>629.02</v>
      </c>
      <c r="AG11" s="1">
        <f t="shared" si="1"/>
        <v>-270.98</v>
      </c>
      <c r="AH11" s="44" t="s">
        <v>75</v>
      </c>
      <c r="AI11" s="44">
        <f>+I29+'Punters 2023'!AE11</f>
        <v>1018</v>
      </c>
      <c r="AJ11" s="44">
        <f>+J29+'Punters 2023'!AF11</f>
        <v>241.6</v>
      </c>
      <c r="AK11" s="49">
        <f t="shared" si="5"/>
        <v>-776.4</v>
      </c>
      <c r="AL11" s="47">
        <f t="shared" si="6"/>
        <v>-0.76267190569744592</v>
      </c>
    </row>
    <row r="12" spans="2:38" ht="14.7" thickBot="1" x14ac:dyDescent="0.6">
      <c r="B12" s="52" t="s">
        <v>40</v>
      </c>
      <c r="C12" s="15">
        <v>25</v>
      </c>
      <c r="D12" s="16">
        <v>80</v>
      </c>
      <c r="E12" s="17">
        <v>25</v>
      </c>
      <c r="F12" s="16">
        <v>0</v>
      </c>
      <c r="G12" s="17">
        <v>25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75</v>
      </c>
      <c r="AD12" s="35">
        <f t="shared" si="3"/>
        <v>80</v>
      </c>
      <c r="AE12" s="1">
        <f t="shared" si="4"/>
        <v>975</v>
      </c>
      <c r="AF12" s="1">
        <f t="shared" si="4"/>
        <v>709.02</v>
      </c>
      <c r="AG12" s="1">
        <f t="shared" si="1"/>
        <v>-265.98</v>
      </c>
      <c r="AH12" s="44" t="s">
        <v>76</v>
      </c>
      <c r="AI12" s="44">
        <f>+U29+'Punters 2023'!AE12</f>
        <v>1319.96</v>
      </c>
      <c r="AJ12" s="44">
        <f>+V29+'Punters 2023'!AF12</f>
        <v>844.40999999999985</v>
      </c>
      <c r="AK12" s="49">
        <f t="shared" si="5"/>
        <v>-475.55000000000018</v>
      </c>
      <c r="AL12" s="47">
        <f t="shared" si="6"/>
        <v>-0.36027606897178716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>
        <v>25</v>
      </c>
      <c r="J13" s="16">
        <v>0</v>
      </c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121.88</v>
      </c>
      <c r="Q13" s="17">
        <v>25</v>
      </c>
      <c r="R13" s="16">
        <v>0</v>
      </c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125</v>
      </c>
      <c r="AD13" s="35">
        <f t="shared" si="3"/>
        <v>121.88</v>
      </c>
      <c r="AE13" s="1">
        <f t="shared" si="4"/>
        <v>1100</v>
      </c>
      <c r="AF13" s="1">
        <f t="shared" si="4"/>
        <v>830.9</v>
      </c>
      <c r="AG13" s="1">
        <f t="shared" si="1"/>
        <v>-269.10000000000002</v>
      </c>
      <c r="AH13" s="44" t="s">
        <v>77</v>
      </c>
      <c r="AI13" s="44">
        <f>+S29+'Punters 2023'!AE13</f>
        <v>1246.3400000000001</v>
      </c>
      <c r="AJ13" s="44">
        <f>+T29+'Punters 2023'!AF13</f>
        <v>766.69</v>
      </c>
      <c r="AK13" s="49">
        <f t="shared" si="5"/>
        <v>-479.65000000000009</v>
      </c>
      <c r="AL13" s="47">
        <f t="shared" si="6"/>
        <v>-0.3848468315226985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>
        <v>25</v>
      </c>
      <c r="T14" s="16">
        <v>0</v>
      </c>
      <c r="U14" s="15">
        <v>25</v>
      </c>
      <c r="V14" s="20">
        <v>0</v>
      </c>
      <c r="W14" s="15">
        <v>25</v>
      </c>
      <c r="X14" s="20">
        <v>0</v>
      </c>
      <c r="Y14" s="15">
        <v>25</v>
      </c>
      <c r="Z14" s="20">
        <v>0</v>
      </c>
      <c r="AA14" s="15"/>
      <c r="AB14" s="20"/>
      <c r="AC14" s="17">
        <f t="shared" si="2"/>
        <v>100</v>
      </c>
      <c r="AD14" s="35">
        <f t="shared" si="3"/>
        <v>0</v>
      </c>
      <c r="AE14" s="1">
        <f t="shared" si="4"/>
        <v>1200</v>
      </c>
      <c r="AF14" s="1">
        <f t="shared" si="4"/>
        <v>830.9</v>
      </c>
      <c r="AG14" s="1">
        <f t="shared" si="1"/>
        <v>-369.1</v>
      </c>
      <c r="AH14" s="44" t="s">
        <v>78</v>
      </c>
      <c r="AI14" s="44">
        <f>+Q29+'Punters 2023'!AE14</f>
        <v>1273</v>
      </c>
      <c r="AJ14" s="44">
        <f>+R29+'Punters 2023'!AF14</f>
        <v>637.47</v>
      </c>
      <c r="AK14" s="49">
        <f t="shared" si="5"/>
        <v>-635.53</v>
      </c>
      <c r="AL14" s="47">
        <f t="shared" si="6"/>
        <v>-0.49923802042419479</v>
      </c>
    </row>
    <row r="15" spans="2:38" ht="14.7" thickBot="1" x14ac:dyDescent="0.6">
      <c r="B15" s="52" t="s">
        <v>43</v>
      </c>
      <c r="C15" s="15">
        <v>25</v>
      </c>
      <c r="D15" s="16">
        <v>0</v>
      </c>
      <c r="E15" s="17">
        <v>25</v>
      </c>
      <c r="F15" s="16">
        <v>0</v>
      </c>
      <c r="G15" s="17">
        <v>25</v>
      </c>
      <c r="H15" s="16">
        <v>0</v>
      </c>
      <c r="I15" s="17">
        <v>25</v>
      </c>
      <c r="J15" s="16">
        <v>183.35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100</v>
      </c>
      <c r="AD15" s="35">
        <f t="shared" si="3"/>
        <v>183.35</v>
      </c>
      <c r="AE15" s="1">
        <f t="shared" si="4"/>
        <v>1300</v>
      </c>
      <c r="AF15" s="1">
        <f t="shared" si="4"/>
        <v>1014.25</v>
      </c>
      <c r="AG15" s="1">
        <f t="shared" si="1"/>
        <v>-285.75</v>
      </c>
      <c r="AH15" s="44" t="s">
        <v>79</v>
      </c>
      <c r="AI15" s="44">
        <f>+O29+'Punters 2023'!AE15</f>
        <v>1277.7</v>
      </c>
      <c r="AJ15" s="44">
        <f>+P29+'Punters 2023'!AF15</f>
        <v>1692.35</v>
      </c>
      <c r="AK15" s="50">
        <f t="shared" si="5"/>
        <v>414.64999999999986</v>
      </c>
      <c r="AL15" s="45">
        <f t="shared" si="6"/>
        <v>0.32452844955779903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10</v>
      </c>
      <c r="N16" s="16">
        <v>0</v>
      </c>
      <c r="O16" s="17">
        <v>25</v>
      </c>
      <c r="P16" s="16">
        <v>0</v>
      </c>
      <c r="Q16" s="17">
        <v>25</v>
      </c>
      <c r="R16" s="16">
        <v>0</v>
      </c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85</v>
      </c>
      <c r="AD16" s="35">
        <f t="shared" si="3"/>
        <v>0</v>
      </c>
      <c r="AE16" s="1">
        <f t="shared" si="4"/>
        <v>1385</v>
      </c>
      <c r="AF16" s="1">
        <f t="shared" si="4"/>
        <v>1014.25</v>
      </c>
      <c r="AG16" s="1">
        <f t="shared" si="1"/>
        <v>-370.75</v>
      </c>
      <c r="AH16" s="44" t="s">
        <v>80</v>
      </c>
      <c r="AI16" s="44">
        <f>+G29+'Punters 2023'!AE16</f>
        <v>577</v>
      </c>
      <c r="AJ16" s="44">
        <f>+H29+'Punters 2023'!AF16</f>
        <v>151.25</v>
      </c>
      <c r="AK16" s="49">
        <f t="shared" si="5"/>
        <v>-425.75</v>
      </c>
      <c r="AL16" s="47">
        <f t="shared" si="6"/>
        <v>-0.73786828422876949</v>
      </c>
    </row>
    <row r="17" spans="2:38" x14ac:dyDescent="0.55000000000000004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>
        <v>15</v>
      </c>
      <c r="N17" s="16">
        <v>0</v>
      </c>
      <c r="O17" s="17"/>
      <c r="P17" s="16"/>
      <c r="Q17" s="17"/>
      <c r="R17" s="16"/>
      <c r="S17" s="17">
        <v>25</v>
      </c>
      <c r="T17" s="16">
        <v>0</v>
      </c>
      <c r="U17" s="15">
        <v>25</v>
      </c>
      <c r="V17" s="20">
        <v>0</v>
      </c>
      <c r="W17" s="15">
        <v>25</v>
      </c>
      <c r="X17" s="20">
        <v>0</v>
      </c>
      <c r="Y17" s="15">
        <v>25</v>
      </c>
      <c r="Z17" s="20">
        <v>0</v>
      </c>
      <c r="AA17" s="15"/>
      <c r="AB17" s="20"/>
      <c r="AC17" s="17">
        <f t="shared" si="2"/>
        <v>115</v>
      </c>
      <c r="AD17" s="35">
        <f t="shared" si="3"/>
        <v>0</v>
      </c>
      <c r="AE17" s="1">
        <f t="shared" si="4"/>
        <v>1500</v>
      </c>
      <c r="AF17" s="1">
        <f t="shared" si="4"/>
        <v>1014.25</v>
      </c>
      <c r="AG17" s="1">
        <f t="shared" si="1"/>
        <v>-485.75</v>
      </c>
      <c r="AH17" s="44" t="s">
        <v>116</v>
      </c>
      <c r="AI17" s="44">
        <f>+C29</f>
        <v>150</v>
      </c>
      <c r="AJ17" s="44">
        <f>+D29</f>
        <v>80</v>
      </c>
      <c r="AK17" s="49">
        <f t="shared" ref="AK17:AK18" si="7">+AJ17-AI17</f>
        <v>-70</v>
      </c>
      <c r="AL17" s="47">
        <f t="shared" ref="AL17:AL18" si="8">(AJ17-AI17)/AI17</f>
        <v>-0.46666666666666667</v>
      </c>
    </row>
    <row r="18" spans="2:38" x14ac:dyDescent="0.55000000000000004">
      <c r="B18" s="52" t="s">
        <v>46</v>
      </c>
      <c r="C18" s="15">
        <v>25</v>
      </c>
      <c r="D18" s="16">
        <v>0</v>
      </c>
      <c r="E18" s="17">
        <f>5+5+5+10</f>
        <v>25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100</v>
      </c>
      <c r="AD18" s="35">
        <f t="shared" si="3"/>
        <v>0</v>
      </c>
      <c r="AE18" s="1">
        <f t="shared" si="4"/>
        <v>1600</v>
      </c>
      <c r="AF18" s="1">
        <f t="shared" si="4"/>
        <v>1014.25</v>
      </c>
      <c r="AG18" s="1">
        <f t="shared" si="1"/>
        <v>-585.75</v>
      </c>
      <c r="AH18" s="44" t="s">
        <v>117</v>
      </c>
      <c r="AI18" s="44">
        <f>+G29</f>
        <v>150</v>
      </c>
      <c r="AJ18" s="44">
        <f>+H29</f>
        <v>0</v>
      </c>
      <c r="AK18" s="49">
        <f t="shared" si="7"/>
        <v>-150</v>
      </c>
      <c r="AL18" s="47">
        <f t="shared" si="8"/>
        <v>-1</v>
      </c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17.5</v>
      </c>
      <c r="L19" s="16">
        <v>0</v>
      </c>
      <c r="M19" s="17">
        <v>25</v>
      </c>
      <c r="N19" s="16">
        <v>0</v>
      </c>
      <c r="O19" s="17">
        <v>20</v>
      </c>
      <c r="P19" s="16">
        <v>0</v>
      </c>
      <c r="Q19" s="17">
        <v>25</v>
      </c>
      <c r="R19" s="16">
        <v>0</v>
      </c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87.5</v>
      </c>
      <c r="AD19" s="35">
        <f t="shared" si="3"/>
        <v>0</v>
      </c>
      <c r="AE19" s="1">
        <f t="shared" si="4"/>
        <v>1687.5</v>
      </c>
      <c r="AF19" s="1">
        <f t="shared" si="4"/>
        <v>1014.25</v>
      </c>
      <c r="AG19" s="1">
        <f t="shared" si="1"/>
        <v>-673.25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1687.5</v>
      </c>
      <c r="AF20" s="1">
        <f t="shared" si="4"/>
        <v>1014.25</v>
      </c>
      <c r="AG20" s="1">
        <f t="shared" si="1"/>
        <v>-673.25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1687.5</v>
      </c>
      <c r="AF21" s="1">
        <f t="shared" si="4"/>
        <v>1014.25</v>
      </c>
      <c r="AG21" s="1">
        <f t="shared" si="1"/>
        <v>-673.25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9">AE21+AC22</f>
        <v>1687.5</v>
      </c>
      <c r="AF22" s="1">
        <f t="shared" si="9"/>
        <v>1014.25</v>
      </c>
      <c r="AG22" s="1">
        <f t="shared" si="1"/>
        <v>-673.25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9"/>
        <v>1687.5</v>
      </c>
      <c r="AF23" s="1">
        <f t="shared" si="9"/>
        <v>1014.25</v>
      </c>
      <c r="AG23" s="1">
        <f t="shared" si="1"/>
        <v>-673.25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9"/>
        <v>1687.5</v>
      </c>
      <c r="AF24" s="1">
        <f t="shared" si="9"/>
        <v>1014.25</v>
      </c>
      <c r="AG24" s="1">
        <f t="shared" si="1"/>
        <v>-673.25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9"/>
        <v>1687.5</v>
      </c>
      <c r="AF25" s="1">
        <f t="shared" si="9"/>
        <v>1014.25</v>
      </c>
      <c r="AG25" s="1">
        <f t="shared" si="1"/>
        <v>-673.25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9"/>
        <v>1687.5</v>
      </c>
      <c r="AF26" s="1">
        <f t="shared" si="9"/>
        <v>1014.25</v>
      </c>
      <c r="AG26" s="1">
        <f t="shared" si="1"/>
        <v>-673.25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9"/>
        <v>1687.5</v>
      </c>
      <c r="AF27" s="1">
        <f t="shared" si="9"/>
        <v>1014.25</v>
      </c>
      <c r="AG27" s="1">
        <f t="shared" si="1"/>
        <v>-673.25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10">SUM(C4:C28)</f>
        <v>150</v>
      </c>
      <c r="D29" s="18">
        <f t="shared" si="10"/>
        <v>80</v>
      </c>
      <c r="E29" s="18">
        <f t="shared" si="10"/>
        <v>150</v>
      </c>
      <c r="F29" s="18">
        <f t="shared" si="10"/>
        <v>0</v>
      </c>
      <c r="G29" s="18">
        <f t="shared" si="10"/>
        <v>150</v>
      </c>
      <c r="H29" s="18">
        <f t="shared" si="10"/>
        <v>0</v>
      </c>
      <c r="I29" s="18">
        <f t="shared" si="10"/>
        <v>150</v>
      </c>
      <c r="J29" s="18">
        <f t="shared" si="10"/>
        <v>183.35</v>
      </c>
      <c r="K29" s="18">
        <f t="shared" si="10"/>
        <v>142.5</v>
      </c>
      <c r="L29" s="18">
        <f t="shared" si="10"/>
        <v>0</v>
      </c>
      <c r="M29" s="18">
        <f t="shared" si="10"/>
        <v>150</v>
      </c>
      <c r="N29" s="18">
        <f t="shared" si="10"/>
        <v>0</v>
      </c>
      <c r="O29" s="18">
        <f t="shared" si="10"/>
        <v>145</v>
      </c>
      <c r="P29" s="18">
        <f t="shared" si="10"/>
        <v>231.26</v>
      </c>
      <c r="Q29" s="18">
        <f t="shared" si="10"/>
        <v>150</v>
      </c>
      <c r="R29" s="18">
        <f t="shared" si="10"/>
        <v>0</v>
      </c>
      <c r="S29" s="18">
        <f t="shared" si="10"/>
        <v>125</v>
      </c>
      <c r="T29" s="18">
        <f>SUM(T4:T28)</f>
        <v>268.61</v>
      </c>
      <c r="U29" s="18">
        <f t="shared" si="10"/>
        <v>125</v>
      </c>
      <c r="V29" s="21">
        <f t="shared" si="10"/>
        <v>0</v>
      </c>
      <c r="W29" s="18">
        <f t="shared" ref="W29:X29" si="11">SUM(W4:W28)</f>
        <v>125</v>
      </c>
      <c r="X29" s="21">
        <f t="shared" si="11"/>
        <v>66.25</v>
      </c>
      <c r="Y29" s="18">
        <f t="shared" ref="Y29:Z29" si="12">SUM(Y4:Y28)</f>
        <v>125</v>
      </c>
      <c r="Z29" s="21">
        <f t="shared" si="12"/>
        <v>184.78</v>
      </c>
      <c r="AA29" s="18">
        <f t="shared" si="10"/>
        <v>0</v>
      </c>
      <c r="AB29" s="21">
        <f t="shared" si="10"/>
        <v>0</v>
      </c>
      <c r="AC29" s="29">
        <f t="shared" si="10"/>
        <v>1687.5</v>
      </c>
      <c r="AD29" s="18">
        <f t="shared" si="10"/>
        <v>1014.25</v>
      </c>
      <c r="AE29" s="1"/>
    </row>
    <row r="30" spans="2:38" x14ac:dyDescent="0.55000000000000004">
      <c r="D30" s="56">
        <f>(D29-C29)/C29</f>
        <v>-0.46666666666666667</v>
      </c>
      <c r="F30" s="34">
        <f>(F29-E29)/E29</f>
        <v>-1</v>
      </c>
      <c r="H30" s="34">
        <f>(H29-G29)/G29</f>
        <v>-1</v>
      </c>
      <c r="J30" s="34">
        <f>(J29-I29)/I29</f>
        <v>0.2223333333333333</v>
      </c>
      <c r="L30" s="28">
        <f>(L29-K29)/K29</f>
        <v>-1</v>
      </c>
      <c r="N30" s="28">
        <f>(N29-M29)/M29</f>
        <v>-1</v>
      </c>
      <c r="P30" s="28">
        <f>(P29-O29)/O29</f>
        <v>0.59489655172413791</v>
      </c>
      <c r="R30" s="28">
        <f>(R29-Q29)/Q29</f>
        <v>-1</v>
      </c>
      <c r="T30" s="22">
        <f>(T29-S29)/S29</f>
        <v>1.1488800000000001</v>
      </c>
      <c r="V30" s="28">
        <f>(V29-U29)/U29</f>
        <v>-1</v>
      </c>
      <c r="X30" s="28">
        <f>(X29-W29)/W29</f>
        <v>-0.47</v>
      </c>
      <c r="Z30" s="28">
        <f>(Z29-Y29)/Y29</f>
        <v>0.47824</v>
      </c>
    </row>
    <row r="31" spans="2:38" x14ac:dyDescent="0.55000000000000004">
      <c r="F31" s="65" t="s">
        <v>56</v>
      </c>
      <c r="G31" s="66"/>
      <c r="H31" s="67"/>
      <c r="I31" s="63">
        <f>C29+E29+G29+I29+K29+M29+O29+Q29+S29+U29+AA29+W29+Y29</f>
        <v>1687.5</v>
      </c>
      <c r="J31" s="64"/>
    </row>
    <row r="32" spans="2:38" x14ac:dyDescent="0.55000000000000004">
      <c r="G32" s="70" t="s">
        <v>57</v>
      </c>
      <c r="H32" s="70"/>
      <c r="I32" s="63">
        <f>+D29+F29+H29+J29+L29+N29+P29+R29+T29+V29+AB29+X29+Z29</f>
        <v>1014.25</v>
      </c>
      <c r="J32" s="64"/>
    </row>
    <row r="33" spans="3:25" x14ac:dyDescent="0.55000000000000004">
      <c r="I33" s="63">
        <f>I32-I31</f>
        <v>-673.25</v>
      </c>
      <c r="J33" s="64"/>
      <c r="Y33">
        <f>2167+183+5*10</f>
        <v>2400</v>
      </c>
    </row>
    <row r="34" spans="3:25" x14ac:dyDescent="0.55000000000000004">
      <c r="C34" s="36">
        <f>C29+E29+G29+I29</f>
        <v>600</v>
      </c>
      <c r="D34" s="36">
        <f>D29+F29+H29+J29</f>
        <v>263.35000000000002</v>
      </c>
      <c r="E34" s="37">
        <f>D34-C34</f>
        <v>-336.65</v>
      </c>
      <c r="I34" s="38">
        <f>O29+K29+M29+Q29</f>
        <v>587.5</v>
      </c>
      <c r="J34" s="38">
        <f>P29+L29+N29</f>
        <v>231.26</v>
      </c>
      <c r="K34" s="39">
        <f>J34-I34</f>
        <v>-356.24</v>
      </c>
      <c r="O34" s="40">
        <f>U29+W29+Y29+S29</f>
        <v>500</v>
      </c>
      <c r="P34" s="40">
        <f>V29+X29+T29+Z29</f>
        <v>519.64</v>
      </c>
      <c r="Q34" s="41">
        <f>P34-O34</f>
        <v>19.639999999999986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-0.56108333333333327</v>
      </c>
      <c r="E35" s="37"/>
      <c r="I35" s="38"/>
      <c r="J35" s="34">
        <f>(J34-I34)/I34</f>
        <v>-0.60636595744680855</v>
      </c>
      <c r="K35" s="39"/>
      <c r="O35" s="40"/>
      <c r="P35" s="34">
        <f>(P34-O34)/O34</f>
        <v>3.9279999999999975E-2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1">
        <f>I36+I33</f>
        <v>1726.8000000000002</v>
      </c>
      <c r="J38" s="71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600</v>
      </c>
      <c r="D42" s="1">
        <f>D29+F29+H29+J29</f>
        <v>263.35000000000002</v>
      </c>
      <c r="I42" s="1">
        <f>O29+K29+M29</f>
        <v>437.5</v>
      </c>
      <c r="J42" s="1">
        <f>P29+L29+N29</f>
        <v>231.26</v>
      </c>
      <c r="O42" s="1">
        <f>U29+Q29+S29</f>
        <v>400</v>
      </c>
      <c r="P42" s="1">
        <f>V29+R29+T29</f>
        <v>268.61</v>
      </c>
    </row>
    <row r="43" spans="3:25" x14ac:dyDescent="0.55000000000000004">
      <c r="D43" s="1">
        <f>D42-C42</f>
        <v>-336.65</v>
      </c>
      <c r="J43" s="33">
        <f>J42-I42</f>
        <v>-206.24</v>
      </c>
      <c r="P43" s="33">
        <f>P42-O42</f>
        <v>-131.38999999999999</v>
      </c>
    </row>
    <row r="45" spans="3:25" x14ac:dyDescent="0.55000000000000004">
      <c r="V45" t="s">
        <v>118</v>
      </c>
    </row>
    <row r="46" spans="3:25" x14ac:dyDescent="0.55000000000000004">
      <c r="D46" t="s">
        <v>88</v>
      </c>
      <c r="J46" t="s">
        <v>119</v>
      </c>
      <c r="V46" t="s">
        <v>89</v>
      </c>
      <c r="W46">
        <v>7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2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4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2</v>
      </c>
    </row>
    <row r="50" spans="4:23" x14ac:dyDescent="0.55000000000000004">
      <c r="D50" t="s">
        <v>94</v>
      </c>
      <c r="E50" s="1">
        <f>SUM(T29)</f>
        <v>268.61</v>
      </c>
      <c r="J50" t="s">
        <v>94</v>
      </c>
      <c r="K50">
        <v>1</v>
      </c>
      <c r="V50" t="s">
        <v>9</v>
      </c>
      <c r="W50">
        <v>2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2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SUM(J29)</f>
        <v>183.35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3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5</v>
      </c>
    </row>
    <row r="55" spans="4:23" x14ac:dyDescent="0.55000000000000004">
      <c r="D55" t="s">
        <v>89</v>
      </c>
      <c r="E55" s="1">
        <f>SUM(X29)</f>
        <v>66.25</v>
      </c>
      <c r="J55" t="s">
        <v>89</v>
      </c>
      <c r="K55">
        <v>0</v>
      </c>
      <c r="V55" t="s">
        <v>94</v>
      </c>
      <c r="W55">
        <v>3</v>
      </c>
    </row>
    <row r="56" spans="4:23" x14ac:dyDescent="0.55000000000000004">
      <c r="D56" t="s">
        <v>96</v>
      </c>
      <c r="E56" s="1">
        <f>SUM(Z29)</f>
        <v>184.78</v>
      </c>
      <c r="J56" t="s">
        <v>96</v>
      </c>
      <c r="K56">
        <v>0</v>
      </c>
      <c r="V56" t="s">
        <v>120</v>
      </c>
      <c r="W56">
        <v>3</v>
      </c>
    </row>
    <row r="57" spans="4:23" x14ac:dyDescent="0.55000000000000004">
      <c r="D57" t="s">
        <v>120</v>
      </c>
      <c r="E57" s="1">
        <f>SUM(H29)</f>
        <v>0</v>
      </c>
      <c r="J57" t="s">
        <v>120</v>
      </c>
      <c r="K57">
        <v>0</v>
      </c>
      <c r="V57" t="s">
        <v>121</v>
      </c>
      <c r="W57">
        <v>1</v>
      </c>
    </row>
    <row r="58" spans="4:23" x14ac:dyDescent="0.55000000000000004">
      <c r="D58" t="s">
        <v>121</v>
      </c>
      <c r="E58" s="1">
        <f>SUM(D29)</f>
        <v>80</v>
      </c>
      <c r="J58" t="s">
        <v>121</v>
      </c>
      <c r="K58">
        <v>2</v>
      </c>
      <c r="V58" t="s">
        <v>99</v>
      </c>
      <c r="W58">
        <f>SUM(W46:W57)</f>
        <v>36</v>
      </c>
    </row>
    <row r="59" spans="4:23" x14ac:dyDescent="0.55000000000000004">
      <c r="D59" t="s">
        <v>9</v>
      </c>
      <c r="E59" s="1">
        <f>SUM(P29)</f>
        <v>231.26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1014.25</v>
      </c>
      <c r="J60" t="s">
        <v>99</v>
      </c>
      <c r="K60">
        <f>SUM(K48:K59)</f>
        <v>17</v>
      </c>
    </row>
  </sheetData>
  <mergeCells count="21">
    <mergeCell ref="AA2:AB2"/>
    <mergeCell ref="AC2:AD2"/>
    <mergeCell ref="C2:D2"/>
    <mergeCell ref="E2:F2"/>
    <mergeCell ref="G2:H2"/>
    <mergeCell ref="I2:J2"/>
    <mergeCell ref="K2:L2"/>
    <mergeCell ref="M2:N2"/>
    <mergeCell ref="G32:H32"/>
    <mergeCell ref="I32:J32"/>
    <mergeCell ref="I33:J33"/>
    <mergeCell ref="I38:J38"/>
    <mergeCell ref="O2:P2"/>
    <mergeCell ref="W1:X1"/>
    <mergeCell ref="W2:X2"/>
    <mergeCell ref="Y2:Z2"/>
    <mergeCell ref="F31:H31"/>
    <mergeCell ref="I31:J31"/>
    <mergeCell ref="Q2:R2"/>
    <mergeCell ref="S2:T2"/>
    <mergeCell ref="U2:V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F37"/>
  <sheetViews>
    <sheetView topLeftCell="A27" workbookViewId="0">
      <selection activeCell="D38" sqref="D38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6" x14ac:dyDescent="0.55000000000000004">
      <c r="A1" t="s">
        <v>122</v>
      </c>
      <c r="B1" t="s">
        <v>123</v>
      </c>
      <c r="C1" t="s">
        <v>124</v>
      </c>
      <c r="D1" t="s">
        <v>125</v>
      </c>
      <c r="E1" t="s">
        <v>92</v>
      </c>
      <c r="F1">
        <f>IF(COUNTIF(A:A, E1)=0, "", SUMIF(A:A, E1, C:C))</f>
        <v>123.2</v>
      </c>
    </row>
    <row r="2" spans="1:6" x14ac:dyDescent="0.55000000000000004">
      <c r="A2" t="s">
        <v>97</v>
      </c>
      <c r="B2" t="s">
        <v>126</v>
      </c>
      <c r="C2" s="59">
        <v>376.63</v>
      </c>
      <c r="D2" t="s">
        <v>127</v>
      </c>
      <c r="E2" t="s">
        <v>12</v>
      </c>
      <c r="F2">
        <f t="shared" ref="F2:F12" si="0">IF(COUNTIF(A:A, E2)=0, "", SUMIF(A:A, E2, C:C))</f>
        <v>410.13</v>
      </c>
    </row>
    <row r="3" spans="1:6" x14ac:dyDescent="0.55000000000000004">
      <c r="A3" t="s">
        <v>93</v>
      </c>
      <c r="B3" t="s">
        <v>126</v>
      </c>
      <c r="C3" s="59">
        <v>236.2</v>
      </c>
      <c r="D3" t="s">
        <v>128</v>
      </c>
      <c r="E3" t="s">
        <v>94</v>
      </c>
      <c r="F3">
        <f t="shared" si="0"/>
        <v>351.25</v>
      </c>
    </row>
    <row r="4" spans="1:6" x14ac:dyDescent="0.55000000000000004">
      <c r="A4" t="s">
        <v>97</v>
      </c>
      <c r="B4" s="60">
        <v>5</v>
      </c>
      <c r="C4" s="59">
        <v>375.45</v>
      </c>
      <c r="D4" t="s">
        <v>129</v>
      </c>
      <c r="E4" t="s">
        <v>95</v>
      </c>
      <c r="F4">
        <f t="shared" si="0"/>
        <v>60</v>
      </c>
    </row>
    <row r="5" spans="1:6" x14ac:dyDescent="0.55000000000000004">
      <c r="A5" t="s">
        <v>96</v>
      </c>
      <c r="B5" s="59">
        <v>7.5</v>
      </c>
      <c r="C5" s="59">
        <v>82.5</v>
      </c>
      <c r="D5" t="s">
        <v>130</v>
      </c>
      <c r="E5" t="s">
        <v>93</v>
      </c>
      <c r="F5">
        <f t="shared" si="0"/>
        <v>353.37</v>
      </c>
    </row>
    <row r="6" spans="1:6" x14ac:dyDescent="0.55000000000000004">
      <c r="A6" t="s">
        <v>12</v>
      </c>
      <c r="B6" s="59">
        <v>7.5</v>
      </c>
      <c r="C6" s="59">
        <v>163.13</v>
      </c>
      <c r="D6" t="s">
        <v>131</v>
      </c>
      <c r="E6" t="s">
        <v>97</v>
      </c>
      <c r="F6">
        <f t="shared" si="0"/>
        <v>1207.08</v>
      </c>
    </row>
    <row r="7" spans="1:6" x14ac:dyDescent="0.55000000000000004">
      <c r="A7" t="s">
        <v>89</v>
      </c>
      <c r="B7" s="60">
        <v>5</v>
      </c>
      <c r="C7" s="60">
        <v>70</v>
      </c>
      <c r="D7" t="s">
        <v>132</v>
      </c>
      <c r="E7" t="s">
        <v>98</v>
      </c>
      <c r="F7">
        <f t="shared" si="0"/>
        <v>311.38</v>
      </c>
    </row>
    <row r="8" spans="1:6" x14ac:dyDescent="0.55000000000000004">
      <c r="A8" t="s">
        <v>89</v>
      </c>
      <c r="B8" s="60">
        <v>5</v>
      </c>
      <c r="C8" s="60">
        <v>110</v>
      </c>
      <c r="D8" t="s">
        <v>133</v>
      </c>
      <c r="E8" t="s">
        <v>89</v>
      </c>
      <c r="F8">
        <f t="shared" si="0"/>
        <v>401.8</v>
      </c>
    </row>
    <row r="9" spans="1:6" x14ac:dyDescent="0.55000000000000004">
      <c r="A9" t="s">
        <v>12</v>
      </c>
      <c r="B9" s="60">
        <v>10</v>
      </c>
      <c r="C9" s="60">
        <v>77</v>
      </c>
      <c r="D9" t="s">
        <v>134</v>
      </c>
      <c r="E9" t="s">
        <v>96</v>
      </c>
      <c r="F9">
        <f t="shared" si="0"/>
        <v>208.8</v>
      </c>
    </row>
    <row r="10" spans="1:6" x14ac:dyDescent="0.55000000000000004">
      <c r="A10" t="s">
        <v>97</v>
      </c>
      <c r="B10" s="60">
        <v>5</v>
      </c>
      <c r="C10" s="60">
        <v>125</v>
      </c>
      <c r="D10" t="s">
        <v>135</v>
      </c>
      <c r="E10" t="s">
        <v>120</v>
      </c>
      <c r="F10">
        <f t="shared" si="0"/>
        <v>1134.25</v>
      </c>
    </row>
    <row r="11" spans="1:6" x14ac:dyDescent="0.55000000000000004">
      <c r="A11" t="s">
        <v>97</v>
      </c>
      <c r="B11" s="60">
        <v>10</v>
      </c>
      <c r="C11" s="60">
        <v>150</v>
      </c>
      <c r="D11" t="s">
        <v>136</v>
      </c>
      <c r="E11" t="s">
        <v>121</v>
      </c>
      <c r="F11">
        <f t="shared" si="0"/>
        <v>700</v>
      </c>
    </row>
    <row r="12" spans="1:6" x14ac:dyDescent="0.55000000000000004">
      <c r="A12" t="s">
        <v>89</v>
      </c>
      <c r="B12" s="60">
        <v>5</v>
      </c>
      <c r="C12" s="59">
        <v>72.5</v>
      </c>
      <c r="D12" t="s">
        <v>137</v>
      </c>
      <c r="E12" t="s">
        <v>9</v>
      </c>
      <c r="F12">
        <f t="shared" si="0"/>
        <v>159.37</v>
      </c>
    </row>
    <row r="13" spans="1:6" x14ac:dyDescent="0.55000000000000004">
      <c r="A13" t="s">
        <v>96</v>
      </c>
      <c r="B13" s="59">
        <v>2.5</v>
      </c>
      <c r="C13" s="59">
        <v>46.3</v>
      </c>
      <c r="D13" t="s">
        <v>138</v>
      </c>
      <c r="F13" s="61">
        <f>SUM(F1:F12)</f>
        <v>5420.63</v>
      </c>
    </row>
    <row r="14" spans="1:6" x14ac:dyDescent="0.55000000000000004">
      <c r="A14" t="s">
        <v>89</v>
      </c>
      <c r="B14" s="60">
        <v>5</v>
      </c>
      <c r="C14" s="60">
        <v>30</v>
      </c>
      <c r="D14" t="s">
        <v>139</v>
      </c>
    </row>
    <row r="15" spans="1:6" x14ac:dyDescent="0.55000000000000004">
      <c r="A15" t="s">
        <v>96</v>
      </c>
      <c r="B15" s="60">
        <v>5</v>
      </c>
      <c r="C15" s="60">
        <v>60</v>
      </c>
      <c r="D15" t="s">
        <v>140</v>
      </c>
    </row>
    <row r="16" spans="1:6" x14ac:dyDescent="0.55000000000000004">
      <c r="A16" t="s">
        <v>120</v>
      </c>
      <c r="B16" s="60">
        <v>25</v>
      </c>
      <c r="C16" s="59">
        <v>411.75</v>
      </c>
      <c r="D16" t="s">
        <v>141</v>
      </c>
    </row>
    <row r="17" spans="1:4" x14ac:dyDescent="0.55000000000000004">
      <c r="A17" t="s">
        <v>93</v>
      </c>
      <c r="B17" s="60">
        <v>5</v>
      </c>
      <c r="C17" s="59">
        <v>79.67</v>
      </c>
      <c r="D17" t="s">
        <v>142</v>
      </c>
    </row>
    <row r="18" spans="1:4" x14ac:dyDescent="0.55000000000000004">
      <c r="A18" t="s">
        <v>95</v>
      </c>
      <c r="B18" s="60">
        <v>5</v>
      </c>
      <c r="C18" s="60">
        <v>60</v>
      </c>
      <c r="D18" t="s">
        <v>143</v>
      </c>
    </row>
    <row r="19" spans="1:4" x14ac:dyDescent="0.55000000000000004">
      <c r="A19" t="s">
        <v>9</v>
      </c>
      <c r="B19" s="60">
        <v>5</v>
      </c>
      <c r="C19" s="60">
        <v>140</v>
      </c>
      <c r="D19" t="s">
        <v>144</v>
      </c>
    </row>
    <row r="20" spans="1:4" x14ac:dyDescent="0.55000000000000004">
      <c r="A20" t="s">
        <v>96</v>
      </c>
      <c r="B20" s="60">
        <v>5</v>
      </c>
      <c r="C20" s="60">
        <v>20</v>
      </c>
      <c r="D20" t="s">
        <v>145</v>
      </c>
    </row>
    <row r="21" spans="1:4" x14ac:dyDescent="0.55000000000000004">
      <c r="A21" t="s">
        <v>89</v>
      </c>
      <c r="B21" s="60">
        <v>5</v>
      </c>
      <c r="C21" s="59">
        <v>43.75</v>
      </c>
      <c r="D21" t="s">
        <v>146</v>
      </c>
    </row>
    <row r="22" spans="1:4" x14ac:dyDescent="0.55000000000000004">
      <c r="A22" t="s">
        <v>92</v>
      </c>
      <c r="B22" s="60">
        <v>5</v>
      </c>
      <c r="C22" s="59">
        <v>19.2</v>
      </c>
      <c r="D22" t="s">
        <v>147</v>
      </c>
    </row>
    <row r="23" spans="1:4" x14ac:dyDescent="0.55000000000000004">
      <c r="A23" t="s">
        <v>9</v>
      </c>
      <c r="B23" t="s">
        <v>148</v>
      </c>
      <c r="C23" s="59">
        <v>19.37</v>
      </c>
      <c r="D23" t="s">
        <v>149</v>
      </c>
    </row>
    <row r="24" spans="1:4" x14ac:dyDescent="0.55000000000000004">
      <c r="A24" t="s">
        <v>98</v>
      </c>
      <c r="B24" s="60">
        <v>20</v>
      </c>
      <c r="C24" s="59">
        <v>188.88</v>
      </c>
      <c r="D24" t="s">
        <v>150</v>
      </c>
    </row>
    <row r="25" spans="1:4" x14ac:dyDescent="0.55000000000000004">
      <c r="A25" t="s">
        <v>97</v>
      </c>
      <c r="B25" s="60">
        <v>5</v>
      </c>
      <c r="C25" s="60">
        <v>180</v>
      </c>
      <c r="D25" t="s">
        <v>151</v>
      </c>
    </row>
    <row r="26" spans="1:4" x14ac:dyDescent="0.55000000000000004">
      <c r="A26" t="s">
        <v>94</v>
      </c>
      <c r="B26" t="s">
        <v>152</v>
      </c>
      <c r="C26" s="59">
        <v>98.75</v>
      </c>
      <c r="D26" t="s">
        <v>153</v>
      </c>
    </row>
    <row r="27" spans="1:4" x14ac:dyDescent="0.55000000000000004">
      <c r="A27" t="s">
        <v>89</v>
      </c>
      <c r="B27" s="60">
        <v>5</v>
      </c>
      <c r="C27" s="60">
        <v>40</v>
      </c>
      <c r="D27" t="s">
        <v>154</v>
      </c>
    </row>
    <row r="28" spans="1:4" x14ac:dyDescent="0.55000000000000004">
      <c r="A28" t="s">
        <v>94</v>
      </c>
      <c r="B28" t="s">
        <v>152</v>
      </c>
      <c r="C28" s="59">
        <v>103.75</v>
      </c>
      <c r="D28" t="s">
        <v>155</v>
      </c>
    </row>
    <row r="29" spans="1:4" x14ac:dyDescent="0.55000000000000004">
      <c r="A29" t="s">
        <v>120</v>
      </c>
      <c r="B29" s="60">
        <v>10</v>
      </c>
      <c r="C29" s="59">
        <v>197.5</v>
      </c>
      <c r="D29" t="s">
        <v>156</v>
      </c>
    </row>
    <row r="30" spans="1:4" x14ac:dyDescent="0.55000000000000004">
      <c r="A30" t="s">
        <v>121</v>
      </c>
      <c r="B30" s="60">
        <v>5</v>
      </c>
      <c r="C30" s="60">
        <v>700</v>
      </c>
      <c r="D30" t="s">
        <v>157</v>
      </c>
    </row>
    <row r="31" spans="1:4" x14ac:dyDescent="0.55000000000000004">
      <c r="A31" t="s">
        <v>12</v>
      </c>
      <c r="B31" s="60">
        <v>20</v>
      </c>
      <c r="C31" s="60">
        <v>170</v>
      </c>
      <c r="D31" t="s">
        <v>158</v>
      </c>
    </row>
    <row r="32" spans="1:4" x14ac:dyDescent="0.55000000000000004">
      <c r="A32" t="s">
        <v>94</v>
      </c>
      <c r="B32" s="60">
        <v>5</v>
      </c>
      <c r="C32" s="59">
        <v>148.75</v>
      </c>
      <c r="D32" t="s">
        <v>159</v>
      </c>
    </row>
    <row r="33" spans="1:4" x14ac:dyDescent="0.55000000000000004">
      <c r="A33" t="s">
        <v>92</v>
      </c>
      <c r="B33" s="60">
        <v>10</v>
      </c>
      <c r="C33" s="59">
        <v>104</v>
      </c>
      <c r="D33" t="s">
        <v>160</v>
      </c>
    </row>
    <row r="34" spans="1:4" x14ac:dyDescent="0.55000000000000004">
      <c r="A34" t="s">
        <v>98</v>
      </c>
      <c r="B34" s="60">
        <v>10</v>
      </c>
      <c r="C34" s="59">
        <v>122.5</v>
      </c>
      <c r="D34" t="s">
        <v>161</v>
      </c>
    </row>
    <row r="35" spans="1:4" x14ac:dyDescent="0.55000000000000004">
      <c r="A35" t="s">
        <v>89</v>
      </c>
      <c r="B35" s="60">
        <v>15</v>
      </c>
      <c r="C35" s="59">
        <v>35.549999999999997</v>
      </c>
      <c r="D35" t="s">
        <v>162</v>
      </c>
    </row>
    <row r="36" spans="1:4" x14ac:dyDescent="0.55000000000000004">
      <c r="A36" t="s">
        <v>93</v>
      </c>
      <c r="B36" t="s">
        <v>163</v>
      </c>
      <c r="C36" s="59">
        <v>37.5</v>
      </c>
      <c r="D36" t="s">
        <v>164</v>
      </c>
    </row>
    <row r="37" spans="1:4" x14ac:dyDescent="0.55000000000000004">
      <c r="A37" t="s">
        <v>120</v>
      </c>
      <c r="B37" s="60">
        <v>10</v>
      </c>
      <c r="C37" s="60">
        <v>525</v>
      </c>
      <c r="D37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7A62A-0CB5-48B0-A73A-0A91BCC8EAEF}">
  <ds:schemaRefs>
    <ds:schemaRef ds:uri="3e1ffae5-f160-4019-9720-1b11bf1b81a3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21753bd8-bffc-4cd2-a328-982ee854c8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2025-06-26T01:19:52Z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