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309339B6-8538-4FF3-B869-690A10D76FA0}" xr6:coauthVersionLast="47" xr6:coauthVersionMax="47" xr10:uidLastSave="{00000000-0000-0000-0000-000000000000}"/>
  <bookViews>
    <workbookView xWindow="-96" yWindow="-96" windowWidth="23232" windowHeight="13872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" i="10" l="1"/>
  <c r="X29" i="10" s="1"/>
  <c r="E55" i="10" s="1"/>
  <c r="M10" i="10"/>
  <c r="AC10" i="10" s="1"/>
  <c r="M7" i="10"/>
  <c r="Q7" i="10"/>
  <c r="K7" i="10"/>
  <c r="O7" i="10"/>
  <c r="AD6" i="10"/>
  <c r="AD7" i="10"/>
  <c r="AD8" i="10"/>
  <c r="AD9" i="10"/>
  <c r="AD10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E50" i="10"/>
  <c r="Z5" i="10"/>
  <c r="W58" i="10"/>
  <c r="Z29" i="10"/>
  <c r="E56" i="10" s="1"/>
  <c r="Y29" i="10"/>
  <c r="AA29" i="10"/>
  <c r="AB29" i="10"/>
  <c r="W29" i="10"/>
  <c r="K60" i="10"/>
  <c r="Y34" i="10"/>
  <c r="Y33" i="10"/>
  <c r="V29" i="10"/>
  <c r="P34" i="10" s="1"/>
  <c r="U29" i="10"/>
  <c r="O34" i="10" s="1"/>
  <c r="T29" i="10"/>
  <c r="R29" i="10"/>
  <c r="Q29" i="10"/>
  <c r="AI14" i="10" s="1"/>
  <c r="P29" i="10"/>
  <c r="AJ15" i="10" s="1"/>
  <c r="O29" i="10"/>
  <c r="AI15" i="10" s="1"/>
  <c r="N29" i="10"/>
  <c r="L29" i="10"/>
  <c r="E49" i="10" s="1"/>
  <c r="K29" i="10"/>
  <c r="AI8" i="10" s="1"/>
  <c r="J29" i="10"/>
  <c r="AJ11" i="10" s="1"/>
  <c r="I29" i="10"/>
  <c r="AI11" i="10" s="1"/>
  <c r="H29" i="10"/>
  <c r="F29" i="10"/>
  <c r="E29" i="10"/>
  <c r="AI7" i="10" s="1"/>
  <c r="D29" i="10"/>
  <c r="C29" i="10"/>
  <c r="AI10" i="10" s="1"/>
  <c r="S29" i="10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M29" i="10" l="1"/>
  <c r="AD11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C34" i="10" s="1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K8" i="10" l="1"/>
  <c r="AL10" i="10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F6" i="10" l="1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<sst xmlns="http://schemas.openxmlformats.org/spreadsheetml/2006/main" count="705" uniqueCount="149">
  <si>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</si>
  <si>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</si>
  <si>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</si>
  <si>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</si>
  <si>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</si>
  <si>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</si>
  <si>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</si>
  <si>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</si>
  <si>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</si>
  <si>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</si>
  <si>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</si>
  <si>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</si>
  <si>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</si>
  <si>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</si>
  <si>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</si>
  <si>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</si>
  <si>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</si>
  <si>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</si>
  <si>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</si>
  <si>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</si>
  <si>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</si>
  <si>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</si>
  <si>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</si>
  <si>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</si>
  <si>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</si>
  <si>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</si>
  <si>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</si>
  <si>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</si>
  <si>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</si>
  <si>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</si>
  <si>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</si>
  <si>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</si>
  <si>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</si>
  <si>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</si>
  <si>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</si>
  <si>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</si>
  <si>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</si>
  <si>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</si>
  <si>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</si>
  <si>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</si>
  <si>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</si>
  <si>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</si>
  <si>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</si>
  <si>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</si>
  <si>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</si>
  <si>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</si>
  <si>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</si>
  <si>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</si>
  <si>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</si>
  <si>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</si>
  <si>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</si>
  <si>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</si>
  <si>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</si>
  <si>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</si>
  <si>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</si>
  <si>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</si>
  <si>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</si>
  <si>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</si>
  <si>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</si>
  <si>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</si>
  <si>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</si>
  <si>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</si>
  <si>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</si>
  <si>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</si>
  <si>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</si>
  <si>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</si>
  <si>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</si>
  <si>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</si>
  <si>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</si>
  <si>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</si>
  <si>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</si>
  <si>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</si>
  <si>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</si>
  <si>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</si>
  <si>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</si>
  <si>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</si>
  <si>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</si>
  <si>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</si>
  <si>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</si>
  <si>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</si>
  <si>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</si>
  <si>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</si>
  <si>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</si>
  <si>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</si>
  <si>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</si>
  <si>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</si>
  <si>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</si>
  <si>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</si>
  <si>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</si>
  <si>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</si>
  <si>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</si>
  <si>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</si>
  <si>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</si>
  <si>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</si>
  <si>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</si>
  <si>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</si>
  <si>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</si>
  <si>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</si>
  <si>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</si>
  <si>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</si>
  <si>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</si>
  <si>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</si>
  <si>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</si>
  <si>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</si>
  <si>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</si>
  <si>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</si>
  <si>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</si>
  <si>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</si>
  <si>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</si>
  <si>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</si>
  <si>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</si>
  <si>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</si>
  <si>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</si>
  <si>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</si>
  <si>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</si>
  <si>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</si>
  <si>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</si>
  <si>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</si>
  <si>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</si>
  <si>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</si>
  <si>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</si>
  <si>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</si>
  <si>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</si>
  <si>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</si>
  <si>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</si>
  <si>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</si>
  <si>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</si>
  <si>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</si>
  <si>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</si>
  <si>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</si>
  <si>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</si>
  <si>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</si>
  <si>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</si>
  <si>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</si>
  <si>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</si>
  <si>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</si>
  <si>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</si>
  <si>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</si>
  <si>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</si>
  <si>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</si>
  <si>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</si>
  <si>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Moose</t>
  </si>
  <si>
    <t>Swikowski 6/15 touches</t>
  </si>
  <si>
    <t>Scotty</t>
  </si>
  <si>
    <t>Logan Morris 0/2 goals</t>
  </si>
  <si>
    <t>Strikes for 2025 Season at 28 April 2025</t>
  </si>
  <si>
    <t>Sandro Tonali shot on target</t>
  </si>
  <si>
    <t>Willie Rioli 1/2 goals</t>
  </si>
  <si>
    <t>1 leg losses as at 28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</si>
</sst>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1" xfId="0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19</v>
      </c>
      <c r="F2" s="68"/>
      <c r="G2" s="68" t="s">
        <v>20</v>
      </c>
      <c r="H2" s="68"/>
      <c r="I2" s="68" t="s">
        <v>21</v>
      </c>
      <c r="J2" s="68"/>
      <c r="K2" s="68" t="s">
        <v>22</v>
      </c>
      <c r="L2" s="68"/>
      <c r="M2" s="68" t="s">
        <v>23</v>
      </c>
      <c r="N2" s="68"/>
      <c r="O2" s="68" t="s">
        <v>24</v>
      </c>
      <c r="P2" s="68"/>
      <c r="Q2" s="68" t="s">
        <v>25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2469.42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1774.69</v>
      </c>
      <c r="J30" s="63"/>
    </row>
    <row r="31" spans="2:27" x14ac:dyDescent="0.55000000000000004">
      <c r="I31" s="62">
        <f>I30-I29</f>
        <v>-694.73</v>
      </c>
      <c r="J31" s="63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3">
        <f>I33+I31</f>
        <v>505.27</v>
      </c>
      <c r="J34" s="63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22</v>
      </c>
      <c r="F2" s="68"/>
      <c r="G2" s="71" t="s">
        <v>21</v>
      </c>
      <c r="H2" s="67"/>
      <c r="I2" s="68" t="s">
        <v>20</v>
      </c>
      <c r="J2" s="68"/>
      <c r="K2" s="68" t="s">
        <v>19</v>
      </c>
      <c r="L2" s="68"/>
      <c r="M2" s="68" t="s">
        <v>25</v>
      </c>
      <c r="N2" s="68"/>
      <c r="O2" s="68" t="s">
        <v>24</v>
      </c>
      <c r="P2" s="68"/>
      <c r="Q2" s="68" t="s">
        <v>23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1788.24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2492.1999999999998</v>
      </c>
      <c r="J30" s="63"/>
    </row>
    <row r="31" spans="2:27" x14ac:dyDescent="0.55000000000000004">
      <c r="I31" s="62">
        <f>I30-I29</f>
        <v>703.95999999999981</v>
      </c>
      <c r="J31" s="63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2">
        <f>I33+I31</f>
        <v>1303.9599999999998</v>
      </c>
      <c r="J34" s="72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23</v>
      </c>
      <c r="D2" s="68"/>
      <c r="E2" s="68" t="s">
        <v>20</v>
      </c>
      <c r="F2" s="68"/>
      <c r="G2" s="68" t="s">
        <v>19</v>
      </c>
      <c r="H2" s="68"/>
      <c r="I2" s="68" t="s">
        <v>21</v>
      </c>
      <c r="J2" s="68"/>
      <c r="K2" s="68" t="s">
        <v>22</v>
      </c>
      <c r="L2" s="68"/>
      <c r="M2" s="68" t="s">
        <v>26</v>
      </c>
      <c r="N2" s="68"/>
      <c r="O2" s="68" t="s">
        <v>24</v>
      </c>
      <c r="P2" s="68"/>
      <c r="Q2" s="68" t="s">
        <v>25</v>
      </c>
      <c r="R2" s="68"/>
      <c r="S2" s="68" t="s">
        <v>18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2521.33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2997.5899999999997</v>
      </c>
      <c r="J32" s="63"/>
    </row>
    <row r="33" spans="3:17" x14ac:dyDescent="0.55000000000000004">
      <c r="I33" s="62">
        <f>I32-I31</f>
        <v>476.25999999999976</v>
      </c>
      <c r="J33" s="63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2">
        <f>I35+I33</f>
        <v>2476.2599999999998</v>
      </c>
      <c r="J36" s="72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AE16" sqref="AE1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8" t="s">
        <v>26</v>
      </c>
      <c r="D2" s="68"/>
      <c r="E2" s="71" t="s">
        <v>20</v>
      </c>
      <c r="F2" s="67"/>
      <c r="G2" s="68" t="s">
        <v>23</v>
      </c>
      <c r="H2" s="68"/>
      <c r="I2" s="68" t="s">
        <v>19</v>
      </c>
      <c r="J2" s="68"/>
      <c r="K2" s="68" t="s">
        <v>18</v>
      </c>
      <c r="L2" s="68"/>
      <c r="M2" s="71" t="s">
        <v>22</v>
      </c>
      <c r="N2" s="67"/>
      <c r="O2" s="68" t="s">
        <v>25</v>
      </c>
      <c r="P2" s="68"/>
      <c r="Q2" s="68" t="s">
        <v>21</v>
      </c>
      <c r="R2" s="68"/>
      <c r="S2" s="68" t="s">
        <v>24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2462.73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1004.25</v>
      </c>
      <c r="J32" s="63"/>
    </row>
    <row r="33" spans="3:25" x14ac:dyDescent="0.55000000000000004">
      <c r="I33" s="62">
        <f>I32-I31</f>
        <v>-1458.48</v>
      </c>
      <c r="J33" s="63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2">
        <f>I36+I33+J37</f>
        <v>322.7800000000002</v>
      </c>
      <c r="J38" s="72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6" workbookViewId="0">
      <selection activeCell="I36" sqref="I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100</v>
      </c>
      <c r="D2" s="68"/>
      <c r="E2" s="71" t="s">
        <v>101</v>
      </c>
      <c r="F2" s="67"/>
      <c r="G2" s="68" t="s">
        <v>102</v>
      </c>
      <c r="H2" s="68"/>
      <c r="I2" s="68" t="s">
        <v>103</v>
      </c>
      <c r="J2" s="68"/>
      <c r="K2" s="68" t="s">
        <v>104</v>
      </c>
      <c r="L2" s="68"/>
      <c r="M2" s="71" t="s">
        <v>105</v>
      </c>
      <c r="N2" s="67"/>
      <c r="O2" s="68" t="s">
        <v>106</v>
      </c>
      <c r="P2" s="68"/>
      <c r="Q2" s="68" t="s">
        <v>107</v>
      </c>
      <c r="R2" s="68"/>
      <c r="S2" s="68" t="s">
        <v>24</v>
      </c>
      <c r="T2" s="68"/>
      <c r="U2" s="68" t="s">
        <v>108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2158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709.26</v>
      </c>
      <c r="J32" s="63"/>
    </row>
    <row r="33" spans="3:25" x14ac:dyDescent="0.55000000000000004">
      <c r="I33" s="62">
        <f>I32-I31</f>
        <v>-1448.74</v>
      </c>
      <c r="J33" s="63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2">
        <f>I36+I33</f>
        <v>552.84999999999991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30" workbookViewId="0">
      <selection activeCell="N58" sqref="N5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5"/>
      <c r="X1" s="76"/>
    </row>
    <row r="2" spans="2:38" ht="18.3" x14ac:dyDescent="0.7">
      <c r="C2" s="68" t="s">
        <v>113</v>
      </c>
      <c r="D2" s="68"/>
      <c r="E2" s="71" t="s">
        <v>101</v>
      </c>
      <c r="F2" s="67"/>
      <c r="G2" s="68" t="s">
        <v>114</v>
      </c>
      <c r="H2" s="68"/>
      <c r="I2" s="68" t="s">
        <v>115</v>
      </c>
      <c r="J2" s="68"/>
      <c r="K2" s="68" t="s">
        <v>104</v>
      </c>
      <c r="L2" s="68"/>
      <c r="M2" s="71" t="s">
        <v>103</v>
      </c>
      <c r="N2" s="67"/>
      <c r="O2" s="68" t="s">
        <v>106</v>
      </c>
      <c r="P2" s="68"/>
      <c r="Q2" s="68" t="s">
        <v>107</v>
      </c>
      <c r="R2" s="68"/>
      <c r="S2" s="68" t="s">
        <v>100</v>
      </c>
      <c r="T2" s="68"/>
      <c r="U2" s="68" t="s">
        <v>108</v>
      </c>
      <c r="V2" s="71"/>
      <c r="W2" s="77" t="s">
        <v>102</v>
      </c>
      <c r="X2" s="78"/>
      <c r="Y2" s="77" t="s">
        <v>105</v>
      </c>
      <c r="Z2" s="79"/>
      <c r="AA2" s="73" t="s">
        <v>66</v>
      </c>
      <c r="AB2" s="74"/>
      <c r="AC2" s="67" t="s">
        <v>28</v>
      </c>
      <c r="AD2" s="68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8" t="s">
        <v>30</v>
      </c>
      <c r="X3" s="59" t="s">
        <v>31</v>
      </c>
      <c r="Y3" s="58" t="s">
        <v>30</v>
      </c>
      <c r="Z3" s="59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1078</v>
      </c>
      <c r="AJ7" s="44">
        <f>+F29+'Punters 2023'!AF7</f>
        <v>534</v>
      </c>
      <c r="AK7" s="49">
        <f>+AJ7-AI7</f>
        <v>-544</v>
      </c>
      <c r="AL7" s="47">
        <f>(AJ7-AI7)/AI7</f>
        <v>-0.50463821892393323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1238</v>
      </c>
      <c r="AJ8" s="44">
        <f>+L29+'Punters 2023'!AF8</f>
        <v>1019.77</v>
      </c>
      <c r="AK8" s="50">
        <f t="shared" ref="AK8:AK16" si="5">+AJ8-AI8</f>
        <v>-218.23000000000002</v>
      </c>
      <c r="AL8" s="47">
        <f t="shared" ref="AL8:AL16" si="6">(AJ8-AI8)/AI8</f>
        <v>-0.17627625201938613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1211.48</v>
      </c>
      <c r="AJ9" s="44">
        <f>N29+'Punters 2023'!AF9</f>
        <v>961.4</v>
      </c>
      <c r="AK9" s="50">
        <f t="shared" si="5"/>
        <v>-250.08000000000004</v>
      </c>
      <c r="AL9" s="47">
        <f t="shared" si="6"/>
        <v>-0.20642519893023412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1214.9000000000001</v>
      </c>
      <c r="AJ10" s="44">
        <f>+D29+'Punters 2023'!AF10</f>
        <v>1516.4499999999998</v>
      </c>
      <c r="AK10" s="50">
        <f t="shared" si="5"/>
        <v>301.54999999999973</v>
      </c>
      <c r="AL10" s="45">
        <f t="shared" si="6"/>
        <v>0.24820972919581835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20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95</v>
      </c>
      <c r="AD11" s="35">
        <f t="shared" si="3"/>
        <v>228.61</v>
      </c>
      <c r="AE11" s="1">
        <f t="shared" si="4"/>
        <v>895</v>
      </c>
      <c r="AF11" s="1">
        <f t="shared" si="4"/>
        <v>629.02</v>
      </c>
      <c r="AG11" s="1">
        <f t="shared" si="1"/>
        <v>-265.98</v>
      </c>
      <c r="AH11" s="44" t="s">
        <v>75</v>
      </c>
      <c r="AI11" s="44">
        <f>+I29+'Punters 2023'!AE11</f>
        <v>943</v>
      </c>
      <c r="AJ11" s="44">
        <f>+J29+'Punters 2023'!AF11</f>
        <v>58.25</v>
      </c>
      <c r="AK11" s="49">
        <f t="shared" si="5"/>
        <v>-884.75</v>
      </c>
      <c r="AL11" s="47">
        <f t="shared" si="6"/>
        <v>-0.93822905620360553</v>
      </c>
    </row>
    <row r="12" spans="2:38" ht="14.7" thickBot="1" x14ac:dyDescent="0.6">
      <c r="B12" s="52" t="s">
        <v>40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0</v>
      </c>
      <c r="AD12" s="35">
        <f t="shared" si="3"/>
        <v>0</v>
      </c>
      <c r="AE12" s="1">
        <f t="shared" si="4"/>
        <v>895</v>
      </c>
      <c r="AF12" s="1">
        <f t="shared" si="4"/>
        <v>629.02</v>
      </c>
      <c r="AG12" s="1">
        <f t="shared" si="1"/>
        <v>-265.98</v>
      </c>
      <c r="AH12" s="44" t="s">
        <v>76</v>
      </c>
      <c r="AI12" s="44">
        <f>+U29+'Punters 2023'!AE12</f>
        <v>1264.96</v>
      </c>
      <c r="AJ12" s="44">
        <f>+V29+'Punters 2023'!AF12</f>
        <v>844.40999999999985</v>
      </c>
      <c r="AK12" s="49">
        <f t="shared" si="5"/>
        <v>-420.55000000000018</v>
      </c>
      <c r="AL12" s="47">
        <f t="shared" si="6"/>
        <v>-0.33246110548950175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0</v>
      </c>
      <c r="AD13" s="35">
        <f t="shared" si="3"/>
        <v>0</v>
      </c>
      <c r="AE13" s="1">
        <f t="shared" si="4"/>
        <v>895</v>
      </c>
      <c r="AF13" s="1">
        <f t="shared" si="4"/>
        <v>629.02</v>
      </c>
      <c r="AG13" s="1">
        <f t="shared" si="1"/>
        <v>-265.98</v>
      </c>
      <c r="AH13" s="44" t="s">
        <v>77</v>
      </c>
      <c r="AI13" s="44">
        <f>+S29+'Punters 2023'!AE13</f>
        <v>1196.3400000000001</v>
      </c>
      <c r="AJ13" s="44">
        <f>+T29+'Punters 2023'!AF13</f>
        <v>766.69</v>
      </c>
      <c r="AK13" s="49">
        <f t="shared" si="5"/>
        <v>-429.65000000000009</v>
      </c>
      <c r="AL13" s="47">
        <f t="shared" si="6"/>
        <v>-0.35913703462226459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5"/>
      <c r="Z14" s="20"/>
      <c r="AA14" s="15"/>
      <c r="AB14" s="20"/>
      <c r="AC14" s="17">
        <f t="shared" si="2"/>
        <v>0</v>
      </c>
      <c r="AD14" s="35">
        <f t="shared" si="3"/>
        <v>0</v>
      </c>
      <c r="AE14" s="1">
        <f t="shared" si="4"/>
        <v>895</v>
      </c>
      <c r="AF14" s="1">
        <f t="shared" si="4"/>
        <v>629.02</v>
      </c>
      <c r="AG14" s="1">
        <f t="shared" si="1"/>
        <v>-265.98</v>
      </c>
      <c r="AH14" s="44" t="s">
        <v>78</v>
      </c>
      <c r="AI14" s="44">
        <f>+Q29+'Punters 2023'!AE14</f>
        <v>1198</v>
      </c>
      <c r="AJ14" s="44">
        <f>+R29+'Punters 2023'!AF14</f>
        <v>637.47</v>
      </c>
      <c r="AK14" s="49">
        <f t="shared" si="5"/>
        <v>-560.53</v>
      </c>
      <c r="AL14" s="47">
        <f t="shared" si="6"/>
        <v>-0.4678881469115192</v>
      </c>
    </row>
    <row r="15" spans="2:38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0</v>
      </c>
      <c r="AD15" s="35">
        <f t="shared" si="3"/>
        <v>0</v>
      </c>
      <c r="AE15" s="1">
        <f t="shared" si="4"/>
        <v>895</v>
      </c>
      <c r="AF15" s="1">
        <f t="shared" si="4"/>
        <v>629.02</v>
      </c>
      <c r="AG15" s="1">
        <f t="shared" si="1"/>
        <v>-265.98</v>
      </c>
      <c r="AH15" s="44" t="s">
        <v>79</v>
      </c>
      <c r="AI15" s="44">
        <f>+O29+'Punters 2023'!AE15</f>
        <v>1207.7</v>
      </c>
      <c r="AJ15" s="44">
        <f>+P29+'Punters 2023'!AF15</f>
        <v>1570.4699999999998</v>
      </c>
      <c r="AK15" s="50">
        <f t="shared" si="5"/>
        <v>362.76999999999975</v>
      </c>
      <c r="AL15" s="45">
        <f t="shared" si="6"/>
        <v>0.30038088929369855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0</v>
      </c>
      <c r="AD16" s="35">
        <f t="shared" si="3"/>
        <v>0</v>
      </c>
      <c r="AE16" s="1">
        <f t="shared" si="4"/>
        <v>895</v>
      </c>
      <c r="AF16" s="1">
        <f t="shared" si="4"/>
        <v>629.02</v>
      </c>
      <c r="AG16" s="1">
        <f t="shared" si="1"/>
        <v>-265.98</v>
      </c>
      <c r="AH16" s="44" t="s">
        <v>80</v>
      </c>
      <c r="AI16" s="44">
        <f>+G29+'Punters 2023'!AE16</f>
        <v>502</v>
      </c>
      <c r="AJ16" s="44">
        <f>+H29+'Punters 2023'!AF16</f>
        <v>151.25</v>
      </c>
      <c r="AK16" s="49">
        <f t="shared" si="5"/>
        <v>-350.75</v>
      </c>
      <c r="AL16" s="47">
        <f t="shared" si="6"/>
        <v>-0.69870517928286857</v>
      </c>
    </row>
    <row r="17" spans="2:38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 t="shared" si="2"/>
        <v>0</v>
      </c>
      <c r="AD17" s="35">
        <f t="shared" si="3"/>
        <v>0</v>
      </c>
      <c r="AE17" s="1">
        <f t="shared" si="4"/>
        <v>895</v>
      </c>
      <c r="AF17" s="1">
        <f t="shared" si="4"/>
        <v>629.02</v>
      </c>
      <c r="AG17" s="1">
        <f t="shared" si="1"/>
        <v>-265.98</v>
      </c>
      <c r="AH17" s="44" t="s">
        <v>116</v>
      </c>
      <c r="AI17" s="57"/>
      <c r="AJ17" s="57"/>
      <c r="AK17" s="57"/>
      <c r="AL17" s="57"/>
    </row>
    <row r="18" spans="2:38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0</v>
      </c>
      <c r="AD18" s="35">
        <f t="shared" si="3"/>
        <v>0</v>
      </c>
      <c r="AE18" s="1">
        <f t="shared" si="4"/>
        <v>895</v>
      </c>
      <c r="AF18" s="1">
        <f t="shared" si="4"/>
        <v>629.02</v>
      </c>
      <c r="AG18" s="1">
        <f t="shared" si="1"/>
        <v>-265.98</v>
      </c>
      <c r="AH18" s="44" t="s">
        <v>117</v>
      </c>
      <c r="AI18" s="57"/>
      <c r="AJ18" s="57"/>
      <c r="AK18" s="57"/>
      <c r="AL18" s="57"/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0</v>
      </c>
      <c r="AD19" s="35">
        <f t="shared" si="3"/>
        <v>0</v>
      </c>
      <c r="AE19" s="1">
        <f t="shared" si="4"/>
        <v>895</v>
      </c>
      <c r="AF19" s="1">
        <f t="shared" si="4"/>
        <v>629.02</v>
      </c>
      <c r="AG19" s="1">
        <f t="shared" si="1"/>
        <v>-265.98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2"/>
        <v>0</v>
      </c>
      <c r="AD20" s="35">
        <f t="shared" si="3"/>
        <v>0</v>
      </c>
      <c r="AE20" s="1">
        <f t="shared" si="4"/>
        <v>895</v>
      </c>
      <c r="AF20" s="1">
        <f t="shared" si="4"/>
        <v>629.02</v>
      </c>
      <c r="AG20" s="1">
        <f t="shared" si="1"/>
        <v>-265.98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0</v>
      </c>
      <c r="AD21" s="35">
        <f t="shared" si="3"/>
        <v>0</v>
      </c>
      <c r="AE21" s="1">
        <f t="shared" si="4"/>
        <v>895</v>
      </c>
      <c r="AF21" s="1">
        <f t="shared" si="4"/>
        <v>629.02</v>
      </c>
      <c r="AG21" s="1">
        <f t="shared" si="1"/>
        <v>-265.98</v>
      </c>
      <c r="AH21" s="1"/>
    </row>
    <row r="22" spans="2:38" x14ac:dyDescent="0.55000000000000004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0</v>
      </c>
      <c r="AD22" s="35">
        <f t="shared" si="3"/>
        <v>0</v>
      </c>
      <c r="AE22" s="1">
        <f t="shared" ref="AE22:AF27" si="7">AE21+AC22</f>
        <v>895</v>
      </c>
      <c r="AF22" s="1">
        <f t="shared" si="7"/>
        <v>629.02</v>
      </c>
      <c r="AG22" s="1">
        <f t="shared" si="1"/>
        <v>-265.98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2"/>
        <v>0</v>
      </c>
      <c r="AD23" s="35">
        <f t="shared" si="3"/>
        <v>0</v>
      </c>
      <c r="AE23" s="1">
        <f t="shared" si="7"/>
        <v>895</v>
      </c>
      <c r="AF23" s="1">
        <f t="shared" si="7"/>
        <v>629.02</v>
      </c>
      <c r="AG23" s="1">
        <f t="shared" si="1"/>
        <v>-265.98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7"/>
        <v>895</v>
      </c>
      <c r="AF24" s="1">
        <f t="shared" si="7"/>
        <v>629.02</v>
      </c>
      <c r="AG24" s="1">
        <f t="shared" si="1"/>
        <v>-265.98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7"/>
        <v>895</v>
      </c>
      <c r="AF25" s="1">
        <f t="shared" si="7"/>
        <v>629.02</v>
      </c>
      <c r="AG25" s="1">
        <f t="shared" si="1"/>
        <v>-265.98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7"/>
        <v>895</v>
      </c>
      <c r="AF26" s="1">
        <f t="shared" si="7"/>
        <v>629.02</v>
      </c>
      <c r="AG26" s="1">
        <f t="shared" si="1"/>
        <v>-265.98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7"/>
        <v>895</v>
      </c>
      <c r="AF27" s="1">
        <f t="shared" si="7"/>
        <v>629.02</v>
      </c>
      <c r="AG27" s="1">
        <f t="shared" si="1"/>
        <v>-265.98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8">SUM(C4:C28)</f>
        <v>75</v>
      </c>
      <c r="D29" s="18">
        <f t="shared" si="8"/>
        <v>0</v>
      </c>
      <c r="E29" s="18">
        <f t="shared" si="8"/>
        <v>75</v>
      </c>
      <c r="F29" s="18">
        <f t="shared" si="8"/>
        <v>0</v>
      </c>
      <c r="G29" s="18">
        <f t="shared" si="8"/>
        <v>75</v>
      </c>
      <c r="H29" s="18">
        <f t="shared" si="8"/>
        <v>0</v>
      </c>
      <c r="I29" s="18">
        <f t="shared" si="8"/>
        <v>75</v>
      </c>
      <c r="J29" s="18">
        <f t="shared" si="8"/>
        <v>0</v>
      </c>
      <c r="K29" s="18">
        <f t="shared" si="8"/>
        <v>75</v>
      </c>
      <c r="L29" s="18">
        <f t="shared" si="8"/>
        <v>0</v>
      </c>
      <c r="M29" s="18">
        <f t="shared" si="8"/>
        <v>75</v>
      </c>
      <c r="N29" s="18">
        <f t="shared" si="8"/>
        <v>0</v>
      </c>
      <c r="O29" s="18">
        <f t="shared" si="8"/>
        <v>75</v>
      </c>
      <c r="P29" s="18">
        <f t="shared" si="8"/>
        <v>109.38</v>
      </c>
      <c r="Q29" s="18">
        <f t="shared" si="8"/>
        <v>75</v>
      </c>
      <c r="R29" s="18">
        <f t="shared" si="8"/>
        <v>0</v>
      </c>
      <c r="S29" s="18">
        <f t="shared" si="8"/>
        <v>75</v>
      </c>
      <c r="T29" s="18">
        <f>SUM(T4:T28)</f>
        <v>268.61</v>
      </c>
      <c r="U29" s="18">
        <f t="shared" si="8"/>
        <v>70</v>
      </c>
      <c r="V29" s="21">
        <f t="shared" si="8"/>
        <v>0</v>
      </c>
      <c r="W29" s="18">
        <f t="shared" ref="W29:X29" si="9">SUM(W4:W28)</f>
        <v>75</v>
      </c>
      <c r="X29" s="21">
        <f t="shared" si="9"/>
        <v>66.25</v>
      </c>
      <c r="Y29" s="18">
        <f t="shared" ref="Y29:Z29" si="10">SUM(Y4:Y28)</f>
        <v>75</v>
      </c>
      <c r="Z29" s="21">
        <f t="shared" si="10"/>
        <v>184.78</v>
      </c>
      <c r="AA29" s="18">
        <f t="shared" si="8"/>
        <v>0</v>
      </c>
      <c r="AB29" s="21">
        <f t="shared" si="8"/>
        <v>0</v>
      </c>
      <c r="AC29" s="29">
        <f t="shared" si="8"/>
        <v>895</v>
      </c>
      <c r="AD29" s="18">
        <f t="shared" si="8"/>
        <v>629.02</v>
      </c>
      <c r="AE29" s="1"/>
    </row>
    <row r="30" spans="2:38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0.45839999999999992</v>
      </c>
      <c r="R30" s="28">
        <f>(R29-Q29)/Q29</f>
        <v>-1</v>
      </c>
      <c r="T30" s="22">
        <f>(T29-S29)/S29</f>
        <v>2.581466666666667</v>
      </c>
      <c r="V30" s="28">
        <f>(V29-U29)/U29</f>
        <v>-1</v>
      </c>
      <c r="X30" s="28">
        <f>(X29-W29)/W29</f>
        <v>-0.11666666666666667</v>
      </c>
      <c r="Z30" s="28">
        <f>(Z29-Y29)/Y29</f>
        <v>1.4637333333333333</v>
      </c>
    </row>
    <row r="31" spans="2:38" x14ac:dyDescent="0.55000000000000004">
      <c r="F31" s="64" t="s">
        <v>56</v>
      </c>
      <c r="G31" s="65"/>
      <c r="H31" s="66"/>
      <c r="I31" s="62">
        <f>C29+E29+G29+I29+K29+M29+O29+Q29+S29+U29+AA29+W29+Y29</f>
        <v>895</v>
      </c>
      <c r="J31" s="63"/>
    </row>
    <row r="32" spans="2:38" x14ac:dyDescent="0.55000000000000004">
      <c r="G32" s="70" t="s">
        <v>57</v>
      </c>
      <c r="H32" s="70"/>
      <c r="I32" s="62">
        <f>+D29+F29+H29+J29+L29+N29+P29+R29+T29+V29+AB29+X29+Z29</f>
        <v>629.02</v>
      </c>
      <c r="J32" s="63"/>
    </row>
    <row r="33" spans="3:25" x14ac:dyDescent="0.55000000000000004">
      <c r="I33" s="62">
        <f>I32-I31</f>
        <v>-265.98</v>
      </c>
      <c r="J33" s="63"/>
      <c r="Y33">
        <f>2167+183+5*10</f>
        <v>2400</v>
      </c>
    </row>
    <row r="34" spans="3:25" x14ac:dyDescent="0.55000000000000004">
      <c r="C34" s="36">
        <f>C29+E29+G29+I29</f>
        <v>300</v>
      </c>
      <c r="D34" s="36">
        <f>D29+F29+H29+J29</f>
        <v>0</v>
      </c>
      <c r="E34" s="37">
        <f>D34-C34</f>
        <v>-300</v>
      </c>
      <c r="I34" s="38">
        <f>O29+K29+M29+Q29</f>
        <v>300</v>
      </c>
      <c r="J34" s="38">
        <f>P29+L29+N29</f>
        <v>109.38</v>
      </c>
      <c r="K34" s="39">
        <f>J34-I34</f>
        <v>-190.62</v>
      </c>
      <c r="O34" s="40">
        <f>U29+W29+Y29+S29</f>
        <v>295</v>
      </c>
      <c r="P34" s="40">
        <f>V29+X29+T29+Z29</f>
        <v>519.64</v>
      </c>
      <c r="Q34" s="41">
        <f>P34-O34</f>
        <v>224.64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-0.63539999999999996</v>
      </c>
      <c r="K35" s="39"/>
      <c r="O35" s="40"/>
      <c r="P35" s="34">
        <f>(P34-O34)/O34</f>
        <v>0.76149152542372878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2">
        <f>I36+I33</f>
        <v>2134.0700000000002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300</v>
      </c>
      <c r="D42" s="1">
        <f>D29+F29+H29+J29</f>
        <v>0</v>
      </c>
      <c r="I42" s="1">
        <f>O29+K29+M29</f>
        <v>225</v>
      </c>
      <c r="J42" s="1">
        <f>P29+L29+N29</f>
        <v>109.38</v>
      </c>
      <c r="O42" s="1">
        <f>U29+Q29+S29</f>
        <v>220</v>
      </c>
      <c r="P42" s="1">
        <f>V29+R29+T29</f>
        <v>268.61</v>
      </c>
    </row>
    <row r="43" spans="3:25" x14ac:dyDescent="0.55000000000000004">
      <c r="D43" s="1">
        <f>D42-C42</f>
        <v>-300</v>
      </c>
      <c r="J43" s="33">
        <f>J42-I42</f>
        <v>-115.62</v>
      </c>
      <c r="P43" s="33">
        <f>P42-O42</f>
        <v>48.610000000000014</v>
      </c>
    </row>
    <row r="45" spans="3:25" x14ac:dyDescent="0.55000000000000004">
      <c r="V45" t="s">
        <v>148</v>
      </c>
    </row>
    <row r="46" spans="3:25" x14ac:dyDescent="0.55000000000000004">
      <c r="D46" t="s">
        <v>88</v>
      </c>
      <c r="J46" t="s">
        <v>145</v>
      </c>
      <c r="V46" t="s">
        <v>89</v>
      </c>
      <c r="W46">
        <v>4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2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2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0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0</v>
      </c>
      <c r="V50" t="s">
        <v>9</v>
      </c>
      <c r="W50">
        <v>1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2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SUM(J29)</f>
        <v>0</v>
      </c>
      <c r="J52" t="s">
        <v>93</v>
      </c>
      <c r="K52">
        <v>2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2</v>
      </c>
      <c r="V53" t="s">
        <v>98</v>
      </c>
      <c r="W53">
        <v>0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4</v>
      </c>
    </row>
    <row r="55" spans="4:23" x14ac:dyDescent="0.55000000000000004">
      <c r="D55" t="s">
        <v>89</v>
      </c>
      <c r="E55" s="1">
        <f>SUM(X29)</f>
        <v>66.25</v>
      </c>
      <c r="J55" t="s">
        <v>89</v>
      </c>
      <c r="K55">
        <v>0</v>
      </c>
      <c r="V55" t="s">
        <v>94</v>
      </c>
      <c r="W55">
        <v>0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0</v>
      </c>
      <c r="V56" t="s">
        <v>118</v>
      </c>
      <c r="W56">
        <v>1</v>
      </c>
    </row>
    <row r="57" spans="4:23" x14ac:dyDescent="0.55000000000000004">
      <c r="D57" t="s">
        <v>118</v>
      </c>
      <c r="E57" s="1">
        <f>SUM(H29)</f>
        <v>0</v>
      </c>
      <c r="J57" t="s">
        <v>118</v>
      </c>
      <c r="K57">
        <v>0</v>
      </c>
      <c r="V57" t="s">
        <v>119</v>
      </c>
      <c r="W57">
        <v>0</v>
      </c>
    </row>
    <row r="58" spans="4:23" x14ac:dyDescent="0.55000000000000004">
      <c r="D58" t="s">
        <v>119</v>
      </c>
      <c r="E58" s="1">
        <f>SUM(D29)</f>
        <v>0</v>
      </c>
      <c r="J58" t="s">
        <v>119</v>
      </c>
      <c r="K58">
        <v>2</v>
      </c>
      <c r="V58" t="s">
        <v>99</v>
      </c>
      <c r="W58">
        <f>SUM(W46:W57)</f>
        <v>19</v>
      </c>
    </row>
    <row r="59" spans="4:23" x14ac:dyDescent="0.55000000000000004">
      <c r="D59" t="s">
        <v>9</v>
      </c>
      <c r="E59" s="1">
        <f>SUM(P29)</f>
        <v>109.38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629.02</v>
      </c>
      <c r="J60" t="s">
        <v>99</v>
      </c>
      <c r="K60">
        <f>SUM(K48:K59)</f>
        <v>14</v>
      </c>
    </row>
  </sheetData>
  <mergeCells count="21">
    <mergeCell ref="W1:X1"/>
    <mergeCell ref="W2:X2"/>
    <mergeCell ref="Y2:Z2"/>
    <mergeCell ref="F31:H31"/>
    <mergeCell ref="I31:J31"/>
    <mergeCell ref="Q2:R2"/>
    <mergeCell ref="S2:T2"/>
    <mergeCell ref="U2:V2"/>
    <mergeCell ref="G32:H32"/>
    <mergeCell ref="I32:J32"/>
    <mergeCell ref="I33:J33"/>
    <mergeCell ref="I38:J38"/>
    <mergeCell ref="O2:P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D21"/>
  <sheetViews>
    <sheetView workbookViewId="0">
      <selection activeCell="D10" sqref="D10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4" x14ac:dyDescent="0.55000000000000004">
      <c r="A1" t="s">
        <v>120</v>
      </c>
      <c r="B1" t="s">
        <v>121</v>
      </c>
      <c r="C1" t="s">
        <v>122</v>
      </c>
      <c r="D1" t="s">
        <v>123</v>
      </c>
    </row>
    <row r="2" spans="1:4" x14ac:dyDescent="0.55000000000000004">
      <c r="A2" t="s">
        <v>97</v>
      </c>
      <c r="B2" t="s">
        <v>124</v>
      </c>
      <c r="C2" s="60">
        <v>376.63</v>
      </c>
      <c r="D2" t="s">
        <v>125</v>
      </c>
    </row>
    <row r="3" spans="1:4" x14ac:dyDescent="0.55000000000000004">
      <c r="A3" t="s">
        <v>93</v>
      </c>
      <c r="B3" t="s">
        <v>124</v>
      </c>
      <c r="C3" s="60">
        <v>236.2</v>
      </c>
      <c r="D3" t="s">
        <v>126</v>
      </c>
    </row>
    <row r="4" spans="1:4" x14ac:dyDescent="0.55000000000000004">
      <c r="A4" t="s">
        <v>97</v>
      </c>
      <c r="B4" s="61">
        <v>5</v>
      </c>
      <c r="C4" s="60">
        <v>375.45</v>
      </c>
      <c r="D4" t="s">
        <v>127</v>
      </c>
    </row>
    <row r="5" spans="1:4" x14ac:dyDescent="0.55000000000000004">
      <c r="A5" t="s">
        <v>96</v>
      </c>
      <c r="B5" s="60">
        <v>7.5</v>
      </c>
      <c r="C5" s="60">
        <v>82.5</v>
      </c>
      <c r="D5" t="s">
        <v>128</v>
      </c>
    </row>
    <row r="6" spans="1:4" x14ac:dyDescent="0.55000000000000004">
      <c r="A6" t="s">
        <v>12</v>
      </c>
      <c r="B6" s="60">
        <v>7.5</v>
      </c>
      <c r="C6" s="60">
        <v>163.13</v>
      </c>
      <c r="D6" t="s">
        <v>129</v>
      </c>
    </row>
    <row r="7" spans="1:4" x14ac:dyDescent="0.55000000000000004">
      <c r="A7" t="s">
        <v>89</v>
      </c>
      <c r="B7" s="61">
        <v>5</v>
      </c>
      <c r="C7" s="61">
        <v>70</v>
      </c>
      <c r="D7" t="s">
        <v>130</v>
      </c>
    </row>
    <row r="8" spans="1:4" x14ac:dyDescent="0.55000000000000004">
      <c r="A8" t="s">
        <v>89</v>
      </c>
      <c r="B8" s="61">
        <v>5</v>
      </c>
      <c r="C8" s="61">
        <v>110</v>
      </c>
      <c r="D8" t="s">
        <v>131</v>
      </c>
    </row>
    <row r="9" spans="1:4" x14ac:dyDescent="0.55000000000000004">
      <c r="A9" t="s">
        <v>12</v>
      </c>
      <c r="B9" s="61">
        <v>10</v>
      </c>
      <c r="C9" s="61">
        <v>77</v>
      </c>
      <c r="D9" t="s">
        <v>132</v>
      </c>
    </row>
    <row r="10" spans="1:4" x14ac:dyDescent="0.55000000000000004">
      <c r="A10" t="s">
        <v>97</v>
      </c>
      <c r="B10" s="61">
        <v>5</v>
      </c>
      <c r="C10" s="61">
        <v>125</v>
      </c>
      <c r="D10" t="s">
        <v>133</v>
      </c>
    </row>
    <row r="11" spans="1:4" x14ac:dyDescent="0.55000000000000004">
      <c r="A11" t="s">
        <v>97</v>
      </c>
      <c r="B11" s="61">
        <v>10</v>
      </c>
      <c r="C11" s="61">
        <v>150</v>
      </c>
      <c r="D11" t="s">
        <v>134</v>
      </c>
    </row>
    <row r="12" spans="1:4" x14ac:dyDescent="0.55000000000000004">
      <c r="A12" t="s">
        <v>89</v>
      </c>
      <c r="B12" s="61">
        <v>5</v>
      </c>
      <c r="C12" s="60">
        <v>72.5</v>
      </c>
      <c r="D12" t="s">
        <v>135</v>
      </c>
    </row>
    <row r="13" spans="1:4" x14ac:dyDescent="0.55000000000000004">
      <c r="A13" t="s">
        <v>96</v>
      </c>
      <c r="B13" s="60">
        <v>2.5</v>
      </c>
      <c r="C13" s="60">
        <v>46.3</v>
      </c>
      <c r="D13" t="s">
        <v>136</v>
      </c>
    </row>
    <row r="14" spans="1:4" x14ac:dyDescent="0.55000000000000004">
      <c r="A14" t="s">
        <v>89</v>
      </c>
      <c r="B14" s="61">
        <v>5</v>
      </c>
      <c r="C14" s="61">
        <v>30</v>
      </c>
      <c r="D14" t="s">
        <v>137</v>
      </c>
    </row>
    <row r="15" spans="1:4" x14ac:dyDescent="0.55000000000000004">
      <c r="A15" t="s">
        <v>96</v>
      </c>
      <c r="B15" s="61">
        <v>5</v>
      </c>
      <c r="C15" s="61">
        <v>60</v>
      </c>
      <c r="D15" t="s">
        <v>138</v>
      </c>
    </row>
    <row r="16" spans="1:4" x14ac:dyDescent="0.55000000000000004">
      <c r="A16" t="s">
        <v>118</v>
      </c>
      <c r="B16" s="61">
        <v>25</v>
      </c>
      <c r="C16" s="60">
        <v>411.75</v>
      </c>
      <c r="D16" t="s">
        <v>139</v>
      </c>
    </row>
    <row r="17" spans="1:4" x14ac:dyDescent="0.55000000000000004">
      <c r="A17" t="s">
        <v>93</v>
      </c>
      <c r="B17" s="61">
        <v>5</v>
      </c>
      <c r="C17" s="60">
        <v>79.67</v>
      </c>
      <c r="D17" t="s">
        <v>140</v>
      </c>
    </row>
    <row r="18" spans="1:4" x14ac:dyDescent="0.55000000000000004">
      <c r="A18" t="s">
        <v>141</v>
      </c>
      <c r="B18" s="61">
        <v>5</v>
      </c>
      <c r="C18" s="61">
        <v>60</v>
      </c>
      <c r="D18" t="s">
        <v>142</v>
      </c>
    </row>
    <row r="19" spans="1:4" x14ac:dyDescent="0.55000000000000004">
      <c r="A19" t="s">
        <v>143</v>
      </c>
      <c r="B19" s="61">
        <v>5</v>
      </c>
      <c r="C19" s="61">
        <v>140</v>
      </c>
      <c r="D19" t="s">
        <v>144</v>
      </c>
    </row>
    <row r="20" spans="1:4" x14ac:dyDescent="0.55000000000000004">
      <c r="A20" t="s">
        <v>96</v>
      </c>
      <c r="B20" s="61">
        <v>5</v>
      </c>
      <c r="C20" s="61">
        <v>20</v>
      </c>
      <c r="D20" t="s">
        <v>146</v>
      </c>
    </row>
    <row r="21" spans="1:4" x14ac:dyDescent="0.55000000000000004">
      <c r="A21" t="s">
        <v>89</v>
      </c>
      <c r="B21" s="61">
        <v>5</v>
      </c>
      <c r="C21" s="60">
        <v>43.75</v>
      </c>
      <c r="D21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21753bd8-bffc-4cd2-a328-982ee854c895"/>
    <ds:schemaRef ds:uri="3e1ffae5-f160-4019-9720-1b11bf1b81a3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2025-04-28T02:49:19Z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