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ustomProperty1.bin" ContentType="application/vnd.openxmlformats-officedocument.spreadsheetml.customProperty"/>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rett\Documents\02-17-2020\"/>
    </mc:Choice>
  </mc:AlternateContent>
  <xr:revisionPtr revIDLastSave="0" documentId="13_ncr:1_{95190D51-1127-403A-BA0A-3E63FFD500D6}" xr6:coauthVersionLast="44" xr6:coauthVersionMax="45" xr10:uidLastSave="{00000000-0000-0000-0000-000000000000}"/>
  <bookViews>
    <workbookView xWindow="38280" yWindow="-120" windowWidth="29040" windowHeight="15840" firstSheet="1" activeTab="3" xr2:uid="{DD95E513-0A70-4EC6-A72D-9FD0E47898AF}"/>
  </bookViews>
  <sheets>
    <sheet name="Notes On Readings&gt;&gt;&gt;" sheetId="40" r:id="rId1"/>
    <sheet name="Books" sheetId="37" r:id="rId2"/>
    <sheet name="Proxy stuff" sheetId="38" r:id="rId3"/>
    <sheet name="AR Notes" sheetId="39" r:id="rId4"/>
    <sheet name="Companies to look for" sheetId="42" r:id="rId5"/>
    <sheet name="&gt;&gt;&gt;" sheetId="41" r:id="rId6"/>
    <sheet name="Links" sheetId="32" r:id="rId7"/>
    <sheet name="1950 Balance Sheet" sheetId="4" r:id="rId8"/>
    <sheet name="Sheet2" sheetId="35" r:id="rId9"/>
    <sheet name="Todo" sheetId="34" r:id="rId10"/>
    <sheet name="LIFO and FIFO Example" sheetId="36" r:id="rId11"/>
    <sheet name="Timely Clothes Six Year BS" sheetId="1" r:id="rId12"/>
    <sheet name="1951 Portfolio" sheetId="3" r:id="rId13"/>
    <sheet name="Timely Clothes Income Statement" sheetId="2" r:id="rId14"/>
    <sheet name="Inventory to Sales" sheetId="23" r:id="rId15"/>
    <sheet name="Summary Financials" sheetId="18" r:id="rId16"/>
    <sheet name="Sheet1" sheetId="20" r:id="rId17"/>
    <sheet name="Timely Clothes High-Low" sheetId="19" r:id="rId18"/>
    <sheet name="EV Calc" sheetId="5" r:id="rId19"/>
    <sheet name="Multiples" sheetId="21" r:id="rId20"/>
    <sheet name="Multiple Table" sheetId="33" r:id="rId21"/>
    <sheet name="Timely Clothes" sheetId="31" r:id="rId22"/>
    <sheet name="Bond Stores&gt;&gt;&gt;" sheetId="6" r:id="rId23"/>
    <sheet name="Bond Stores Income Statemen (2)" sheetId="22" r:id="rId24"/>
    <sheet name="Bond Stores Balance Sheet" sheetId="7" r:id="rId25"/>
    <sheet name="Bond Stores Income Statement" sheetId="8" r:id="rId26"/>
    <sheet name="Fashion Park&gt;&gt;&gt;" sheetId="9" r:id="rId27"/>
    <sheet name="Fashion Park Consolidated BS" sheetId="14" r:id="rId28"/>
    <sheet name="Fashion Park Inc. IS" sheetId="15" r:id="rId29"/>
    <sheet name="Hart Schaffner&gt;&gt;&gt;" sheetId="13" r:id="rId30"/>
    <sheet name="BS" sheetId="16" r:id="rId31"/>
    <sheet name="IS" sheetId="17" r:id="rId32"/>
    <sheet name="Industry Data&gt;&gt;&gt;" sheetId="24" r:id="rId33"/>
    <sheet name="Sheet4" sheetId="26" r:id="rId34"/>
    <sheet name="Pg 340 Needle Trades" sheetId="27" r:id="rId35"/>
    <sheet name="Page 206 1947 Census of Manufac" sheetId="28" r:id="rId36"/>
    <sheet name="Pg 340 Needle Trades (2)" sheetId="30" r:id="rId37"/>
  </sheets>
  <definedNames>
    <definedName name="CIQWBGuid" hidden="1">"Timely Clothes Model.xlsx"</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43892.6693518519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 i="30" l="1"/>
  <c r="H3" i="30"/>
  <c r="G4" i="30"/>
  <c r="H4" i="30"/>
  <c r="G5" i="30"/>
  <c r="H5" i="30"/>
  <c r="G6" i="30"/>
  <c r="H6" i="30"/>
  <c r="G7" i="30"/>
  <c r="H7" i="30"/>
  <c r="G8" i="30"/>
  <c r="H8" i="30"/>
  <c r="G9" i="30"/>
  <c r="H9" i="30"/>
  <c r="G10" i="30"/>
  <c r="H10" i="30"/>
  <c r="G11" i="30"/>
  <c r="H11" i="30"/>
  <c r="G12" i="30"/>
  <c r="H12" i="30"/>
  <c r="G13" i="30"/>
  <c r="H13" i="30"/>
  <c r="G14" i="30"/>
  <c r="H14" i="30"/>
  <c r="G15" i="30"/>
  <c r="H15" i="30"/>
  <c r="G16" i="30"/>
  <c r="H16" i="30"/>
  <c r="G17" i="30"/>
  <c r="H17" i="30"/>
  <c r="G18" i="30"/>
  <c r="H18" i="30"/>
  <c r="G19" i="30"/>
  <c r="H19" i="30"/>
  <c r="G20" i="30"/>
  <c r="H20" i="30"/>
  <c r="G21" i="30"/>
  <c r="H21" i="30"/>
  <c r="J22" i="27"/>
  <c r="A7" i="26"/>
  <c r="A13" i="26" s="1"/>
  <c r="B10" i="26"/>
  <c r="B13" i="26" s="1"/>
  <c r="B4" i="17"/>
  <c r="C4" i="17"/>
  <c r="B15" i="17"/>
  <c r="C15" i="17"/>
  <c r="C16" i="17" s="1"/>
  <c r="C18" i="17" s="1"/>
  <c r="B16" i="17"/>
  <c r="B18" i="17" s="1"/>
  <c r="B24" i="17"/>
  <c r="C24" i="17"/>
  <c r="B26" i="17"/>
  <c r="C26" i="17"/>
  <c r="B28" i="17"/>
  <c r="B30" i="17" s="1"/>
  <c r="B29" i="17"/>
  <c r="B11" i="16"/>
  <c r="C11" i="16"/>
  <c r="B18" i="16"/>
  <c r="C18" i="16"/>
  <c r="B23" i="16"/>
  <c r="B26" i="16" s="1"/>
  <c r="B28" i="16" s="1"/>
  <c r="C23" i="16"/>
  <c r="C26" i="16" s="1"/>
  <c r="C28" i="16" s="1"/>
  <c r="B38" i="16"/>
  <c r="C38" i="16"/>
  <c r="B42" i="16"/>
  <c r="B44" i="16" s="1"/>
  <c r="C42" i="16"/>
  <c r="C44" i="16" s="1"/>
  <c r="B52" i="16"/>
  <c r="B54" i="16" s="1"/>
  <c r="C52" i="16"/>
  <c r="C54" i="16"/>
  <c r="C55" i="16" s="1"/>
  <c r="C3" i="15"/>
  <c r="C5" i="15" s="1"/>
  <c r="C7" i="15" s="1"/>
  <c r="C9" i="15" s="1"/>
  <c r="C13" i="15"/>
  <c r="B17" i="15"/>
  <c r="B19" i="15"/>
  <c r="C5" i="14"/>
  <c r="B11" i="14"/>
  <c r="C12" i="14"/>
  <c r="C13" i="14"/>
  <c r="C28" i="14" s="1"/>
  <c r="B20" i="14"/>
  <c r="B22" i="14"/>
  <c r="B24" i="14" s="1"/>
  <c r="C25" i="14" s="1"/>
  <c r="C33" i="14"/>
  <c r="C35" i="14"/>
  <c r="C42" i="14"/>
  <c r="B44" i="14" s="1"/>
  <c r="B46" i="14" s="1"/>
  <c r="V4" i="21" s="1"/>
  <c r="B45" i="14"/>
  <c r="C4" i="8"/>
  <c r="C8" i="8" s="1"/>
  <c r="C12" i="8" s="1"/>
  <c r="C14" i="8" s="1"/>
  <c r="C7" i="8"/>
  <c r="C11" i="8"/>
  <c r="D5" i="7"/>
  <c r="D11" i="7" s="1"/>
  <c r="D23" i="7" s="1"/>
  <c r="D10" i="7"/>
  <c r="C15" i="7"/>
  <c r="C17" i="7"/>
  <c r="C19" i="7"/>
  <c r="D19" i="7"/>
  <c r="D22" i="7"/>
  <c r="D30" i="7"/>
  <c r="D32" i="7"/>
  <c r="B38" i="7"/>
  <c r="D41" i="7"/>
  <c r="D43" i="7"/>
  <c r="D44" i="7"/>
  <c r="C4" i="22"/>
  <c r="C8" i="22" s="1"/>
  <c r="C12" i="22" s="1"/>
  <c r="C7" i="22"/>
  <c r="C11" i="22"/>
  <c r="B29" i="22"/>
  <c r="B30" i="22" s="1"/>
  <c r="C29" i="22"/>
  <c r="A9" i="31"/>
  <c r="A8" i="31" s="1"/>
  <c r="A7" i="31" s="1"/>
  <c r="A6" i="31" s="1"/>
  <c r="A5" i="31" s="1"/>
  <c r="A4" i="31" s="1"/>
  <c r="D4" i="31"/>
  <c r="E4" i="31"/>
  <c r="O4" i="31"/>
  <c r="G4" i="31" s="1"/>
  <c r="Q4" i="31"/>
  <c r="J4" i="31" s="1"/>
  <c r="R4" i="31"/>
  <c r="H4" i="31" s="1"/>
  <c r="P4" i="31"/>
  <c r="I4" i="31" s="1"/>
  <c r="D5" i="31"/>
  <c r="E5" i="31"/>
  <c r="O5" i="31"/>
  <c r="P5" i="31" s="1"/>
  <c r="Q5" i="31"/>
  <c r="R5" i="31" s="1"/>
  <c r="H5" i="31" s="1"/>
  <c r="D6" i="31"/>
  <c r="E6" i="31"/>
  <c r="O6" i="31"/>
  <c r="G6" i="31" s="1"/>
  <c r="Q6" i="31"/>
  <c r="S6" i="31" s="1"/>
  <c r="P6" i="31"/>
  <c r="I6" i="31" s="1"/>
  <c r="J6" i="31" s="1"/>
  <c r="D7" i="31"/>
  <c r="E7" i="31"/>
  <c r="O7" i="31"/>
  <c r="G7" i="31" s="1"/>
  <c r="Q7" i="31"/>
  <c r="P7" i="31"/>
  <c r="I7" i="31" s="1"/>
  <c r="D8" i="31"/>
  <c r="E8" i="31"/>
  <c r="O8" i="31"/>
  <c r="P8" i="31" s="1"/>
  <c r="G8" i="31"/>
  <c r="Q8" i="31"/>
  <c r="R8" i="31" s="1"/>
  <c r="H8" i="31" s="1"/>
  <c r="D9" i="31"/>
  <c r="E9" i="31"/>
  <c r="L9" i="31"/>
  <c r="M9" i="31"/>
  <c r="O9" i="31" s="1"/>
  <c r="Q9" i="31"/>
  <c r="D10" i="31"/>
  <c r="E10" i="31"/>
  <c r="L10" i="31"/>
  <c r="M10" i="31"/>
  <c r="O10" i="31" s="1"/>
  <c r="T10" i="31"/>
  <c r="Q10" i="31" s="1"/>
  <c r="D11" i="31"/>
  <c r="E11" i="31"/>
  <c r="O11" i="31"/>
  <c r="P11" i="31" s="1"/>
  <c r="I11" i="31" s="1"/>
  <c r="G11" i="31"/>
  <c r="Q11" i="31"/>
  <c r="R11" i="31"/>
  <c r="H11" i="31" s="1"/>
  <c r="D12" i="31"/>
  <c r="E12" i="31"/>
  <c r="O12" i="31"/>
  <c r="G12" i="31" s="1"/>
  <c r="Q12" i="31"/>
  <c r="D13" i="31"/>
  <c r="E13" i="31"/>
  <c r="L13" i="31"/>
  <c r="O13" i="31" s="1"/>
  <c r="M13" i="31"/>
  <c r="Q13" i="31"/>
  <c r="D18" i="31"/>
  <c r="E18" i="31"/>
  <c r="L18" i="31"/>
  <c r="O18" i="31" s="1"/>
  <c r="M18" i="31"/>
  <c r="Q18" i="31"/>
  <c r="D19" i="31"/>
  <c r="E19" i="31"/>
  <c r="O19" i="31"/>
  <c r="P19" i="31" s="1"/>
  <c r="Q19" i="31"/>
  <c r="R19" i="31" s="1"/>
  <c r="O20" i="31"/>
  <c r="P20" i="31" s="1"/>
  <c r="M21" i="31"/>
  <c r="O21" i="31" s="1"/>
  <c r="P21" i="31" s="1"/>
  <c r="B2" i="21"/>
  <c r="C2" i="21"/>
  <c r="P2" i="21"/>
  <c r="R2" i="21"/>
  <c r="AB2" i="21"/>
  <c r="D4" i="33" s="1"/>
  <c r="AE2" i="21"/>
  <c r="AG2" i="21" s="1"/>
  <c r="D3" i="21"/>
  <c r="B5" i="33" s="1"/>
  <c r="E3" i="21"/>
  <c r="I3" i="21" s="1"/>
  <c r="P3" i="21"/>
  <c r="R3" i="21" s="1"/>
  <c r="V3" i="21"/>
  <c r="K3" i="21"/>
  <c r="F5" i="33" s="1"/>
  <c r="S3" i="21"/>
  <c r="Z3" i="21"/>
  <c r="AA3" i="21"/>
  <c r="AB3" i="21" s="1"/>
  <c r="D5" i="33" s="1"/>
  <c r="B4" i="21"/>
  <c r="D4" i="21" s="1"/>
  <c r="E4" i="21"/>
  <c r="F4" i="21"/>
  <c r="P4" i="21"/>
  <c r="R4" i="21" s="1"/>
  <c r="Q4" i="21"/>
  <c r="T4" i="21"/>
  <c r="S4" i="21"/>
  <c r="AB4" i="21"/>
  <c r="D6" i="33" s="1"/>
  <c r="B5" i="21"/>
  <c r="AB5" i="21" s="1"/>
  <c r="D7" i="33" s="1"/>
  <c r="C5" i="21"/>
  <c r="D5" i="21" s="1"/>
  <c r="E5" i="21"/>
  <c r="F5" i="21"/>
  <c r="P5" i="21"/>
  <c r="R5" i="21" s="1"/>
  <c r="Q5" i="21"/>
  <c r="S5" i="21"/>
  <c r="W5" i="21"/>
  <c r="X5" i="21" s="1"/>
  <c r="Y5" i="21" s="1"/>
  <c r="E7" i="33" s="1"/>
  <c r="B5" i="5"/>
  <c r="D2" i="21" s="1"/>
  <c r="B6" i="5"/>
  <c r="E2" i="21" s="1"/>
  <c r="B7" i="5"/>
  <c r="F2" i="21" s="1"/>
  <c r="C1" i="20"/>
  <c r="D1" i="20" s="1"/>
  <c r="E1" i="20" s="1"/>
  <c r="F1" i="20" s="1"/>
  <c r="B8" i="20"/>
  <c r="C8" i="20"/>
  <c r="D8" i="20"/>
  <c r="E8" i="20"/>
  <c r="F8" i="20"/>
  <c r="G8" i="20"/>
  <c r="H8" i="20"/>
  <c r="B9" i="20"/>
  <c r="C9" i="20"/>
  <c r="C10" i="20" s="1"/>
  <c r="C12" i="20" s="1"/>
  <c r="D9" i="20"/>
  <c r="E9" i="20"/>
  <c r="F9" i="20"/>
  <c r="G9" i="20"/>
  <c r="H9" i="20"/>
  <c r="B10" i="20"/>
  <c r="B12" i="20" s="1"/>
  <c r="D10" i="20"/>
  <c r="D12" i="20" s="1"/>
  <c r="E10" i="20"/>
  <c r="F10" i="20"/>
  <c r="G10" i="20"/>
  <c r="H10" i="20"/>
  <c r="E12" i="20"/>
  <c r="F12" i="20"/>
  <c r="G2" i="18"/>
  <c r="F2" i="18" s="1"/>
  <c r="E2" i="18" s="1"/>
  <c r="D2" i="18" s="1"/>
  <c r="C2" i="18" s="1"/>
  <c r="B2" i="18" s="1"/>
  <c r="H2" i="18"/>
  <c r="I2" i="18"/>
  <c r="J2" i="18"/>
  <c r="K2" i="18"/>
  <c r="G4" i="18"/>
  <c r="H4" i="18"/>
  <c r="I4" i="18"/>
  <c r="J4" i="18"/>
  <c r="K4" i="18"/>
  <c r="G5" i="18"/>
  <c r="H5" i="18"/>
  <c r="H6" i="18" s="1"/>
  <c r="I5" i="18"/>
  <c r="J5" i="18"/>
  <c r="K5" i="18"/>
  <c r="G6" i="18"/>
  <c r="I6" i="18"/>
  <c r="J6" i="18"/>
  <c r="K6" i="18"/>
  <c r="J7" i="18"/>
  <c r="J8" i="18" s="1"/>
  <c r="B10" i="18"/>
  <c r="C10" i="18"/>
  <c r="D10" i="18"/>
  <c r="E10" i="18"/>
  <c r="F10" i="18"/>
  <c r="G10" i="18"/>
  <c r="H10" i="18"/>
  <c r="I10" i="18"/>
  <c r="J10" i="18"/>
  <c r="K10" i="18"/>
  <c r="I13" i="18"/>
  <c r="K13" i="18"/>
  <c r="G18" i="18"/>
  <c r="G28" i="18"/>
  <c r="H28" i="18"/>
  <c r="I28" i="18"/>
  <c r="J28" i="18"/>
  <c r="K28" i="18"/>
  <c r="G35" i="18"/>
  <c r="H35" i="18"/>
  <c r="I35" i="18"/>
  <c r="J35" i="18"/>
  <c r="K35" i="18"/>
  <c r="J37" i="18"/>
  <c r="G38" i="18"/>
  <c r="G40" i="18" s="1"/>
  <c r="G41" i="18" s="1"/>
  <c r="H38" i="18"/>
  <c r="I38" i="18"/>
  <c r="J38" i="18"/>
  <c r="G39" i="18"/>
  <c r="H39" i="18"/>
  <c r="I39" i="18"/>
  <c r="I41" i="18" s="1"/>
  <c r="J39" i="18"/>
  <c r="K39" i="18"/>
  <c r="H40" i="18"/>
  <c r="I40" i="18"/>
  <c r="J40" i="18"/>
  <c r="J41" i="18" s="1"/>
  <c r="K40" i="18"/>
  <c r="H41" i="18"/>
  <c r="K41" i="18"/>
  <c r="H42" i="18"/>
  <c r="I42" i="18"/>
  <c r="G49" i="18"/>
  <c r="H49" i="18"/>
  <c r="H77" i="18" s="1"/>
  <c r="I49" i="18"/>
  <c r="J49" i="18"/>
  <c r="K49" i="18"/>
  <c r="G51" i="18"/>
  <c r="H51" i="18"/>
  <c r="I51" i="18"/>
  <c r="J51" i="18"/>
  <c r="K51" i="18"/>
  <c r="G53" i="18"/>
  <c r="H53" i="18"/>
  <c r="H54" i="18" s="1"/>
  <c r="I53" i="18"/>
  <c r="J53" i="18"/>
  <c r="K53" i="18"/>
  <c r="G54" i="18"/>
  <c r="I54" i="18"/>
  <c r="J54" i="18"/>
  <c r="K54" i="18"/>
  <c r="B56" i="18"/>
  <c r="C56" i="18"/>
  <c r="D56" i="18"/>
  <c r="E56" i="18"/>
  <c r="F56" i="18"/>
  <c r="G56" i="18"/>
  <c r="H56" i="18"/>
  <c r="I56" i="18"/>
  <c r="J56" i="18"/>
  <c r="K56" i="18"/>
  <c r="B58" i="18"/>
  <c r="C58" i="18"/>
  <c r="D58" i="18"/>
  <c r="E58" i="18"/>
  <c r="F58" i="18"/>
  <c r="G58" i="18"/>
  <c r="H58" i="18"/>
  <c r="I58" i="18"/>
  <c r="J58" i="18"/>
  <c r="K58" i="18"/>
  <c r="G62" i="18"/>
  <c r="H62" i="18"/>
  <c r="I62" i="18"/>
  <c r="J62" i="18"/>
  <c r="K62" i="18"/>
  <c r="G65" i="18"/>
  <c r="J65" i="18"/>
  <c r="K65" i="18"/>
  <c r="K68" i="18" s="1"/>
  <c r="K69" i="18" s="1"/>
  <c r="G66" i="18"/>
  <c r="H66" i="18"/>
  <c r="H69" i="18" s="1"/>
  <c r="I66" i="18"/>
  <c r="J66" i="18"/>
  <c r="K66" i="18"/>
  <c r="G68" i="18"/>
  <c r="H68" i="18"/>
  <c r="I68" i="18"/>
  <c r="I69" i="18" s="1"/>
  <c r="J68" i="18"/>
  <c r="G69" i="18"/>
  <c r="J69" i="18"/>
  <c r="G77" i="18"/>
  <c r="I77" i="18"/>
  <c r="J77" i="18"/>
  <c r="K77" i="18"/>
  <c r="G79" i="18"/>
  <c r="H79" i="18"/>
  <c r="I79" i="18"/>
  <c r="J79" i="18"/>
  <c r="K79" i="18"/>
  <c r="G81" i="18"/>
  <c r="G82" i="18" s="1"/>
  <c r="H81" i="18"/>
  <c r="I81" i="18"/>
  <c r="I82" i="18" s="1"/>
  <c r="J81" i="18"/>
  <c r="K81" i="18"/>
  <c r="H82" i="18"/>
  <c r="J82" i="18"/>
  <c r="K82" i="18"/>
  <c r="E108" i="18"/>
  <c r="E112" i="18" s="1"/>
  <c r="E83" i="18" s="1"/>
  <c r="E84" i="18" s="1"/>
  <c r="F108" i="18"/>
  <c r="F112" i="18"/>
  <c r="F83" i="18" s="1"/>
  <c r="F84" i="18" s="1"/>
  <c r="G108" i="18"/>
  <c r="G112" i="18" s="1"/>
  <c r="G83" i="18" s="1"/>
  <c r="G84" i="18" s="1"/>
  <c r="H108" i="18"/>
  <c r="H112" i="18"/>
  <c r="H83" i="18" s="1"/>
  <c r="H84" i="18" s="1"/>
  <c r="I108" i="18"/>
  <c r="I112" i="18" s="1"/>
  <c r="I83" i="18" s="1"/>
  <c r="I84" i="18" s="1"/>
  <c r="J108" i="18"/>
  <c r="J112" i="18" s="1"/>
  <c r="J83" i="18" s="1"/>
  <c r="J84" i="18" s="1"/>
  <c r="K108" i="18"/>
  <c r="K112" i="18" s="1"/>
  <c r="K83" i="18" s="1"/>
  <c r="K84" i="18" s="1"/>
  <c r="B84" i="18"/>
  <c r="C84" i="18"/>
  <c r="D84" i="18"/>
  <c r="E86" i="18"/>
  <c r="F86" i="18"/>
  <c r="G86" i="18"/>
  <c r="H86" i="18"/>
  <c r="I86" i="18"/>
  <c r="J86" i="18"/>
  <c r="K86" i="18"/>
  <c r="G90" i="18"/>
  <c r="H90" i="18"/>
  <c r="I90" i="18"/>
  <c r="J90" i="18"/>
  <c r="K90" i="18"/>
  <c r="G93" i="18"/>
  <c r="H93" i="18"/>
  <c r="H98" i="18" s="1"/>
  <c r="H99" i="18" s="1"/>
  <c r="I93" i="18"/>
  <c r="J93" i="18"/>
  <c r="K93" i="18"/>
  <c r="K98" i="18" s="1"/>
  <c r="K99" i="18" s="1"/>
  <c r="G95" i="18"/>
  <c r="G98" i="18"/>
  <c r="I98" i="18"/>
  <c r="J98" i="18"/>
  <c r="J99" i="18" s="1"/>
  <c r="G99" i="18"/>
  <c r="I99" i="18"/>
  <c r="C1" i="23"/>
  <c r="D1" i="23"/>
  <c r="E1" i="23" s="1"/>
  <c r="F1" i="23" s="1"/>
  <c r="B3" i="23"/>
  <c r="C3" i="23"/>
  <c r="D3" i="23"/>
  <c r="E3" i="23"/>
  <c r="E4" i="23" s="1"/>
  <c r="F3" i="23"/>
  <c r="F4" i="23" s="1"/>
  <c r="D4" i="23"/>
  <c r="B6" i="23"/>
  <c r="B7" i="23"/>
  <c r="B8" i="23" s="1"/>
  <c r="B9" i="23" s="1"/>
  <c r="C8" i="23"/>
  <c r="D8" i="23"/>
  <c r="E8" i="23"/>
  <c r="F8" i="23"/>
  <c r="C9" i="23"/>
  <c r="B10" i="23"/>
  <c r="B12" i="23" s="1"/>
  <c r="B13" i="23" s="1"/>
  <c r="C10" i="23"/>
  <c r="C12" i="23" s="1"/>
  <c r="C13" i="23" s="1"/>
  <c r="B11" i="23"/>
  <c r="C11" i="23"/>
  <c r="B8" i="2"/>
  <c r="B14" i="2" s="1"/>
  <c r="B20" i="2" s="1"/>
  <c r="B26" i="2" s="1"/>
  <c r="B29" i="2" s="1"/>
  <c r="B31" i="2" s="1"/>
  <c r="C8" i="2"/>
  <c r="C14" i="2" s="1"/>
  <c r="C20" i="2" s="1"/>
  <c r="D8" i="2"/>
  <c r="E8" i="2"/>
  <c r="F8" i="2"/>
  <c r="G8" i="2"/>
  <c r="B13" i="2"/>
  <c r="C13" i="2"/>
  <c r="D13" i="2"/>
  <c r="E13" i="2"/>
  <c r="E14" i="2" s="1"/>
  <c r="E20" i="2" s="1"/>
  <c r="E26" i="2" s="1"/>
  <c r="E29" i="2" s="1"/>
  <c r="E31" i="2" s="1"/>
  <c r="F13" i="2"/>
  <c r="G13" i="2"/>
  <c r="D14" i="2"/>
  <c r="D20" i="2" s="1"/>
  <c r="D26" i="2" s="1"/>
  <c r="D29" i="2" s="1"/>
  <c r="D31" i="2" s="1"/>
  <c r="F14" i="2"/>
  <c r="F20" i="2" s="1"/>
  <c r="F26" i="2" s="1"/>
  <c r="F29" i="2" s="1"/>
  <c r="F31" i="2" s="1"/>
  <c r="G14" i="2"/>
  <c r="G20" i="2" s="1"/>
  <c r="B19" i="2"/>
  <c r="C19" i="2"/>
  <c r="D19" i="2"/>
  <c r="E19" i="2"/>
  <c r="F19" i="2"/>
  <c r="G19" i="2"/>
  <c r="G25" i="2"/>
  <c r="G29" i="2" s="1"/>
  <c r="G31" i="2" s="1"/>
  <c r="C35" i="2"/>
  <c r="C36" i="2" s="1"/>
  <c r="B40" i="2"/>
  <c r="C40" i="2"/>
  <c r="D40" i="2"/>
  <c r="E40" i="2"/>
  <c r="F40" i="2"/>
  <c r="G40" i="2"/>
  <c r="H40" i="2"/>
  <c r="B41" i="2"/>
  <c r="C41" i="2"/>
  <c r="K7" i="18" s="1"/>
  <c r="D41" i="2"/>
  <c r="E41" i="2"/>
  <c r="I7" i="18" s="1"/>
  <c r="I8" i="18" s="1"/>
  <c r="F41" i="2"/>
  <c r="H7" i="18" s="1"/>
  <c r="H8" i="18" s="1"/>
  <c r="G41" i="2"/>
  <c r="G7" i="18" s="1"/>
  <c r="G8" i="18" s="1"/>
  <c r="D12" i="3"/>
  <c r="E4" i="3" s="1"/>
  <c r="F6" i="3"/>
  <c r="D15" i="3"/>
  <c r="J9" i="3" s="1"/>
  <c r="E7" i="3"/>
  <c r="F7" i="3"/>
  <c r="E8" i="3"/>
  <c r="F8" i="3"/>
  <c r="E9" i="3"/>
  <c r="F9" i="3"/>
  <c r="E10" i="3"/>
  <c r="F10" i="3"/>
  <c r="F11" i="3"/>
  <c r="D16" i="3"/>
  <c r="B6" i="1"/>
  <c r="C6" i="1"/>
  <c r="D6" i="1"/>
  <c r="E6" i="1"/>
  <c r="F6" i="1"/>
  <c r="G6" i="1"/>
  <c r="B12" i="1"/>
  <c r="B14" i="1" s="1"/>
  <c r="C12" i="1"/>
  <c r="C14" i="1" s="1"/>
  <c r="D12" i="1"/>
  <c r="E12" i="1"/>
  <c r="F12" i="1"/>
  <c r="G12" i="1"/>
  <c r="G14" i="1" s="1"/>
  <c r="G12" i="18" s="1"/>
  <c r="D14" i="1"/>
  <c r="J12" i="18" s="1"/>
  <c r="J14" i="18" s="1"/>
  <c r="E14" i="1"/>
  <c r="I12" i="18" s="1"/>
  <c r="I14" i="18" s="1"/>
  <c r="F14" i="1"/>
  <c r="H12" i="18" s="1"/>
  <c r="B19" i="1"/>
  <c r="C19" i="1"/>
  <c r="D19" i="1"/>
  <c r="E19" i="1"/>
  <c r="F19" i="1"/>
  <c r="F32" i="1" s="1"/>
  <c r="H16" i="18" s="1"/>
  <c r="G19" i="1"/>
  <c r="B27" i="1"/>
  <c r="C27" i="1"/>
  <c r="D27" i="1"/>
  <c r="E27" i="1"/>
  <c r="E29" i="1" s="1"/>
  <c r="E32" i="1" s="1"/>
  <c r="I16" i="18" s="1"/>
  <c r="F27" i="1"/>
  <c r="G27" i="1"/>
  <c r="B29" i="1"/>
  <c r="C29" i="1"/>
  <c r="D29" i="1"/>
  <c r="F29" i="1"/>
  <c r="G29" i="1"/>
  <c r="G32" i="1" s="1"/>
  <c r="G16" i="18" s="1"/>
  <c r="B46" i="1"/>
  <c r="C46" i="1"/>
  <c r="D46" i="1"/>
  <c r="J13" i="18" s="1"/>
  <c r="J17" i="18" s="1"/>
  <c r="E46" i="1"/>
  <c r="F46" i="1"/>
  <c r="F58" i="1" s="1"/>
  <c r="G46" i="1"/>
  <c r="G13" i="18" s="1"/>
  <c r="B52" i="1"/>
  <c r="C52" i="1"/>
  <c r="K17" i="18" s="1"/>
  <c r="D52" i="1"/>
  <c r="E52" i="1"/>
  <c r="I17" i="18" s="1"/>
  <c r="F52" i="1"/>
  <c r="G52" i="1"/>
  <c r="B57" i="1"/>
  <c r="B58" i="1" s="1"/>
  <c r="C57" i="1"/>
  <c r="K18" i="18" s="1"/>
  <c r="D57" i="1"/>
  <c r="J18" i="18" s="1"/>
  <c r="E57" i="1"/>
  <c r="I18" i="18" s="1"/>
  <c r="F57" i="1"/>
  <c r="H18" i="18" s="1"/>
  <c r="G57" i="1"/>
  <c r="G58" i="1" s="1"/>
  <c r="D58" i="1"/>
  <c r="E58" i="1"/>
  <c r="C61" i="1"/>
  <c r="B13" i="36"/>
  <c r="B15" i="36" s="1"/>
  <c r="C13" i="36"/>
  <c r="C15" i="36" s="1"/>
  <c r="D13" i="36"/>
  <c r="D15" i="36" s="1"/>
  <c r="D16" i="36" s="1"/>
  <c r="D14" i="36"/>
  <c r="B19" i="36"/>
  <c r="B20" i="36"/>
  <c r="B21" i="36" s="1"/>
  <c r="C18" i="36" s="1"/>
  <c r="C21" i="36" s="1"/>
  <c r="D18" i="36" s="1"/>
  <c r="D21" i="36" s="1"/>
  <c r="C19" i="36"/>
  <c r="C20" i="36"/>
  <c r="D19" i="36"/>
  <c r="D20" i="36"/>
  <c r="B24" i="36"/>
  <c r="C24" i="36"/>
  <c r="D24" i="36"/>
  <c r="B31" i="36"/>
  <c r="C31" i="36"/>
  <c r="D31" i="36"/>
  <c r="D32" i="36"/>
  <c r="D33" i="36" s="1"/>
  <c r="D34" i="36" s="1"/>
  <c r="B33" i="36"/>
  <c r="C33" i="36"/>
  <c r="B37" i="36"/>
  <c r="B39" i="36" s="1"/>
  <c r="C36" i="36" s="1"/>
  <c r="C39" i="36" s="1"/>
  <c r="D36" i="36" s="1"/>
  <c r="B38" i="36"/>
  <c r="C37" i="36"/>
  <c r="C38" i="36"/>
  <c r="D37" i="36"/>
  <c r="A3" i="34"/>
  <c r="A4" i="34" s="1"/>
  <c r="A5" i="34" s="1"/>
  <c r="A6" i="34" s="1"/>
  <c r="A7" i="34" s="1"/>
  <c r="A8" i="34" s="1"/>
  <c r="A9" i="34" s="1"/>
  <c r="A10" i="34" s="1"/>
  <c r="A11" i="34" s="1"/>
  <c r="B9" i="35"/>
  <c r="B15" i="35" s="1"/>
  <c r="B21" i="35" s="1"/>
  <c r="B27" i="35" s="1"/>
  <c r="B29" i="35" s="1"/>
  <c r="B31" i="35" s="1"/>
  <c r="C9" i="35"/>
  <c r="C15" i="35" s="1"/>
  <c r="C21" i="35" s="1"/>
  <c r="C27" i="35" s="1"/>
  <c r="C29" i="35" s="1"/>
  <c r="C31" i="35" s="1"/>
  <c r="B14" i="35"/>
  <c r="C14" i="35"/>
  <c r="B20" i="35"/>
  <c r="C20" i="35"/>
  <c r="B6" i="4"/>
  <c r="C6" i="4"/>
  <c r="B12" i="4"/>
  <c r="B2" i="23" s="1"/>
  <c r="C12" i="4"/>
  <c r="C2" i="23" s="1"/>
  <c r="C4" i="23" s="1"/>
  <c r="C5" i="23" s="1"/>
  <c r="B18" i="4"/>
  <c r="C18" i="4"/>
  <c r="B24" i="4"/>
  <c r="B26" i="4" s="1"/>
  <c r="C24" i="4"/>
  <c r="C26" i="4" s="1"/>
  <c r="B38" i="4"/>
  <c r="C38" i="4"/>
  <c r="B43" i="4"/>
  <c r="C43" i="4"/>
  <c r="B48" i="4"/>
  <c r="V2" i="21" s="1"/>
  <c r="C48" i="4"/>
  <c r="C49" i="4" s="1"/>
  <c r="B52" i="4"/>
  <c r="B55" i="4" s="1"/>
  <c r="G10" i="31" l="1"/>
  <c r="P10" i="31"/>
  <c r="I10" i="31" s="1"/>
  <c r="V5" i="21"/>
  <c r="B55" i="16"/>
  <c r="J7" i="31"/>
  <c r="C32" i="1"/>
  <c r="K16" i="18" s="1"/>
  <c r="K19" i="18" s="1"/>
  <c r="K20" i="18" s="1"/>
  <c r="I5" i="31"/>
  <c r="S5" i="31"/>
  <c r="K2" i="21"/>
  <c r="F4" i="33" s="1"/>
  <c r="AL2" i="21"/>
  <c r="B4" i="33"/>
  <c r="I2" i="21"/>
  <c r="J2" i="21"/>
  <c r="G4" i="33" s="1"/>
  <c r="G17" i="18"/>
  <c r="G14" i="18"/>
  <c r="R13" i="31"/>
  <c r="H13" i="31" s="1"/>
  <c r="P13" i="31"/>
  <c r="I13" i="31" s="1"/>
  <c r="J13" i="31" s="1"/>
  <c r="G13" i="31"/>
  <c r="J11" i="31"/>
  <c r="C60" i="1"/>
  <c r="C62" i="1" s="1"/>
  <c r="K12" i="18"/>
  <c r="K14" i="18" s="1"/>
  <c r="I4" i="21"/>
  <c r="K4" i="21"/>
  <c r="F6" i="33" s="1"/>
  <c r="J4" i="21"/>
  <c r="G6" i="33" s="1"/>
  <c r="B6" i="33"/>
  <c r="B4" i="23"/>
  <c r="B5" i="23" s="1"/>
  <c r="AH2" i="21"/>
  <c r="S2" i="21"/>
  <c r="K8" i="18"/>
  <c r="J10" i="31"/>
  <c r="S10" i="31"/>
  <c r="R10" i="31"/>
  <c r="H10" i="31" s="1"/>
  <c r="B32" i="1"/>
  <c r="I8" i="31"/>
  <c r="J8" i="31" s="1"/>
  <c r="S8" i="31"/>
  <c r="G19" i="18"/>
  <c r="G20" i="18" s="1"/>
  <c r="C14" i="22"/>
  <c r="C16" i="22" s="1"/>
  <c r="C18" i="22" s="1"/>
  <c r="C20" i="22"/>
  <c r="T3" i="21" s="1"/>
  <c r="T5" i="21"/>
  <c r="B32" i="17"/>
  <c r="U5" i="21" s="1"/>
  <c r="W3" i="21"/>
  <c r="X3" i="21" s="1"/>
  <c r="Y3" i="21" s="1"/>
  <c r="E5" i="33" s="1"/>
  <c r="C16" i="8"/>
  <c r="C18" i="8" s="1"/>
  <c r="I19" i="18"/>
  <c r="I20" i="18" s="1"/>
  <c r="W2" i="21"/>
  <c r="X2" i="21" s="1"/>
  <c r="Y2" i="21" s="1"/>
  <c r="E4" i="33" s="1"/>
  <c r="C26" i="2"/>
  <c r="C29" i="2" s="1"/>
  <c r="C31" i="2" s="1"/>
  <c r="B7" i="33"/>
  <c r="J5" i="21"/>
  <c r="G7" i="33" s="1"/>
  <c r="K5" i="21"/>
  <c r="F7" i="33" s="1"/>
  <c r="I5" i="21"/>
  <c r="M3" i="21"/>
  <c r="H5" i="33" s="1"/>
  <c r="N3" i="21"/>
  <c r="J5" i="33" s="1"/>
  <c r="C5" i="33"/>
  <c r="L3" i="21"/>
  <c r="I5" i="33" s="1"/>
  <c r="P18" i="31"/>
  <c r="S18" i="31" s="1"/>
  <c r="R18" i="31"/>
  <c r="P9" i="31"/>
  <c r="I9" i="31" s="1"/>
  <c r="J9" i="31" s="1"/>
  <c r="G9" i="31"/>
  <c r="W4" i="21"/>
  <c r="X4" i="21" s="1"/>
  <c r="Y4" i="21" s="1"/>
  <c r="E6" i="33" s="1"/>
  <c r="C14" i="15"/>
  <c r="C12" i="34"/>
  <c r="J6" i="3"/>
  <c r="R9" i="31"/>
  <c r="H9" i="31" s="1"/>
  <c r="R7" i="31"/>
  <c r="H7" i="31" s="1"/>
  <c r="G5" i="31"/>
  <c r="D32" i="1"/>
  <c r="J16" i="18" s="1"/>
  <c r="J19" i="18" s="1"/>
  <c r="J20" i="18" s="1"/>
  <c r="C14" i="4"/>
  <c r="C28" i="4" s="1"/>
  <c r="C58" i="1"/>
  <c r="J8" i="3"/>
  <c r="H13" i="18"/>
  <c r="H14" i="18" s="1"/>
  <c r="S19" i="31"/>
  <c r="S13" i="31"/>
  <c r="P12" i="31"/>
  <c r="S11" i="31"/>
  <c r="J5" i="31"/>
  <c r="B49" i="4"/>
  <c r="B14" i="4"/>
  <c r="B51" i="4" s="1"/>
  <c r="B53" i="4" s="1"/>
  <c r="D38" i="36"/>
  <c r="D39" i="36" s="1"/>
  <c r="E11" i="3"/>
  <c r="E6" i="3"/>
  <c r="J3" i="21"/>
  <c r="G5" i="33" s="1"/>
  <c r="T2" i="21"/>
  <c r="S9" i="31"/>
  <c r="S7" i="31"/>
  <c r="R6" i="31"/>
  <c r="H6" i="31" s="1"/>
  <c r="J10" i="3"/>
  <c r="E5" i="3"/>
  <c r="B8" i="5"/>
  <c r="AO2" i="21"/>
  <c r="R12" i="31"/>
  <c r="H12" i="31" s="1"/>
  <c r="S4" i="31"/>
  <c r="J11" i="3"/>
  <c r="J7" i="3"/>
  <c r="C38" i="2"/>
  <c r="U2" i="21" s="1"/>
  <c r="H17" i="18" l="1"/>
  <c r="H19" i="18" s="1"/>
  <c r="H20" i="18" s="1"/>
  <c r="B28" i="4"/>
  <c r="L2" i="21"/>
  <c r="I4" i="33" s="1"/>
  <c r="C4" i="33"/>
  <c r="M2" i="21"/>
  <c r="H4" i="33" s="1"/>
  <c r="N2" i="21"/>
  <c r="J4" i="33" s="1"/>
  <c r="AP2" i="21"/>
  <c r="AR2" i="21" s="1"/>
  <c r="AS2" i="21" s="1"/>
  <c r="AJ2" i="21"/>
  <c r="AK2" i="21" s="1"/>
  <c r="AM2" i="21" s="1"/>
  <c r="M5" i="21"/>
  <c r="H7" i="33" s="1"/>
  <c r="N5" i="21"/>
  <c r="J7" i="33" s="1"/>
  <c r="C7" i="33"/>
  <c r="L5" i="21"/>
  <c r="I7" i="33" s="1"/>
  <c r="AR3" i="21"/>
  <c r="S12" i="31"/>
  <c r="I12" i="31"/>
  <c r="J12" i="31" s="1"/>
  <c r="AJ3" i="21"/>
  <c r="AJ4" i="21" s="1"/>
  <c r="C39" i="2"/>
  <c r="M4" i="21"/>
  <c r="H6" i="33" s="1"/>
  <c r="C6" i="33"/>
  <c r="N4" i="21"/>
  <c r="J6" i="33" s="1"/>
  <c r="L4" i="21"/>
  <c r="I6" i="33" s="1"/>
  <c r="AR4" i="2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Brett Gardner</author>
  </authors>
  <commentList>
    <comment ref="B4" authorId="0" shapeId="0" xr:uid="{A8F32206-BF1D-4AB6-8102-6465A2990F00}">
      <text>
        <r>
          <rPr>
            <b/>
            <sz val="9"/>
            <color indexed="81"/>
            <rFont val="Tahoma"/>
            <family val="2"/>
          </rPr>
          <t>Brett Gardner:</t>
        </r>
        <r>
          <rPr>
            <sz val="9"/>
            <color indexed="81"/>
            <rFont val="Tahoma"/>
            <family val="2"/>
          </rPr>
          <t xml:space="preserve">
Takes average. From Moody's.</t>
        </r>
      </text>
    </comment>
    <comment ref="AA4" authorId="0" shapeId="0" xr:uid="{E31117BA-374B-44A1-9D3C-E5BD37464C12}">
      <text>
        <r>
          <rPr>
            <b/>
            <sz val="9"/>
            <color indexed="81"/>
            <rFont val="Tahoma"/>
            <family val="2"/>
          </rPr>
          <t>Brett Gardner:</t>
        </r>
        <r>
          <rPr>
            <sz val="9"/>
            <color indexed="81"/>
            <rFont val="Tahoma"/>
            <family val="2"/>
          </rPr>
          <t xml:space="preserve">
From AR</t>
        </r>
      </text>
    </comment>
    <comment ref="F5" authorId="0" shapeId="0" xr:uid="{73771D9A-4BCC-4592-946E-A6B1149D4B6B}">
      <text>
        <r>
          <rPr>
            <b/>
            <sz val="9"/>
            <color indexed="81"/>
            <rFont val="Tahoma"/>
            <family val="2"/>
          </rPr>
          <t>Brett Gardner:</t>
        </r>
        <r>
          <rPr>
            <sz val="9"/>
            <color indexed="81"/>
            <rFont val="Tahoma"/>
            <family val="2"/>
          </rPr>
          <t xml:space="preserve">
Includes U.S. Government securities, at cost</t>
        </r>
      </text>
    </comment>
    <comment ref="AA5" authorId="0" shapeId="0" xr:uid="{D965A5BB-1CF1-440D-AA84-3901C67D2FF7}">
      <text>
        <r>
          <rPr>
            <b/>
            <sz val="9"/>
            <color indexed="81"/>
            <rFont val="Tahoma"/>
            <family val="2"/>
          </rPr>
          <t>Brett Gardner:</t>
        </r>
        <r>
          <rPr>
            <sz val="9"/>
            <color indexed="81"/>
            <rFont val="Tahoma"/>
            <family val="2"/>
          </rPr>
          <t xml:space="preserve">
From 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Brett Gardner</author>
  </authors>
  <commentList>
    <comment ref="B3" authorId="0" shapeId="0" xr:uid="{987679B3-A409-48FD-BD88-C40747DA8F92}">
      <text>
        <r>
          <rPr>
            <b/>
            <sz val="9"/>
            <color indexed="81"/>
            <rFont val="Tahoma"/>
            <family val="2"/>
          </rPr>
          <t>Brett Gardner:</t>
        </r>
        <r>
          <rPr>
            <sz val="9"/>
            <color indexed="81"/>
            <rFont val="Tahoma"/>
            <family val="2"/>
          </rPr>
          <t xml:space="preserve">
From Moody's Reports, not AR's</t>
        </r>
      </text>
    </comment>
    <comment ref="L9" authorId="0" shapeId="0" xr:uid="{6F04FA00-8710-4250-8DEC-D0F4DF27FDFC}">
      <text>
        <r>
          <rPr>
            <b/>
            <sz val="9"/>
            <color indexed="81"/>
            <rFont val="Tahoma"/>
            <family val="2"/>
          </rPr>
          <t>Brett Gardner:</t>
        </r>
        <r>
          <rPr>
            <sz val="9"/>
            <color indexed="81"/>
            <rFont val="Tahoma"/>
            <family val="2"/>
          </rPr>
          <t xml:space="preserve">
Includes mortgage payable</t>
        </r>
      </text>
    </comment>
    <comment ref="M9" authorId="0" shapeId="0" xr:uid="{FDF766ED-1509-4AE9-A1B5-AFCAE161779A}">
      <text>
        <r>
          <rPr>
            <b/>
            <sz val="9"/>
            <color indexed="81"/>
            <rFont val="Tahoma"/>
            <family val="2"/>
          </rPr>
          <t>Brett Gardner:</t>
        </r>
        <r>
          <rPr>
            <sz val="9"/>
            <color indexed="81"/>
            <rFont val="Tahoma"/>
            <family val="2"/>
          </rPr>
          <t xml:space="preserve">
Includes mortgage payable</t>
        </r>
      </text>
    </comment>
  </commentList>
</comments>
</file>

<file path=xl/sharedStrings.xml><?xml version="1.0" encoding="utf-8"?>
<sst xmlns="http://schemas.openxmlformats.org/spreadsheetml/2006/main" count="1138" uniqueCount="709">
  <si>
    <t>Current assets</t>
  </si>
  <si>
    <t>Cash</t>
  </si>
  <si>
    <t>Accounts receivable - trade</t>
  </si>
  <si>
    <t>Less: Allowances</t>
  </si>
  <si>
    <t>Inventories - Note A</t>
  </si>
  <si>
    <t>Finished products and merchandise</t>
  </si>
  <si>
    <t>Work in process</t>
  </si>
  <si>
    <t>Raw materials</t>
  </si>
  <si>
    <t>Merchandise and materials in transit</t>
  </si>
  <si>
    <t>Prepaid expenses</t>
  </si>
  <si>
    <t>Total current assets</t>
  </si>
  <si>
    <t>Other assets</t>
  </si>
  <si>
    <t>Cash value of life insurance</t>
  </si>
  <si>
    <t>Miscellaneous accounts</t>
  </si>
  <si>
    <t>Total other assets</t>
  </si>
  <si>
    <t>Property, plant, and equipment - Note B</t>
  </si>
  <si>
    <t>Land and buildings</t>
  </si>
  <si>
    <t>Machinery, fixtures and equipment</t>
  </si>
  <si>
    <t>Leasehold improvements</t>
  </si>
  <si>
    <t>Less: Accumulated depreciation and amortization</t>
  </si>
  <si>
    <t>Total property, plant, and equipment</t>
  </si>
  <si>
    <t>Current liabilities</t>
  </si>
  <si>
    <t>Notes payable to bank</t>
  </si>
  <si>
    <t>Accounts payable</t>
  </si>
  <si>
    <t>Salaries, wages, bonuses, and commissions</t>
  </si>
  <si>
    <t>Taxes on or withheld from payrolls</t>
  </si>
  <si>
    <t>Accrued state and local taxes</t>
  </si>
  <si>
    <t>Accrued interest</t>
  </si>
  <si>
    <t>Federal income taxes - estimated</t>
  </si>
  <si>
    <t>Total current liabilities</t>
  </si>
  <si>
    <t>Reserves for contingencies (Appropriated earnings)</t>
  </si>
  <si>
    <t>Possible inventory adjustments</t>
  </si>
  <si>
    <t>Uninsured losses</t>
  </si>
  <si>
    <t>Total reserves</t>
  </si>
  <si>
    <t>Shareholders' investment</t>
  </si>
  <si>
    <t>Capital stock, par value $10 per share - authorized and issues 140,000 shares</t>
  </si>
  <si>
    <t>Earnings retained for use in the business</t>
  </si>
  <si>
    <t>Total shareholders' investment</t>
  </si>
  <si>
    <t>Gross earnings on sales</t>
  </si>
  <si>
    <t>Other income</t>
  </si>
  <si>
    <t>Interest earned</t>
  </si>
  <si>
    <t>Reduction of prior provision for doubtful accounts</t>
  </si>
  <si>
    <t>Miscellaneous</t>
  </si>
  <si>
    <t>Deductions</t>
  </si>
  <si>
    <t>Selling, administrative and general expenses</t>
  </si>
  <si>
    <t>Interest charges</t>
  </si>
  <si>
    <t>Earnings before federal income taxes</t>
  </si>
  <si>
    <t>Provision for the year (no excess profits tax)</t>
  </si>
  <si>
    <t>Less-Adjustment for prior years</t>
  </si>
  <si>
    <t>Net earnings</t>
  </si>
  <si>
    <t>Depreciation and amortization included in costs and expenses</t>
  </si>
  <si>
    <t>Balance at beginning of year</t>
  </si>
  <si>
    <t>Add: Net earnings for the year</t>
  </si>
  <si>
    <t>Transfer of contingent reserves</t>
  </si>
  <si>
    <t>Deduct: Cash dividends paid</t>
  </si>
  <si>
    <t>Dividends per share</t>
  </si>
  <si>
    <t>Deferred charges</t>
  </si>
  <si>
    <t>Prepaid insurance, taxes, rent and sundry</t>
  </si>
  <si>
    <t>Reduction (addition) of reserve for inventory adjustments</t>
  </si>
  <si>
    <t>Accounts payable - trade and sundry</t>
  </si>
  <si>
    <t>Accounts payable - officer</t>
  </si>
  <si>
    <t>State franchise and local taxes and accrued interest</t>
  </si>
  <si>
    <t>Less: US Treasury Notes, tax series - at cost and accrued interest</t>
  </si>
  <si>
    <t>Wirh respect to accounts receivable</t>
  </si>
  <si>
    <t>Deposits with mutual insurance companies</t>
  </si>
  <si>
    <t>Land</t>
  </si>
  <si>
    <t>Land improvements and buildings</t>
  </si>
  <si>
    <t>Excess profits tax</t>
  </si>
  <si>
    <t>NCAV</t>
  </si>
  <si>
    <t>shares</t>
  </si>
  <si>
    <t>Shares</t>
  </si>
  <si>
    <t>Type of business</t>
  </si>
  <si>
    <t>Value</t>
  </si>
  <si>
    <t>% of Portfolio</t>
  </si>
  <si>
    <t>GEICO</t>
  </si>
  <si>
    <t>Timely Clothes</t>
  </si>
  <si>
    <t>Baldwin</t>
  </si>
  <si>
    <t>Greif Brothers</t>
  </si>
  <si>
    <t>Thorp Corp</t>
  </si>
  <si>
    <t>Total Net Worth</t>
  </si>
  <si>
    <t>Hand Power Tools</t>
  </si>
  <si>
    <t>Railroad</t>
  </si>
  <si>
    <t>Shipping containers</t>
  </si>
  <si>
    <t>Musical instruments</t>
  </si>
  <si>
    <t>Men's suits</t>
  </si>
  <si>
    <t>Auto insurance</t>
  </si>
  <si>
    <t>Includes 5000 bank loan</t>
  </si>
  <si>
    <t>Less: Bank Loan</t>
  </si>
  <si>
    <t>Buffett-Falk &amp; Co.</t>
  </si>
  <si>
    <t>Dividends receivable</t>
  </si>
  <si>
    <t>Price</t>
  </si>
  <si>
    <t>Des Moines Railway 5's - 1955</t>
  </si>
  <si>
    <t>Stock price</t>
  </si>
  <si>
    <t>Debt</t>
  </si>
  <si>
    <t>EBITDA</t>
  </si>
  <si>
    <t>EBIT</t>
  </si>
  <si>
    <t>Capex (from AR)</t>
  </si>
  <si>
    <t>December 31,</t>
  </si>
  <si>
    <t>Current Assets:</t>
  </si>
  <si>
    <t>Cash on hand and in banks</t>
  </si>
  <si>
    <t>Accounts receivable - customers</t>
  </si>
  <si>
    <t>Less: Reserve for doubtful accounts</t>
  </si>
  <si>
    <t>Miscellaneous accounts receivable, sales tax stamps, etc.</t>
  </si>
  <si>
    <t>Merchandise inventories-Note A:</t>
  </si>
  <si>
    <t>Woolens, trimmings, etc.</t>
  </si>
  <si>
    <t xml:space="preserve">Work in process </t>
  </si>
  <si>
    <t>Finished goods</t>
  </si>
  <si>
    <t>Miscellaneous other assets</t>
  </si>
  <si>
    <t>Fixed Assets-at cost-Note B:</t>
  </si>
  <si>
    <t>Less: Reserves for depreciation</t>
  </si>
  <si>
    <t>Machinery, furniture, fixtures and equipment</t>
  </si>
  <si>
    <t>Alterations, improvements and leaseholds</t>
  </si>
  <si>
    <t>Less: Reserves for amortization</t>
  </si>
  <si>
    <t>Deferred Charges:</t>
  </si>
  <si>
    <t>Prepaid rent and advances to landlords on improvements to leased properties</t>
  </si>
  <si>
    <t>Unexpired insurance and other prepaid expenses</t>
  </si>
  <si>
    <t>Current Liabilities:</t>
  </si>
  <si>
    <t>Deposits, due to customers, etc.</t>
  </si>
  <si>
    <t>Accrued salaries, taxes other than Federal taxes on income, expenses, etc.</t>
  </si>
  <si>
    <t>Reserve for Federal taxes on income-Note C</t>
  </si>
  <si>
    <t>Mortgages and mortgage bonds payable-current installments-Note B</t>
  </si>
  <si>
    <t>Mortgages and Mortgage Bonds Payable by Subsidiaries-Note B</t>
  </si>
  <si>
    <t>Less: Current installments shown above</t>
  </si>
  <si>
    <t>Capital Stock:</t>
  </si>
  <si>
    <t>Preferred Stock-par value $100.00 per share</t>
  </si>
  <si>
    <t>Authorized-to be issued in series as designated by the Board of Directors</t>
  </si>
  <si>
    <t>Retired and cancelled</t>
  </si>
  <si>
    <t>Authorized-but not designated</t>
  </si>
  <si>
    <t>Common Stock-par value $1.00 per share</t>
  </si>
  <si>
    <t>Authorized</t>
  </si>
  <si>
    <t xml:space="preserve">Issued and outstanding </t>
  </si>
  <si>
    <t>Capital Surplus (no change during the year</t>
  </si>
  <si>
    <t>Earned Surplus-Exhibit B</t>
  </si>
  <si>
    <t>Sales</t>
  </si>
  <si>
    <t>Cost of goods sold, and stores and general and administrative expenses, exclusive of depreciation and amortization</t>
  </si>
  <si>
    <t>Add:</t>
  </si>
  <si>
    <t>Income from real estate operations of certain subsidiaries, before deducting depreciation - Note D</t>
  </si>
  <si>
    <t>Deduct:</t>
  </si>
  <si>
    <t>Depreciation and amortization</t>
  </si>
  <si>
    <t>Other deductions</t>
  </si>
  <si>
    <t>Net income before Federal taxes on income</t>
  </si>
  <si>
    <t>Provision for Federal taxes on income-Note C</t>
  </si>
  <si>
    <t>Earned Surplus as at December 31, 1949</t>
  </si>
  <si>
    <t>Dividends on Common Stock</t>
  </si>
  <si>
    <t>Earned Surplus as at December 31, 1950-Exhibit A</t>
  </si>
  <si>
    <t>Current assets:</t>
  </si>
  <si>
    <t>Less: reserves</t>
  </si>
  <si>
    <t>Cash surrender value of life insurance policies</t>
  </si>
  <si>
    <t>Woolens and trimmings</t>
  </si>
  <si>
    <t>Finished merchandise</t>
  </si>
  <si>
    <t>Other Assets:</t>
  </si>
  <si>
    <t>Machinery, equipment and fixtures</t>
  </si>
  <si>
    <t>Less: Reserves for write-down</t>
  </si>
  <si>
    <t>Goodwill</t>
  </si>
  <si>
    <t>Capital Stock and Surplus:</t>
  </si>
  <si>
    <t>Selling, general and administrative expenses</t>
  </si>
  <si>
    <t>Net income before Federal income taxes</t>
  </si>
  <si>
    <t>Provision for Federal income taxes</t>
  </si>
  <si>
    <t>Special items:</t>
  </si>
  <si>
    <t>Net increase of fixed assets based on examination by the Bureau of Internal Revenue</t>
  </si>
  <si>
    <t>Net income and special items</t>
  </si>
  <si>
    <t>Less: Reserves</t>
  </si>
  <si>
    <t>Miscellaneous advances, etc.</t>
  </si>
  <si>
    <t>Surplus</t>
  </si>
  <si>
    <t>Shares outstanding</t>
  </si>
  <si>
    <t>Market Capitalization</t>
  </si>
  <si>
    <t>Enterprise Value</t>
  </si>
  <si>
    <t>Timely Clothes Enterprise Value</t>
  </si>
  <si>
    <t>At December 31, 1951</t>
  </si>
  <si>
    <t>Total</t>
  </si>
  <si>
    <t>Loss on Cleveland Worsted Mills</t>
  </si>
  <si>
    <t>Accounts receivable</t>
  </si>
  <si>
    <t>Merchandise inventories - at the lower of cost or market:</t>
  </si>
  <si>
    <t>Other assets:</t>
  </si>
  <si>
    <t>Fixed Assets</t>
  </si>
  <si>
    <t>Leasehold improvements - at cost - unamortized portion</t>
  </si>
  <si>
    <t>Accounts payable, accrued expenses, accrued taxes and sundry liabilities (including reserves for Federal income taxes)</t>
  </si>
  <si>
    <t>Twenty Year 5% Registered Debentures-due September 1, 1963 (interest cumulative but deferrable at the discretion of the Board of Directors-callable at 105% and acrued interest-principal subordinated to all other indebtedness)</t>
  </si>
  <si>
    <t>Total liabilities</t>
  </si>
  <si>
    <t>Reserve for contingencies</t>
  </si>
  <si>
    <t>Minority interest in capital stock and Surplus of Greendield's Company</t>
  </si>
  <si>
    <t>Capital Stock and Surplus</t>
  </si>
  <si>
    <t>Common Stock-no par value-stated value $2.00 per share:</t>
  </si>
  <si>
    <t>Issued and outstanding (58,793 shares)</t>
  </si>
  <si>
    <t>Authorized (80,000 shares)</t>
  </si>
  <si>
    <t>Other deductions (consisting of interest of $96,893.00 and life insurance expense (net) of $6,933.90)</t>
  </si>
  <si>
    <t>Net income</t>
  </si>
  <si>
    <t>Excess of principal amount over fair market value of debenture bonds received as dividends from subsidiary companies and retired)</t>
  </si>
  <si>
    <t>U.S.Government securities, at cost</t>
  </si>
  <si>
    <t>Notes and accounts receivable-</t>
  </si>
  <si>
    <t>Trade, less allowances for doubtful balanaces and discounts</t>
  </si>
  <si>
    <t>Other</t>
  </si>
  <si>
    <t>Inventories-</t>
  </si>
  <si>
    <t>Factory inventories at cost or market whichever is lower for current season's goods and estimated realizable value for past seasons' goods; retail stores' inventories at cost or market whichever is lower computed by the retail methods</t>
  </si>
  <si>
    <t>Prepaid rentals, insurance, supplies, etc.</t>
  </si>
  <si>
    <t>U.S. Government securities (at cost) and cash deposited in escrow for building purposes and deposits under leases</t>
  </si>
  <si>
    <t>Notes of officers and employees for purchase of company's common stock</t>
  </si>
  <si>
    <t>Ssundry investments (at cost) and loans, less reserves</t>
  </si>
  <si>
    <t>Cash surrender value of insurance policies on lives of officers of certain subsidiaries</t>
  </si>
  <si>
    <t>Properties, at cost:</t>
  </si>
  <si>
    <t>Building, shop equipment, furniture and fixtures</t>
  </si>
  <si>
    <t>Less accumulated depreciation</t>
  </si>
  <si>
    <t>Leaseholds and leasehold improvements less amortization</t>
  </si>
  <si>
    <t>Goodwill, Trade Names and Trade Marks, at record value</t>
  </si>
  <si>
    <t>Sinking  fund debentures payable May 31, 1951 and 1950 respectively</t>
  </si>
  <si>
    <t>Accounts payable-</t>
  </si>
  <si>
    <t>Trade</t>
  </si>
  <si>
    <t>Accrued salaries, wages and rents</t>
  </si>
  <si>
    <t>Accrued taxes (other than taxes on income)</t>
  </si>
  <si>
    <t>Provision for federal and state taxes on income</t>
  </si>
  <si>
    <t>Notes payable to banks</t>
  </si>
  <si>
    <t>Funded Debt:</t>
  </si>
  <si>
    <t>3.5% Sinking Fund debentures, due June 1, 1963</t>
  </si>
  <si>
    <t>Less-Amount payable in 1951 and 1950 respectively, included in current liabilities</t>
  </si>
  <si>
    <t>Advance by lessor toward leasehold improvements by subsidiary  company payable monthly over lease expiring in 1977</t>
  </si>
  <si>
    <t>Minority Stockholders' Interest</t>
  </si>
  <si>
    <t>Reserve for Conntingencies</t>
  </si>
  <si>
    <t>Common stock-authorized and issued-375,000 shares par value $10.00 each</t>
  </si>
  <si>
    <t>Surplus per accompanying statement-</t>
  </si>
  <si>
    <t>Capital surplus</t>
  </si>
  <si>
    <t>Earned surplus</t>
  </si>
  <si>
    <t>Deduct-Treasury stock-20,367.5 shares</t>
  </si>
  <si>
    <t>Net sales and operating revenues</t>
  </si>
  <si>
    <t>Dividends from sundry investments, interest and other income</t>
  </si>
  <si>
    <t>Less:</t>
  </si>
  <si>
    <t>Cost of goods sold and occupancy expenses (exclusive of depreciation and amortization</t>
  </si>
  <si>
    <t>Interest paid</t>
  </si>
  <si>
    <t>Sundry income deductions</t>
  </si>
  <si>
    <t>Minority interest in net profits of subsidairies</t>
  </si>
  <si>
    <t>Provision for taxes on income-</t>
  </si>
  <si>
    <t>Federal normal income tax and surtax</t>
  </si>
  <si>
    <t>State income taxes</t>
  </si>
  <si>
    <t>Profit for the year</t>
  </si>
  <si>
    <t>Adjustment in respect of building and leasehold improvements, depreiation and amortization, federal income taxes, etc., applicable to prior years (Net)</t>
  </si>
  <si>
    <t>Amount transferred to earned surplus</t>
  </si>
  <si>
    <t>Capital Surplus</t>
  </si>
  <si>
    <t>Balance at end of year (1950 addition of $21,473 resulting from acquisition of minority interests)</t>
  </si>
  <si>
    <t>Amount transferred from consolidated statement of profit and loss</t>
  </si>
  <si>
    <t>Dividends of $2.20 per share in 1950 and $2.40 in 1949</t>
  </si>
  <si>
    <t>Balance at end of year</t>
  </si>
  <si>
    <t>Life insurance proceeds over cash value there of</t>
  </si>
  <si>
    <t>High</t>
  </si>
  <si>
    <t>Low</t>
  </si>
  <si>
    <t>Dividends</t>
  </si>
  <si>
    <t>1950-1951</t>
  </si>
  <si>
    <t>1954??</t>
  </si>
  <si>
    <t>Net Profit</t>
  </si>
  <si>
    <t>Gross Profit</t>
  </si>
  <si>
    <t>Operating Profit</t>
  </si>
  <si>
    <t>Net Income</t>
  </si>
  <si>
    <t>Gross Margin</t>
  </si>
  <si>
    <t>Operating Margin</t>
  </si>
  <si>
    <t>Profit Margin</t>
  </si>
  <si>
    <t>Hart Schaffner</t>
  </si>
  <si>
    <t>Net Sales and Operating Revenue</t>
  </si>
  <si>
    <t>SG&amp;A</t>
  </si>
  <si>
    <t>Minority interest in net profits of subsidiaries</t>
  </si>
  <si>
    <t>Capex (Property Additions)</t>
  </si>
  <si>
    <t>EBITDA-Capex</t>
  </si>
  <si>
    <t>Fashion Park</t>
  </si>
  <si>
    <t>Minority Interest</t>
  </si>
  <si>
    <t>EV</t>
  </si>
  <si>
    <t>Should advance by lessor toward leasehold improvements be included?</t>
  </si>
  <si>
    <t>Company</t>
  </si>
  <si>
    <t>P/NCAV</t>
  </si>
  <si>
    <t>Current Assets</t>
  </si>
  <si>
    <t>All liabilities</t>
  </si>
  <si>
    <t>Bond Stores</t>
  </si>
  <si>
    <t>When calculating NCAV, include minority interest?</t>
  </si>
  <si>
    <t>1950 Operating Profit</t>
  </si>
  <si>
    <t>1950 EBITDA</t>
  </si>
  <si>
    <t>1950 EBITDA-Capex</t>
  </si>
  <si>
    <t>Minority interest</t>
  </si>
  <si>
    <t>Capex</t>
  </si>
  <si>
    <t>Buildings</t>
  </si>
  <si>
    <t>n/a</t>
  </si>
  <si>
    <t>Operating income</t>
  </si>
  <si>
    <t>Gross profit on sales (after depreciation of $29,036.32)</t>
  </si>
  <si>
    <t>Depreciation</t>
  </si>
  <si>
    <t>Operating Income</t>
  </si>
  <si>
    <t>D&amp;A</t>
  </si>
  <si>
    <t>Timely Clothes Inventory</t>
  </si>
  <si>
    <t>Timely Clothes Sales</t>
  </si>
  <si>
    <t>Bond Stores Sales</t>
  </si>
  <si>
    <t>Bond Stores Inventory</t>
  </si>
  <si>
    <t>Days inventory</t>
  </si>
  <si>
    <t>Hart Inventory</t>
  </si>
  <si>
    <t>Hart Sales</t>
  </si>
  <si>
    <t>Inventory</t>
  </si>
  <si>
    <t>Market Cap</t>
  </si>
  <si>
    <t>Discount</t>
  </si>
  <si>
    <t>Subtract</t>
  </si>
  <si>
    <t>Tangible Book</t>
  </si>
  <si>
    <t>Year</t>
  </si>
  <si>
    <t>Wages</t>
  </si>
  <si>
    <t>Number of</t>
  </si>
  <si>
    <t>establishments</t>
  </si>
  <si>
    <t>Wage earnings</t>
  </si>
  <si>
    <t>(average for the year)</t>
  </si>
  <si>
    <t xml:space="preserve">Value of </t>
  </si>
  <si>
    <t>Product</t>
  </si>
  <si>
    <t>The content of this classification has undergone a number of changes. Work clothing, except for work shirts, was reported as part of this industry until 1921. Beginning with 1933, sheep-lined garments, classified with work clothing in 1931, are reported as part of the men's clothing industry. Children's playsuits, windbreakers and lumberjacks, and oiled waterproof outergarments, formerly classified in men's clothing, from 1933 on are classified with work clothing. After 1933 the figures for men's clothing also included buttonholes and cloth-sponging, reported separately until then. The 1937 Census established two new classifications-"clothing, leather and sheep-lined"; and "trousers (semi-dress), wash suits and washable service apparel." To make the table more comparable, these are added to men's, youths', and boys' clothing, not elsewhere classified," for 1937 and 1939 to obtain the figures hereused..</t>
  </si>
  <si>
    <t>The figures for 1849 to 1889 include custom and neighborhood shops.</t>
  </si>
  <si>
    <t xml:space="preserve">1939 is preliminary. </t>
  </si>
  <si>
    <t>Number of establishments</t>
  </si>
  <si>
    <t>Men's and boys' suits and coats</t>
  </si>
  <si>
    <t>Suit and coat findings:</t>
  </si>
  <si>
    <t>Value added by manufacturer</t>
  </si>
  <si>
    <t xml:space="preserve">Value added by manufacturer: value of products less cost of materials, supplies, fuel, electricity and contract work. </t>
  </si>
  <si>
    <t>Cost of materials, fuel, electricity, and contract work</t>
  </si>
  <si>
    <t>Value of products shipped</t>
  </si>
  <si>
    <t>Page 206 Census of Manufacturers.</t>
  </si>
  <si>
    <t>x</t>
  </si>
  <si>
    <t>Margin</t>
  </si>
  <si>
    <t>on Sales</t>
  </si>
  <si>
    <t>Gross Earnings</t>
  </si>
  <si>
    <t>Net</t>
  </si>
  <si>
    <t>Profit</t>
  </si>
  <si>
    <t>Earnings</t>
  </si>
  <si>
    <t>per Share</t>
  </si>
  <si>
    <t>Shareholders'</t>
  </si>
  <si>
    <t>Equity</t>
  </si>
  <si>
    <t>LT Debt</t>
  </si>
  <si>
    <t>ST Debt</t>
  </si>
  <si>
    <t>Earnings before Federal and State Taxes on Income</t>
  </si>
  <si>
    <t>Expenses</t>
  </si>
  <si>
    <t>LOOK INTO PRO FORMA… DO YOU WANT TO USE THIS? SEE 1958 REPORT</t>
  </si>
  <si>
    <t>IC</t>
  </si>
  <si>
    <t>IC LESS CASH</t>
  </si>
  <si>
    <t>Adj. Pre-tax Earnings</t>
  </si>
  <si>
    <t>https://play.google.com/books/reader?id=tS0hAAAAMAAJ&amp;hl=en&amp;pg=GBS.PA152</t>
  </si>
  <si>
    <t>https://books.google.com/books?id=fF2W1JAgYnMC&amp;pg=PA205&amp;dq=men%27s+and+boy%27s+clothing+1947+census+of+manufacturers+suit&amp;hl=en&amp;newbks=1&amp;newbks_redir=0&amp;sa=X&amp;ved=2ahUKEwidxayS3pLmAhWvd98KHSxlCm4Q6AEwAXoECAIQAg#v=onepage&amp;q=men's%20and%20boy's%20clothing%201947%20census%20of%20manufacturers%20suit&amp;f=false</t>
  </si>
  <si>
    <t>https://play.google.com/store/books/details?id=tS0hAAAAMAAJ&amp;rdid=book-tS0hAAAAMAAJ&amp;rdot=1</t>
  </si>
  <si>
    <t>https://books.google.com/books?id=FjPMSe1oOJIC&amp;pg=PA87&amp;dq=national+wool+prices+1950&amp;hl=en&amp;newbks=1&amp;newbks_redir=0&amp;sa=X&amp;ved=2ahUKEwis-6zn-pLmAhVqdt8KHThRCWAQ6AEwBHoECAgQAg#v=onepage&amp;q=national%20wool%20prices%201950&amp;f=false</t>
  </si>
  <si>
    <t>https://www.nytimes.com/1987/11/24/business/advertising-some-new-celebrities-for-bvd.html</t>
  </si>
  <si>
    <t>https://books.google.com/books?id=3utkyU-yNREC&amp;pg=RA11-PA14&amp;dq=national+wool+prices+1950&amp;hl=en&amp;newbks=1&amp;newbks_redir=0&amp;sa=X&amp;ved=2ahUKEwis-6zn-pLmAhVqdt8KHThRCWAQ6AEwAnoECAMQAg#v=onepage&amp;q=national%20wool%20prices%201950&amp;f=false</t>
  </si>
  <si>
    <t>https://www.nap.edu/read/12245/chapter/7</t>
  </si>
  <si>
    <t>https://scholarship.law.marquette.edu/cgi/viewcontent.cgi?article=3054&amp;context=mulr</t>
  </si>
  <si>
    <t>https://play.google.com/books/reader?id=tS0hAAAAMAAJ&amp;hl=en&amp;pg=GBS.PA151</t>
  </si>
  <si>
    <t>Tangible Equity</t>
  </si>
  <si>
    <t>Note payable-banks</t>
  </si>
  <si>
    <t>P/TB</t>
  </si>
  <si>
    <t xml:space="preserve">1. Timely Clothes balance sheet and income statement figures are calculated based on the 1950 Annual report for the year ended October 31, 1950. </t>
  </si>
  <si>
    <t xml:space="preserve">2. Bond Stores balance sheet and income statement figures are calculated based on the 1950 Annual report for the year ended December 31, 1950. </t>
  </si>
  <si>
    <t xml:space="preserve">3. Fashion Park balance sheet and income statement figures are calculated based on the 1950 Annual report for the year ended November 30, 1950. </t>
  </si>
  <si>
    <t>Hart Schaffner &amp; Marx</t>
  </si>
  <si>
    <t xml:space="preserve">4. Hart Schaffner &amp; Marx balance sheet and income statement figures are calculated based on the 1950 Annual report for the year ended November 30, 1950. </t>
  </si>
  <si>
    <t>5. Bond Stores and Fashion Park do not disclose capital expenditure figures.</t>
  </si>
  <si>
    <t xml:space="preserve">6. The multiples are based on the December 31, 1951 closing prices for Timely Clothes, Bond Stores, and Hart Schaffner &amp; Marx. Fashion Park's multiples are based on the average of the high and low price for 1951. </t>
  </si>
  <si>
    <t>Dividend Yield</t>
  </si>
  <si>
    <t>P/E</t>
  </si>
  <si>
    <t>Summary Comparable Company Metrics</t>
  </si>
  <si>
    <t>EPS</t>
  </si>
  <si>
    <t>Dividend</t>
  </si>
  <si>
    <t>DPS</t>
  </si>
  <si>
    <t>Other income (including dividends of $51,613.58 on investments and proceeds of $22,800.00 from oil and gas lease)</t>
  </si>
  <si>
    <t>Goodwil</t>
  </si>
  <si>
    <t>Invested</t>
  </si>
  <si>
    <t>Capital</t>
  </si>
  <si>
    <t>Capital (less Cash)</t>
  </si>
  <si>
    <t xml:space="preserve">Pre-Tax </t>
  </si>
  <si>
    <t>ROIC</t>
  </si>
  <si>
    <t>Pre-Tax ROIC</t>
  </si>
  <si>
    <t>(Invested capital is less cash)</t>
  </si>
  <si>
    <t xml:space="preserve">1. Invested capital is calculated using shareholders' equity and adding short and long-term debt. Invested Capital less cash substracts cash from the invested capital figure. </t>
  </si>
  <si>
    <t>2. ROIC is calculated using adjusted pre-tax earnings. Interest (both earned and charged) and "miscellaneous" items are excluded from "Earnings before Federal and State Taxes on Income"</t>
  </si>
  <si>
    <t>Task</t>
  </si>
  <si>
    <t>Status</t>
  </si>
  <si>
    <t>Number of Establishments, Wage Earners, Wages, and Value of Product, Men's, Youths', and Boys' Clothing, 1849-1939</t>
  </si>
  <si>
    <t>The content of this classification has undergone a number of changes. Work clothing, except for work shirts, was reported as part of this industry until 1921. Beginning with 1933, sheep-lined garments, classified with work clothing in 1931, are reported as part of the men's clothing industry. Children's playsuits, windbreakers and lumberjacks, and oiled waterproof outergarments, formerly classified in men's clothing, from 1933 on are classified with work clothing. After 1933 the figures for men's clothing also included buttonholes and cloth-sponging, reported separately until then. The 1937 Census established two new classifications-"clothing, leather and sheep-lined"; and "trousers (semi-dress), wash suits and washable service apparel." To make the table more comparable, these are added to men's, youths', and boys' clothing, not elsewhere classified," for 1937 and 1939 to obtain the figures here used.</t>
  </si>
  <si>
    <t>go back and check 1939 numbers for Table II</t>
  </si>
  <si>
    <t>Need some stats for 'The production of men's clothing became concentrated in a few large cities"</t>
  </si>
  <si>
    <t>need source and context for paragraph right above Rochester Men's Clothing Industry</t>
  </si>
  <si>
    <t>Go through book notes</t>
  </si>
  <si>
    <t>FACT CHECK</t>
  </si>
  <si>
    <t>Add context for 1950 (look at Ars)</t>
  </si>
  <si>
    <t>Fix sources</t>
  </si>
  <si>
    <t>double check with AR</t>
  </si>
  <si>
    <t>Less-Provision for doubful accounts and discounts</t>
  </si>
  <si>
    <t>Inventories</t>
  </si>
  <si>
    <t>Property, plant, and equipment</t>
  </si>
  <si>
    <t>Less - Accumulated depreciation and amortization</t>
  </si>
  <si>
    <t>Total Assets</t>
  </si>
  <si>
    <t>Total liabilities and shareholders' investment</t>
  </si>
  <si>
    <t xml:space="preserve">    Interest earned</t>
  </si>
  <si>
    <t xml:space="preserve">    Life insurance proceeds over cash value there of</t>
  </si>
  <si>
    <t xml:space="preserve">    Reduction of prior provision for doubtful accounts</t>
  </si>
  <si>
    <t xml:space="preserve">    Miscellaneous</t>
  </si>
  <si>
    <t>—</t>
  </si>
  <si>
    <t xml:space="preserve">    Selling, administrative and general expenses</t>
  </si>
  <si>
    <t xml:space="preserve">    Interest charges</t>
  </si>
  <si>
    <t>done?</t>
  </si>
  <si>
    <t>To do</t>
  </si>
  <si>
    <t>Operating profit</t>
  </si>
  <si>
    <t>Hart Schaffner operating profit calculation</t>
  </si>
  <si>
    <t>Net sales and operating revenue (from above)</t>
  </si>
  <si>
    <t>COGS</t>
  </si>
  <si>
    <t>MI profits</t>
  </si>
  <si>
    <t>ADD NOTES ABOUT ADJUSTMENTS</t>
  </si>
  <si>
    <t>Inventory accounting under FIFO</t>
  </si>
  <si>
    <t>Units purchased</t>
  </si>
  <si>
    <t>Price per unit</t>
  </si>
  <si>
    <t>Total Inventory Purchased</t>
  </si>
  <si>
    <t>Cost of goods sold</t>
  </si>
  <si>
    <t>Inventory accounting under LIFO</t>
  </si>
  <si>
    <t>Year:</t>
  </si>
  <si>
    <t>Total inventory purchased</t>
  </si>
  <si>
    <t>Units sold</t>
  </si>
  <si>
    <t>Price received per unit</t>
  </si>
  <si>
    <t>Revenue</t>
  </si>
  <si>
    <t>Gross profit</t>
  </si>
  <si>
    <t>Gross margin</t>
  </si>
  <si>
    <t>Beginning inventory</t>
  </si>
  <si>
    <t>Total inventory sold</t>
  </si>
  <si>
    <t>Ending inventory</t>
  </si>
  <si>
    <t xml:space="preserve">In this example, a theoretical company purchases 100 units in the Year 1 at $1 per unit. The company purchases another 100 units at $2 per unit in year 2, and sells 100 units in year 3 for $3 per unit. The revenue would be $300, but the cost of goods sold, ending inventory levels, and profit realized would depend on the accounting method chosen. We see that in an inflationary environment, the FIFO method results in greater profitability and higher ending inventory. </t>
  </si>
  <si>
    <t>Current Liabilities</t>
  </si>
  <si>
    <t>Shareholders' equity</t>
  </si>
  <si>
    <t>Total Liabilities</t>
  </si>
  <si>
    <t>BS AS OF FEBRUARY 28, 1951</t>
  </si>
  <si>
    <t>Goodwill, trade names, and trade marks, at record value</t>
  </si>
  <si>
    <t>Investments</t>
  </si>
  <si>
    <t>FP includes investments</t>
  </si>
  <si>
    <t>Hart Schaffner… Lt gov securities… not sure.</t>
  </si>
  <si>
    <t>Description</t>
  </si>
  <si>
    <t>Link</t>
  </si>
  <si>
    <t>1947 Census of Manufacturers</t>
  </si>
  <si>
    <t>The 1954 Wool Price Support Program</t>
  </si>
  <si>
    <t>Changes in the Sheep Industry link, might be useful for Cleveland Mill</t>
  </si>
  <si>
    <t>Wool</t>
  </si>
  <si>
    <t>BVD/Union Underwear</t>
  </si>
  <si>
    <t>Census of manufactures: 1947</t>
  </si>
  <si>
    <t>Wool Trade book</t>
  </si>
  <si>
    <t>https://play.google.com/books/reader?id=lFbG_YSQRT0C&amp;hl=en&amp;pg=GBS.PA410</t>
  </si>
  <si>
    <t>1939 Census</t>
  </si>
  <si>
    <t xml:space="preserve">Author seems to have made a mistake and used only the Men's and youth's and boys' clothing from regular factory number. It's slightly different than his. See chapter 2 </t>
  </si>
  <si>
    <t xml:space="preserve">LOOK AT DEVELOPMENT OF MEN'S CLOTHING, THEY HAVE THE TABLES </t>
  </si>
  <si>
    <t>Need to check the census information</t>
  </si>
  <si>
    <t>Bond Clothes</t>
  </si>
  <si>
    <t>Source:</t>
  </si>
  <si>
    <t>Note</t>
  </si>
  <si>
    <t>1950 AR</t>
  </si>
  <si>
    <t>Nothing to exclude</t>
  </si>
  <si>
    <t>1949 AR has deferred charges instead of prepaid expenses as LT asset instead of ST asset.</t>
  </si>
  <si>
    <t>Prepaid insurance, taxes, rent, and sundry</t>
  </si>
  <si>
    <t>1949 AR</t>
  </si>
  <si>
    <t>1948 AR</t>
  </si>
  <si>
    <t>1947 AR</t>
  </si>
  <si>
    <t xml:space="preserve">No MI or anything like that. </t>
  </si>
  <si>
    <t>deferred charges might want to subtract</t>
  </si>
  <si>
    <t>1950 Moody's</t>
  </si>
  <si>
    <t>Finish summary</t>
  </si>
  <si>
    <t>Re-check multiples. Other names look cheap as well</t>
  </si>
  <si>
    <t>make a decision on deferred charges.  Leaning towards keeping them in.  Doesn't look to be a big deal either way..</t>
  </si>
  <si>
    <t>1950's Moody</t>
  </si>
  <si>
    <t>1949 Moody's</t>
  </si>
  <si>
    <t>I checked numbers are right, must be rounding</t>
  </si>
  <si>
    <t>1948 Moody's</t>
  </si>
  <si>
    <t>prepaid rent and advances to landlords on improvements to leased properties and unexperied insurance and other prepaid expenses</t>
  </si>
  <si>
    <t>1946 AR</t>
  </si>
  <si>
    <t>prepaid rentals</t>
  </si>
  <si>
    <t>deferred charged 394244 as LT assets in 1947 AR</t>
  </si>
  <si>
    <t>Net Sales</t>
  </si>
  <si>
    <t>Net Working Capital</t>
  </si>
  <si>
    <t>Year-over-year growth</t>
  </si>
  <si>
    <t>Cost of goods sold and occupancy expenses</t>
  </si>
  <si>
    <t xml:space="preserve">Notes: Fashion Park sales figures were unavailable. Timely Clothes did not report sales in their annual reports, either, but Moody's Manuals did report them. Operating profit was not a figure reported by the companies and was calculated by the author. Moody's Manuals and Company Annual reports were used for the figures. </t>
  </si>
  <si>
    <t xml:space="preserve">Percent of </t>
  </si>
  <si>
    <t>Portfolio</t>
  </si>
  <si>
    <t>Warren Buffett Portfolio at 12/31/1951</t>
  </si>
  <si>
    <t>Adler Book</t>
  </si>
  <si>
    <t>Causes of Industrial Peace Under Collective Bargaining</t>
  </si>
  <si>
    <t>Economic Aspects</t>
  </si>
  <si>
    <t>Fashion Book</t>
  </si>
  <si>
    <t>Men's Factory Made Clothing Industry</t>
  </si>
  <si>
    <t xml:space="preserve">Men's Wear Merchandising </t>
  </si>
  <si>
    <t>Needle Trades</t>
  </si>
  <si>
    <t>Notes from Annual Reports</t>
  </si>
  <si>
    <t>Story of Men's Clothes</t>
  </si>
  <si>
    <t>The development of the Men's Clothing Industry</t>
  </si>
  <si>
    <t>Union Management Cooperation</t>
  </si>
  <si>
    <t>pg #</t>
  </si>
  <si>
    <t>maybe addline about decline was the change in men's cloting tastes for less tailored and less dressy attire, particularly for business wear</t>
  </si>
  <si>
    <t>Bond excluded from contract?</t>
  </si>
  <si>
    <t>4, 76</t>
  </si>
  <si>
    <t>done</t>
  </si>
  <si>
    <t>less concentrated than before</t>
  </si>
  <si>
    <t>45 of pdf</t>
  </si>
  <si>
    <t>Since the production of wool suits is more concentrated than that of other garments for which the industry is responsible, Chicago and Rochester would rank higher by number of wage earners or value of product than by volume of product</t>
  </si>
  <si>
    <t>46 of PDF</t>
  </si>
  <si>
    <t>48 of pdf</t>
  </si>
  <si>
    <t>raw mateirals not a vital factor in the location of industry</t>
  </si>
  <si>
    <t>firms selling through agents have much higher selling costs than firms selling through dealers</t>
  </si>
  <si>
    <t>150 of pdf</t>
  </si>
  <si>
    <t>179 of pdf</t>
  </si>
  <si>
    <t>control of retail outlets havs been practiced chiefly as a means of guaranteeing volume, also been recommended as a means of reducing seasonality</t>
  </si>
  <si>
    <t>do you want to mention employment exchange?</t>
  </si>
  <si>
    <t>406 of pdf</t>
  </si>
  <si>
    <t>distribution</t>
  </si>
  <si>
    <t>the ownership of retail outlets as a means of stabilizing production had succeeded only in shifting the burden from one part of the organization to another and was pretty thoroughly discredited. This selling method was consequently not expected to increase.</t>
  </si>
  <si>
    <t>455of pdf</t>
  </si>
  <si>
    <t>531 of pdf</t>
  </si>
  <si>
    <t>chart</t>
  </si>
  <si>
    <t>Rochester didn't become important producer until afte rCivil War</t>
  </si>
  <si>
    <t>During and following the first WW, prices rose rapidly while quality kept deteriorating in woolen and trimmings, and material purchases resembled stock market speculations. No matter what price was paid at the beginning of the season, materials were worth more at the end of the season. Constantly required a larger investment in inventory and many companies had their fabulous profits represented largely by high priced inventories.</t>
  </si>
  <si>
    <t>Woolen purchases due to merchandising practices in the clothing industry were bought nearly a year ahead. Inventory collapse came, was disastrous. Inventory collapse accompanied by an enormous drop in business. Cotton collapsed at the same time, dropping from 40 cents to 10 cents a pound</t>
  </si>
  <si>
    <t>Wool prices remained relatively high from 1924 to 1930</t>
  </si>
  <si>
    <t>this might be interesting. Can discuss why rising prices was so dangerous. Make sureto add this</t>
  </si>
  <si>
    <t>go back to this page</t>
  </si>
  <si>
    <t>most business which weathered the slump of 1921 experienced a spurt of prosperity in the Harding and Coolidge administrations, but men’s clothing did not share in the easy money because the woolen industry instead of improving, staged a depression of its own which lasted for eleven years. None of the mills could make money. Their leader showed a loss of approx $12 million in 1924 and 1925 and about $4 million in 1926. Wool textile industry altogether lost $90 million in the 20s.</t>
  </si>
  <si>
    <t>The only time the industry got together was when political urgency demanded it when tariffs were being proposed. In 1925 only 60% of the woolen and worsted machinery was in operation. During the war much machinery had been added to keep up with government contracts, and now overproduction was made worse by underconsumption in the women’s market because of competition from fur coats and silk and later rayon dresses and suits.</t>
  </si>
  <si>
    <t>Bond had $10 million Rochester factory</t>
  </si>
  <si>
    <t>Between 1925 and 1930 an increasing number of manufacturers by-passed the independent retailer and opened retail stores of their own, to be assured of outlets. Others openly or secretly maintained both types of distribution</t>
  </si>
  <si>
    <t>By 1927 clothing manufacturers were clinging to retailers for support and protection, having been weakened by the monopolistic development of chain stores in the popular priced field. Big outfits demanded preferential treatment in the way of price cuts, returns of unsold stock, and delays in paying bills.</t>
  </si>
  <si>
    <t>320: General Maximum Price Regulation issued by the Office of PRice Administration on April 21, 1942. This regulation established ceiling prices for all commodities at the highest price charged the previous month, though most clothing delivered in MArch had been sold at prices based on lower material and labor cost during the previous selling season. Manufacturers who had received relatively high prices for their MArch output had a decided advantage over the rest of the market.</t>
  </si>
  <si>
    <t>During war years mill prices of fabrics went up and so did the cost of labor, so that by early 1945 the clothing manufacturer was being squeezed between the regulation and increased operating costs.</t>
  </si>
  <si>
    <t>During the banner year 1946, the average clothing manufacturer made a profit of only 5.01% after taxes, according to Dun and Bradstreet compared to a profit of 3.3% for the preceding five-year period. During that year expenditures for new machinery more than doubled the amount averaged during the war years.</t>
  </si>
  <si>
    <t>According to department of commerce, Rochester 6.3% of mens suits. NY, Philadelphia, Baltimore, Rochester, Chicago, Cleveland</t>
  </si>
  <si>
    <t>75% of cost of fabrics is raw material and labor. Cost of wool is controlled by the American and British governments.</t>
  </si>
  <si>
    <t>price of wool went up 50% in first two years following the war.</t>
  </si>
  <si>
    <t>335: Rochester clothing market more than a century old. Federal census of 1860 listed 1,555 clothing workers in Rochester and its output at $1,183,403. Apprentices received 25-50 cents, skilled workers $1.60 to $3. Today with some 14K employees, the clothing market is the second largest employer of labor in the immediate area. Rochester long had the reputation of being the country’s leading quality market. Although only 13 clothing firms are in operation in Rochester, about 1% of the total number in the country, they account for about 6% of total sales which reached $74,815,000 in 1946 and approximately $80,000,000 in 1948, but dropped in 1949 during the general business recession. The market produced six nationally advertised brands of clothing. Other outstanding men’s wear trades include neckwear, belts, jewelry and suspenders.</t>
  </si>
  <si>
    <t>11: After war, the requirements of hundreds of thousands of soldiers returning to civil life and the general need in the South caused the factories that had been established for making uniforms to turn to ready-made clothing</t>
  </si>
  <si>
    <t>From Men's wear merchandising</t>
  </si>
  <si>
    <t>Manufacturer with an inside shop had a certainty of production not possible when working with contractors</t>
  </si>
  <si>
    <t>43: data regarding the selling cost and selling methods were obtained from 64 establishments. Of the total sales of these establishments, 98.21% went to retailers and 1.29% to jobbers. .21% sold by mail order and .08% by tailing-to-the-trade, .21% exported</t>
  </si>
  <si>
    <t>Topics:</t>
  </si>
  <si>
    <t>Add a bit more about the cost structure of the industry? Annuals would probably be best</t>
  </si>
  <si>
    <t>65: raw materials more than half of the total cost (on average). Direct labor second highest cost70</t>
  </si>
  <si>
    <t>90-93ish</t>
  </si>
  <si>
    <t>unit economics on a suit</t>
  </si>
  <si>
    <t>unit economics… do you just want to mention low margin business?</t>
  </si>
  <si>
    <t xml:space="preserve">cost of materials averages more than half the total cost of production of clothing. Cost of the fabric or outer cloth is several times as large as the cost of the other materials. </t>
  </si>
  <si>
    <t>price of mohair and wool (From Boston Commercial Bulliten)</t>
  </si>
  <si>
    <t>150: cloth is purchased from 2-9 months in advance of its being used, the usual period being about six months</t>
  </si>
  <si>
    <t>240: Table 51: 98.21% sold to retailers</t>
  </si>
  <si>
    <t>241: Manufacturers have two methods of selling to retailers; they sell to all from whom orders can be secured or confine their business to one or two retailers in each city or town. Much difference of opinion in the industry as to which is the more advantageous method</t>
  </si>
  <si>
    <t>Largest sales for the winter season are made in April and May, with the heaviest deliveries in August and September. Largest sales for the summer season are in October and November, with deliveries heaviest in February and March.</t>
  </si>
  <si>
    <t>242: the tendency in the trade seems to be toward smaller and more frequent orders, one reason for which is the rapid change in styles in recent years. When styles remained more uniform from year to year, the retailer could carry left-over goods from one season to the next and sell them without a loss. Style seasons from season to season have put an end to this, and consequently the retailer places smaller orders, f earing that a dull season will leave him with a stock of left-over goods</t>
  </si>
  <si>
    <t xml:space="preserve">Pg 13: first large wholesale clothing houses in the US got their start during the 70s and 80s in the period of great commercial expansion following the Civil War. They didn’t do much manufacturing at all, they financed the buying of the cloth, had it cut in their own shops to their own standard patterns and then turned over the actual tailoring of the garments to contractors, who bid against each other for each contractor. Contractor engaged additional help at the lowest price possible. Recently as 1925 large % of men’s clothing in NYC made in contract shops. </t>
  </si>
  <si>
    <t>In Rochester, clothing industry started when Meyer Greentree moved there from Canandaigua and started to make clothing on Front Street in the year 1850. 19-20 Rochester pre-eminently a quality market</t>
  </si>
  <si>
    <t>19-20</t>
  </si>
  <si>
    <t>The London Process</t>
  </si>
  <si>
    <t>For Worsteds, not applicable here</t>
  </si>
  <si>
    <t>26-27: bulk of men’s wear distributed through the retail store</t>
  </si>
  <si>
    <t>Not advisable to purchase a full season’s supply in advance, for fashion’s may change</t>
  </si>
  <si>
    <t>7-8</t>
  </si>
  <si>
    <t>At present time, unit store the principal retail outlets for men’s apparel.</t>
  </si>
  <si>
    <t>137—138: unit store at a disadvantage compared to department store if individual wants to concentrate on family purchasing</t>
  </si>
  <si>
    <t>138 of Men's Wear Merchandising PDF</t>
  </si>
  <si>
    <r>
      <t>Manufacturers’ chains have developed along 2 closely related lines: 1. Manufacturer who distribute their entire product through their own retail stores 2. The practice of producers’ securing a substantial financial interest in a # of retail outlets for the purpose of securing more adequate control of distribution and of minimizing some of the risks incident to the distribution of clothing. This major trend generally referred to as a vertical integration, that is production and distribution within a single organization. Richman Bros an example of the first type. 2</t>
    </r>
    <r>
      <rPr>
        <vertAlign val="superscript"/>
        <sz val="12"/>
        <color theme="1"/>
        <rFont val="Times New Roman"/>
        <family val="1"/>
      </rPr>
      <t>nd</t>
    </r>
    <r>
      <rPr>
        <sz val="12"/>
        <color theme="1"/>
        <rFont val="Times New Roman"/>
        <family val="1"/>
      </rPr>
      <t xml:space="preserve"> type, Fashion Park Associates. Fashion Park secures a control of a # of retail outlets sufficient to insure steady distribution. The specific inception of the Fashion Park Associates came as a result of a combination with what was already a powerful chain in the better class field. This type bringsthe chain store into a new price field. The low end of the biz taken care of by Richman Bros and concerns of similar type</t>
    </r>
  </si>
  <si>
    <t>166: the advantages of the Fashion Park Associates plan are believed to be: 1. Reduction of overhead through regularized production made possibly be maintained distribution 2. Avoidance of inequalities in distribution due to competitive factors 3. Maintenance of close contact with retail outlets 4. Individuality of associate stores preserved 5. Reductions in personnel and lessening of selling costs 6. Gains from better coordination of production and distribution. This form of organization presupposes stores of the quality type that maintain their individuality. Sets them off from the usual chain store type</t>
  </si>
  <si>
    <t xml:space="preserve">213: In an earlier period in retailing men’s apparel, merchants secured their entire season’s requirement in a single purchase. With the shift to a consumer’s market and the increased interest in fashion, this procedure is undesirable. Now, only 40-60% is purchased at the beginning of the buying season, leaving 60% to 40% open to buy. Allows for style changes and quick changes in demand. Just how much is left open to buy depends upon the particular items. Poor biz policy to be underbought in items where the demand is fairly steady and fashion element less apparent. In such cases, the initial order may reach 85% of the season’s requirement. </t>
  </si>
  <si>
    <t>381: in the retail clothing business, peak seasonal sales occur in such months as November and December, and April and May February and August are characteristically dull months</t>
  </si>
  <si>
    <t>400: the change from selling to wholesalers to selling to retailers is an expensive process. To secure the trade of retailers so as to be able to sell to them direct requires heavy advertising and selling expenses, which only the largest and strongest manufacturers can afford. Even after a trade with retailers is established, the cost of selling to them direct is much greater than the cost of selling to wholesalers or through commission houses or agents. In selling to retailers, more accounts are carried, a larger credit force is necessary, longer credits must be given, and there is greater liability to losses owing to failures of customers.</t>
  </si>
  <si>
    <t xml:space="preserve">460: Fashion Park Associates had its origin in the combination of several producing units with a strong chain store organization. </t>
  </si>
  <si>
    <t>Manufacturer control of retailing is a form of vertical integration (460 of PDF</t>
  </si>
  <si>
    <t>478: a study of the marketing of men’s suits showed that a typical manufacturer pays 28.2% of the retail price of the suit for raw materials. Costs him 23.3% to manufacture the product and 15.1% of the total goes for his selling and other overhead costs. The retailer’s operating expenses take 30.6% of the selling price. The profit of the manufacturer is 1.5% and that of the retailers only 1.3% of the selling price [Can’t tell for sure that there’s a decimal for 1.5 and1.3, but think so]</t>
  </si>
  <si>
    <r>
      <t>487: In the early 19</t>
    </r>
    <r>
      <rPr>
        <vertAlign val="superscript"/>
        <sz val="12"/>
        <color theme="1"/>
        <rFont val="Times New Roman"/>
        <family val="1"/>
      </rPr>
      <t>th</t>
    </r>
    <r>
      <rPr>
        <sz val="12"/>
        <color theme="1"/>
        <rFont val="Times New Roman"/>
        <family val="1"/>
      </rPr>
      <t xml:space="preserve"> century, Hamilton, in his report on manufacturers, observed that about 4/5’s of the garments were still made in the home</t>
    </r>
  </si>
  <si>
    <t xml:space="preserve">A third period of development of the men’s clothing industry in the US is marked by the beginnings of ready-to-wear clothing and dates from 1830-1860. First ready-to-wear clothing garments in the US were made about the year 1830 and were intended for sailors on whaling ships. </t>
  </si>
  <si>
    <t xml:space="preserve">489: The period of 1900-1920saw centralization of the manufacturing process and the erection of many splendid clothing factories. This centralization is referred to as the “inside factory system” as distinguished from the contract system </t>
  </si>
  <si>
    <t>In general terms, it might be said that before 1900 all men’s clothing was made by unnamed manufacturers. Since 1900 however national advertising and clothing that bears the manufacturer’s name have become the rule rather than the exception</t>
  </si>
  <si>
    <t>It is these two factors, perhaps, national advertising and branded merchandise, that have been the aggressive, determining influences toward the development of the large-scale production which the last 2 decades have witnesses</t>
  </si>
  <si>
    <t>490: inside factories are the typical large-scale factories centralizing all the operations in the making of men’s clothing in a single building or group of building. All he productive processes are under one management and no part of the work is “farmed out”. The establishments in CHI, Rochester, Baltimore, Cleveland, and St Louis are in the main ‘inside factories’, little or no work being let out to contractors. In NY, “contract” production predominates</t>
  </si>
  <si>
    <t>Contract shop, or outside shop, is the oldest form of production in the making of clothes since the development of the ready-to-wear industry. Great majority of producers of this time, the so-termed manufacturers of the 70’s do not engage in manufacturing at all. They finance the buying of cloth, have it cut in their own shop to their own standard pattern, and then turn the actual tailoring (491) of the garments to contractors who bid against each other for each contract.</t>
  </si>
  <si>
    <t>491: such “manufacturers” have practically no control over methods of production, quality of workmanship, or working conditions in the contract shops. Garments in early days were so totally lacking in style, quality, and tailoring they became known as ‘hand-me-downs’</t>
  </si>
  <si>
    <t>493 and 494:On volume of biz,: NY, CHI, Philadelphia, Baltimore, Cleveland, Rochester, Cincinnati, STL, and Boston</t>
  </si>
  <si>
    <t>84 of pdf (65)</t>
  </si>
  <si>
    <t>136 of pdf (117)</t>
  </si>
  <si>
    <t>118-119</t>
  </si>
  <si>
    <t>165 of pdf (146)</t>
  </si>
  <si>
    <t>194</t>
  </si>
  <si>
    <t>360</t>
  </si>
  <si>
    <t>379</t>
  </si>
  <si>
    <t>439</t>
  </si>
  <si>
    <t>457</t>
  </si>
  <si>
    <t>466</t>
  </si>
  <si>
    <t>468</t>
  </si>
  <si>
    <t>469</t>
  </si>
  <si>
    <t>470</t>
  </si>
  <si>
    <t>472-473</t>
  </si>
  <si>
    <t>103: The manufacture of men's clothing has not been distributed evenly throughout the country, but has been concentrated in certain large cities, particularly in New York, Chicago, Philadelphia, Baltimore, Rochester, Cincinnati, Boston, and Cleveland, The concentration in cities was greatest about 1909 or 1914, and in recent years has declined slightly. In 1925, almost four-fifths of the entire industry was carried on in twenty cities. New York has always manufactured far more men's clothing than any other city, and for many years Chicago has ranked second.</t>
  </si>
  <si>
    <r>
      <t>[</t>
    </r>
    <r>
      <rPr>
        <b/>
        <sz val="11"/>
        <color theme="1"/>
        <rFont val="Calibri"/>
        <family val="2"/>
        <scheme val="minor"/>
      </rPr>
      <t>this seems in contrast to what you had in the chapter on TC? Double check numbers, understand differences]</t>
    </r>
  </si>
  <si>
    <t>23: The elimination from the census reports of all establishments whose yearly product was valued at less than $5,000 was responsible for the decrease in the number of establishments, limit earlier as $50,000????</t>
  </si>
  <si>
    <t>development of men's clothing industry</t>
  </si>
  <si>
    <t>16: The sewing machine was put on the market in 1849 and within a few years had given a great impetus to the industry.</t>
  </si>
  <si>
    <t>To-do:</t>
  </si>
  <si>
    <t>14: The first real ready-made clothing industry, however, did not develop until bout. Century later, s n outgrowth of the trade in men’s second-hand clothing.</t>
  </si>
  <si>
    <t>The manufacture of ready-made clothing had become a thriving business by 1835, though it was practically limited to men’s and boys’ clothing of the cheaper grades and to shirts.</t>
  </si>
  <si>
    <t>15: The Civil War gave a great impetus to the manufacture of ready-made clothing, with large orders for uniforms given by the government to private industry. It was discovered, moreover, that certain combinations of measurements occurred over and over again, and (16) this essential knowledge of human proportions prepared the industry for large scale production of ready made garments for civilian use.</t>
  </si>
  <si>
    <t>144: The amalgamated, likewise, experienced its share of difficulties in the trying days that followed the war. Only one large Rochester firm, Michaels stern and co., Did not subscribe to the agreement that the employers Association of that city side with the amalgamated early 1919. When the Amalgamated Called a strike against Michael Stern later in the year, the firm sought aid from the united garment workers, besides obtaining injunction and filing against the amalgamated for damages of $100,000 the union was alleged to have caused it.</t>
  </si>
  <si>
    <t>VERIFY</t>
  </si>
  <si>
    <t>they have Saul Emily price competition between contractors by the settlement of P3 directly with the jobber. As a result contractor mortality has been sharply reduce, and both contractors and their workers have been greatly benefited. The workers in the inside shops and likewise employers have gained intern through the illumination of destructive competition</t>
  </si>
  <si>
    <t>334: Census valuation of the product is based on wholesale prices and that the cost to the consumer, on the average, isabout 65% greater</t>
  </si>
  <si>
    <t>9: In men’s clothing, although style has assumed more important with the passing o years, the changes are moderate and subdued, without the [10] same caprice, extravagance, and erratic fits that characterize fashions for women.</t>
  </si>
  <si>
    <t>10: it is this relative stability in men’s fashion that permits a more minute division of labor and the development of moderately large enterprises</t>
  </si>
  <si>
    <t>Even slight changes in fashion from season to season, however, prevent much manufacturing in advance of sales, and thereby cause the irregularity of employment that has constituted one of the greatest problems for workers in the needle trades</t>
  </si>
  <si>
    <t>271: After 1923 the ordinary piece-work system steadily replaced production standards in the market, as old firms that had participated in the effort went out of business. The economic collapse that began in 1929, with its intensification of competition in the industry, hastened the end of the experiment. The employers felt certain that they could obtain lower labor costs by bargaining over piece rates than by retaining production standards, under which the union could keep costs high by refusing to except a cut in the basic rates. More and more firms shifted to the piece rate system, and with the dissolution of the manufacturers association late in 1931 and the conflict with the union over a wage reduction, production standards were at an end.</t>
  </si>
  <si>
    <t>25: Not until the sewing machine was invented in 1846 did it become possible to produce ready-made clothing on a large scale. In 1939 the value of products turned out by the approximately 12,270 establishments with about 441,400 workers was estimated to have been slightly more than $2 billion, the value added by manufacture almost $862 million.</t>
  </si>
  <si>
    <t>161: Since the men's clothing branch of the industry is less exposed to fluctuations of style than the woman's branch and since its prducts are more standardized than women's garments, it uses more machines in porpotion to value of product than the women's clothing industry</t>
  </si>
  <si>
    <t>Labor may be the largestcost item after materials. The proportion of wagestothe total product has been estimated to be 23.5% in the men’s clothing industry but only about 16% in manufacturing industries as a whole. Almost a third of the total sales revenue may be spent for direct labor (Men’s clothing, collective bargaining)</t>
  </si>
  <si>
    <t>43: The Amalgamted Clothing Workers of America claims about 95% of the workers in the men’s clothing industry proper</t>
  </si>
  <si>
    <t>60: With numerous producers, low concentration, different prices frequently charged by different firms, little rigidity of price over long periods of time, high utilization of productive capacity during each phase of the trade cycle, moderate profits per unit of production, and a high rate of business mortality, clothing clearly was and still is a highly competitive industry.</t>
  </si>
  <si>
    <t>Contractors bid against one another in offering their services to manufacturers and jobbers. Manufacturers and jobbers bid against one another in offering their products to distributors. Competition in the latter field is intensified by the character of the product and the organization of the market….. The number of sellers is large and the total sold by each of them is small, the number of buyers relatively small and the total bought by each of them large.</t>
  </si>
  <si>
    <t>67: Shipping cost is only a small part of the retail price and is with few exceptions absorbed by the retailer in his gross margin.</t>
  </si>
  <si>
    <t>Many products of the clothing industry have been nationally advertised for a long time, and producers have always competed on a national basis.</t>
  </si>
  <si>
    <t>Some concerns, especially those producing men’s clothing, decentralized manufacturing operations and  had them carried through in small plants located in small towns.</t>
  </si>
  <si>
    <t>114: competition among employers should be inn efficiency of management, salesmanship, and service to consumers, not in getting cheap labor.</t>
  </si>
  <si>
    <t>Unions say the ratio of labor cost to total cost may have gone up, but production costs have decreased to some extent because, owing to higher efficiency, more garments are produced now with the same number of workers and the same capital equipment</t>
  </si>
  <si>
    <t>166: Regulating mechanization has been facilitated by the fact that there are relatively few machines which can be used in manufacturing garments and that they are not fully automatic</t>
  </si>
  <si>
    <t>132: Highly seasonal: EW Morehouse “Development of Industrial Law in the Rochester Clothing Market” Quarterly Journal of Economics, February 1923 p 288</t>
  </si>
  <si>
    <t>146: There is a tendency among manufacturers to specialize in single price ranges and to establish a reputation for a certain price line. Some firms produce several types of garments. But wage and other managerial problems may make the production of more than one line difficult.</t>
  </si>
  <si>
    <t>160: As compared with other industries, mechanization has not advanced very far in clothing production</t>
  </si>
  <si>
    <t>161: Since the men’s clothing branch of the industry is less exposed to fluctuations of style than the women’s branch and since its products are more standardized than women’s garments, it uses more machines in proportion to value of product than the women’s clothing industry</t>
  </si>
  <si>
    <t>The capitalization per worker in the dress industry for example was only $400 in 1940 compared to $2,450 to $6,000 in most manufacturing industries</t>
  </si>
  <si>
    <t>251: But the unions as well as numerous manufacturers have believed that elimination of sweat-shop conditions serves the public interest, even when it results in slightly higher prices. IT is not possible to trace the manner and extent to which union-management co-operation has influenced selling prices. In view of the competitive situation and the desire on both sides to stimulate demand for clothing it is, however, unlikely that it has resulted in prices out of line with the general price level.</t>
  </si>
  <si>
    <t>243: 90-95% of manufacturers’ workers are organized principally in one union in each of the two main branches of the clothing industry</t>
  </si>
  <si>
    <t>UoR</t>
  </si>
  <si>
    <t>AR</t>
  </si>
  <si>
    <t xml:space="preserve">: It is a well known fact that expenditures for clothing increase considerably with rising income, often by a higher percentage than other disbursements for current consumption. On the other hand, with decreasing incomes consumers often begin to curtail expenses by buying less clothing. Moreover, some types of clothing are luxury items which people may well forego. Accordingly, the clothing industry is more vulnerable to economic ups and downs than other industries. Reacts strongly even to a slight deterioration in general economic conditions. </t>
  </si>
  <si>
    <t>file</t>
  </si>
  <si>
    <t>pg of pdf</t>
  </si>
  <si>
    <t>note</t>
  </si>
  <si>
    <t>203_3_6-1</t>
  </si>
  <si>
    <t>2 individuals one trustee selling. 90K shares</t>
  </si>
  <si>
    <t>financials</t>
  </si>
  <si>
    <t>financials. From 35-45</t>
  </si>
  <si>
    <t>Suits, overcoats, and topcoats, which comprise the bulk of the company's business, retail generally at prices ranging approx from $45-65. stresses young men's styling</t>
  </si>
  <si>
    <t>sells its product to &gt;1000 retail merchants</t>
  </si>
  <si>
    <t xml:space="preserve">principal raw material used  by the Company are domestic woolen and worsted  fabrics and trimmings. </t>
  </si>
  <si>
    <t>while fabrics are purchased from numerous mills, the company purchases from a single supplier a particular type of all wool worsted fabric presently used by the Company for suits and slacks. Company introduced this fabric in its clothing in 1945</t>
  </si>
  <si>
    <t>been based upon an estimate that approximately 1/3 of its total production during the current fiscal year will be clothing made of this fabric. Supplier sells this fabric only to the Company</t>
  </si>
  <si>
    <t>subsidiary operates 7 stores in Cali</t>
  </si>
  <si>
    <t>during the war, company subject to regulations and restrictions imposed by governmental agencies. War production board regulations restricted the manufacture of clothing wheeby two-trouser suits, vests with double-breasted suits and other features requiring extra materials were eliminated, and some of these restrictions still remain in force</t>
  </si>
  <si>
    <t>17-18</t>
  </si>
  <si>
    <t>offerred 1 and 1/4 shares of its common stock for each outstanding share of Kennedy's (which has 50K shares of preferred stock and 118,425 of common)</t>
  </si>
  <si>
    <t>2/23/1966 - report on BVD tender</t>
  </si>
  <si>
    <t>203_3_6-2</t>
  </si>
  <si>
    <t>ownership</t>
  </si>
  <si>
    <t xml:space="preserve">Amalgamated </t>
  </si>
  <si>
    <t>203_3_7</t>
  </si>
  <si>
    <t>none</t>
  </si>
  <si>
    <t>203_4_1</t>
  </si>
  <si>
    <t>D75_1_5</t>
  </si>
  <si>
    <t>Mcfarlin and Mullen &amp; Bluett acquisition hurt  TC</t>
  </si>
  <si>
    <t>Messrs. Cartwright, Duane, Mergott and Sullivan are each members of investment securities firms whose customers and associates own approximately 55, 000 of the 140, 000 presently outstanding shares of the company.</t>
  </si>
  <si>
    <t>D75_1_6</t>
  </si>
  <si>
    <t>D75_1_7</t>
  </si>
  <si>
    <t>retail outlet business is something that has  got to come. Bought good stores, think it is in the right direction. Limitrs out distribution today with other people buying these stores, and tthey are buying right and left. Cuts us out. There are 3 good stores, 2 owned  by competitors, got one store to go to. not only that, but savings in that are tremendous</t>
  </si>
  <si>
    <t>clients of Cartwright own 40% of stock</t>
  </si>
  <si>
    <t>Kaye owned 300 shares of MCFarlin stores (12K outsstanding)</t>
  </si>
  <si>
    <t>D75_1_8</t>
  </si>
  <si>
    <t>D75_1_9-01</t>
  </si>
  <si>
    <t>D75_1_9-02</t>
  </si>
  <si>
    <t>D75_2_9</t>
  </si>
  <si>
    <t>Most clothing firms used contract plants to manufacture the garments and during the early 1900's Fred Keller was the largest Coat manufacture, Conrad Thomson a vest Manufacture, and Sol Heumann not only sold pants sbut was Michaels-Stern source of manufacture</t>
  </si>
  <si>
    <t>Sol Heumann died September 10, 1949</t>
  </si>
  <si>
    <t xml:space="preserve">Bernard Heumann voted with the board, Brokers kept on the Board. </t>
  </si>
  <si>
    <t>During 1965, Leon Sullivan a directoor asked if he would sell the Timely stock he held at $20 per share. Pledged to BVD, at March 8 1966 Timely was a part of the BVD firm</t>
  </si>
  <si>
    <t>BVD wanted to move them to Richmond to improve Timely's price point. Rochester clothing manufactures were losing tere position in the clothing market, the union vetoed the move</t>
  </si>
  <si>
    <t>BVD called special meeting of Timely stockholders June 7 1968 and merged it with The Alligator Company, a subsidiary of BVD. This was the final chapter of Timely.</t>
  </si>
  <si>
    <t>Timely distribution very strong west of Rockies during the 1930s sales and this market was directed by Monroe Heumann and he opened Sales and Stockroom's in LA, SF, Seattle. During this period 40% of Timely sales came from this area.</t>
  </si>
  <si>
    <t xml:space="preserve">During 1941, Timely purchases from the estate of Monroe Heumann a chain of Men's stores located in southern California. Start of Timely entering the retailing business. </t>
  </si>
  <si>
    <t>D75_4_3</t>
  </si>
  <si>
    <t>D75_4_4</t>
  </si>
  <si>
    <t xml:space="preserve">Price of wool began to increase sharply and there’s every indication that they will rise higher during 1951. Customers placing larger orders. Labor increased 12.5 cents an hour. Overhead costs rising in common with the national economic spiral. Expected that new tax legislation will contribute further to higher costs. </t>
  </si>
  <si>
    <t>Page number</t>
  </si>
  <si>
    <t xml:space="preserve">Pronounced and disturbing price fluctuations of wool which is the chief component of our manufacturer products. Early in the year an unwarranted wave of consumer scare buying occurred, which in turn caused our customers to buy somewhat beyond needed requirements. Then a sudden general decline in soft goods volume, with the result that during the latter half of the year retailers became burdened with heavy inventories in relation to sales. Sales still up 19%. </t>
  </si>
  <si>
    <t>In December 1950, the price of raw wool of the quality used in our clothing had increased 65% over the price at the beginning of the year and the price had further increased so that at the present time it is 34% higher than in December, approx 125% higher than at the beginning of 1950</t>
  </si>
  <si>
    <t>The conditions under which the company is presently operating and will continue to operate for some time are most difficult. Price of raw wool which determines the cost of our principal fabrics is priced in foreign markets and our government has up to now no control over this raw material, with the result that the costs of our raw materials have been increasing substantially from season to season, thus causng relative increases in our selling prices. Prices for Fall of 1951 will be higher than spring in 51 and it would appear that the Spring of 1952</t>
  </si>
  <si>
    <t>4: will be again substantially higher than the Fall of ’51. Management concerned constantly increasing prices of our merchandise will adversely affect the amount of our sales</t>
  </si>
  <si>
    <t>wholesale volume was affected by cautious attitude on the part of retailers. Invasion of Korea produced a marked change in buying psychology both at wholesale and at retail. Improvement during second six months was sufficient to make the year as a whole slightly better than the previous year</t>
  </si>
  <si>
    <t>????</t>
  </si>
  <si>
    <t>Larger inventories and higher unit costs have increased capital requirements</t>
  </si>
  <si>
    <t>Now entering a period in which the controls and limitations necessary to a defense economy will have an important effect on volume and profits</t>
  </si>
  <si>
    <t>4: abnormal conditions. Rising prices, fear of shortages developed after the invasion of Korea. During Month of March, raw wool prices reached the highest point in history. Subsequent months witnessed a definite change in buying psychology and a sharp adjustment in the level of prices. First six months earnings satisfactory, second half produced slender margin of profit</t>
  </si>
  <si>
    <t>Euppenheimer</t>
  </si>
  <si>
    <t>Alfred Decker and Cohn</t>
  </si>
  <si>
    <t>Rickman Bros.</t>
  </si>
  <si>
    <t>Crawford Clothes</t>
  </si>
  <si>
    <t>Stein Bros</t>
  </si>
  <si>
    <t>Howard Clothes</t>
  </si>
  <si>
    <t>Brooks Clothing</t>
  </si>
  <si>
    <t>Roxy Clothes</t>
  </si>
  <si>
    <t>Pintex Clothes</t>
  </si>
  <si>
    <t>Jos Hilton</t>
  </si>
  <si>
    <t>Poreman and Clark</t>
  </si>
  <si>
    <t>American Woolen Company</t>
  </si>
  <si>
    <t>Kuppenheimer</t>
  </si>
  <si>
    <t>Enterprise Value/</t>
  </si>
  <si>
    <t>need answers to timely clothes end</t>
  </si>
  <si>
    <t>need to rewatch documentary. Re-read Mckleever</t>
  </si>
  <si>
    <t>1950 decline in volume. Raw material shortages, possibility of a change form  abuyers' to sellers market. Our inventories together with advantageous commitments should satisfactorily sustain us in the greater volume anticipated for the full year of 1951</t>
  </si>
  <si>
    <t>decline in volume etc</t>
  </si>
  <si>
    <t>BV per share was $24.69</t>
  </si>
  <si>
    <t>check against what you have</t>
  </si>
  <si>
    <t xml:space="preserve">Prior to the establishment of price controls many of our raw materials and products had increased in price. Increased prices are particularly true in respect of wool which is not now subject to price control. </t>
  </si>
  <si>
    <t>Evidence of an accelerated consumer demand for wearing apparel became apparent in mid-year 1950. continued into the first  quarter of 1951. Because of market conditions resulting in increase prices as well as the possibilities of raw material shortage, your Company , during 1950, made substantial purchases of merchandise and raw material in order to insure its ability to sufficiently fulfill anticipated consumder demand. Year end inventory approximately $5.5 million more than at end of preceding year.</t>
  </si>
  <si>
    <t xml:space="preserve">Consumer demand declined late in the 1st quarter  of 1951 and continued throughout the industry to a much greater degree than experienced by your Company on a store for store basis. </t>
  </si>
  <si>
    <t>Consistent withh market conditions and company policy of offering outstanding values in quality merchanidse, retail prices were maintained during the year below mandatory price ceilings</t>
  </si>
  <si>
    <t xml:space="preserve">During the year, consumer demand was, in the main, for lower priced goods. This condition forced suppliers as well as distributors to sell high cost 1951 inventory at later than normal markup in order to attract additional customers under those conditions. </t>
  </si>
  <si>
    <t>Change fiscal year to July 31</t>
  </si>
  <si>
    <t>done with:</t>
  </si>
  <si>
    <t xml:space="preserve">At the present time we are operating under the General Ceiling Price Regulation of the Economic Stabilization Agency dated January 26, 1951. it is expected a price regulation specifically covering the men's clothing industry will be issued shortly and this order will be a practical one enabling us to operate with a minimum of difficulty. </t>
  </si>
  <si>
    <t>3 and 4</t>
  </si>
  <si>
    <t>Weber and Heilbroner wholly owned subsidiary (retail subsidiairy). Greenfield's partially owned, 60%</t>
  </si>
  <si>
    <t>The parent company and each of its retail subsidiaries have different fiscal year ends</t>
  </si>
  <si>
    <t>Believe 1951 will show increased volume and increased profit but proposed increased taxes will substantially reduce profit available for dividends</t>
  </si>
  <si>
    <t>Still have to read 1951, 1952, 1954 and 1953</t>
  </si>
  <si>
    <t>check for 1953 Fashion Park Annual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</si>
</sst>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7" formatCode="&quot;$&quot;#,##0.00_);\(&quot;$&quot;#,##0.00\)"/>
    <numFmt numFmtId="43" formatCode="_(* #,##0.00_);_(* \(#,##0.00\);_(* &quot;-&quot;??_);_(@_)"/>
    <numFmt numFmtId="164" formatCode="_(* #,##0_);_(* \(#,##0\);_(* &quot;-&quot;??_);_(@_)"/>
    <numFmt numFmtId="165" formatCode="0.0%"/>
    <numFmt numFmtId="166" formatCode="_(* #,##0.000_);_(* \(#,##0.000\);_(* &quot;-&quot;??_);_(@_)"/>
    <numFmt numFmtId="167" formatCode="_(* #,##0.00000_);_(* \(#,##0.00000\);_(* &quot;-&quot;??_);_(@_)"/>
    <numFmt numFmtId="168" formatCode="0.00\x"/>
  </numFmts>
  <fonts count="23">
    <font>
      <sz val="11"/>
      <color theme="1"/>
      <name val="Calibri"/>
      <family val="2"/>
      <scheme val="minor"/>
    </font>
    <font>
      <sz val="11"/>
      <color theme="1"/>
      <name val="Calibri"/>
      <family val="2"/>
      <scheme val="minor"/>
    </font>
    <font>
      <sz val="11"/>
      <color theme="1"/>
      <name val="Garamond"/>
      <family val="1"/>
    </font>
    <font>
      <b/>
      <sz val="11"/>
      <color theme="1"/>
      <name val="Garamond"/>
      <family val="1"/>
    </font>
    <font>
      <u/>
      <sz val="11"/>
      <color theme="1"/>
      <name val="Garamond"/>
      <family val="1"/>
    </font>
    <font>
      <sz val="9"/>
      <color indexed="81"/>
      <name val="Tahoma"/>
      <family val="2"/>
    </font>
    <font>
      <b/>
      <sz val="9"/>
      <color indexed="81"/>
      <name val="Tahoma"/>
      <family val="2"/>
    </font>
    <font>
      <b/>
      <u/>
      <sz val="11"/>
      <color theme="1"/>
      <name val="Garamond"/>
      <family val="1"/>
    </font>
    <font>
      <u/>
      <sz val="11"/>
      <color theme="10"/>
      <name val="Calibri"/>
      <family val="2"/>
      <scheme val="minor"/>
    </font>
    <font>
      <b/>
      <sz val="11"/>
      <color theme="0"/>
      <name val="Garamond"/>
      <family val="1"/>
    </font>
    <font>
      <b/>
      <sz val="11"/>
      <color theme="1"/>
      <name val="Calibri"/>
      <family val="2"/>
      <scheme val="minor"/>
    </font>
    <font>
      <b/>
      <u/>
      <sz val="11"/>
      <color theme="1"/>
      <name val="Calibri"/>
      <family val="2"/>
      <scheme val="minor"/>
    </font>
    <font>
      <sz val="9"/>
      <color rgb="FF3B3E4D"/>
      <name val="AkkuratPro"/>
    </font>
    <font>
      <u val="singleAccounting"/>
      <sz val="11"/>
      <color theme="1"/>
      <name val="Garamond"/>
      <family val="1"/>
    </font>
    <font>
      <u/>
      <sz val="9"/>
      <color rgb="FF3B3E4D"/>
      <name val="AkkuratPro"/>
    </font>
    <font>
      <sz val="10"/>
      <color rgb="FF333333"/>
      <name val="Arial"/>
      <family val="2"/>
    </font>
    <font>
      <b/>
      <i/>
      <sz val="11"/>
      <color theme="1"/>
      <name val="Garamond"/>
      <family val="1"/>
    </font>
    <font>
      <i/>
      <sz val="11"/>
      <color theme="1"/>
      <name val="Garamond"/>
      <family val="1"/>
    </font>
    <font>
      <i/>
      <sz val="11"/>
      <color theme="1"/>
      <name val="Calibri"/>
      <family val="2"/>
      <scheme val="minor"/>
    </font>
    <font>
      <sz val="12"/>
      <color theme="1"/>
      <name val="Times New Roman"/>
      <family val="1"/>
    </font>
    <font>
      <vertAlign val="superscript"/>
      <sz val="12"/>
      <color theme="1"/>
      <name val="Times New Roman"/>
      <family val="1"/>
    </font>
    <font>
      <sz val="12"/>
      <color theme="1"/>
      <name val="CourierNewPS-BoldMT"/>
    </font>
    <font>
      <b/>
      <sz val="11"/>
      <name val="Garamond"/>
      <family val="1"/>
    </font>
  </fonts>
  <fills count="7">
    <fill>
      <patternFill patternType="none"/>
    </fill>
    <fill>
      <patternFill patternType="gray125"/>
    </fill>
    <fill>
      <patternFill patternType="solid">
        <fgColor theme="8" tint="0.79998168889431442"/>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s>
  <borders count="37">
    <border>
      <left/>
      <right/>
      <top/>
      <bottom/>
      <diagonal/>
    </border>
    <border>
      <left/>
      <right/>
      <top/>
      <bottom style="thin">
        <color indexed="64"/>
      </bottom>
      <diagonal/>
    </border>
    <border>
      <left/>
      <right/>
      <top style="thin">
        <color indexed="64"/>
      </top>
      <bottom style="double">
        <color indexed="64"/>
      </bottom>
      <diagonal/>
    </border>
    <border>
      <left/>
      <right/>
      <top/>
      <bottom style="double">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dashed">
        <color indexed="64"/>
      </bottom>
      <diagonal/>
    </border>
    <border>
      <left/>
      <right style="thin">
        <color indexed="64"/>
      </right>
      <top/>
      <bottom style="dashed">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cellStyleXfs>
  <cellXfs count="260">
    <xf numFmtId="0" fontId="0" fillId="0" borderId="0" xfId="0"/>
    <xf numFmtId="164" fontId="0" fillId="0" borderId="0" xfId="1" applyNumberFormat="1" applyFont="1"/>
    <xf numFmtId="0" fontId="2" fillId="0" borderId="0" xfId="0" applyFont="1"/>
    <xf numFmtId="164" fontId="2" fillId="0" borderId="0" xfId="1" applyNumberFormat="1" applyFont="1"/>
    <xf numFmtId="164" fontId="2" fillId="0" borderId="0" xfId="0" applyNumberFormat="1" applyFont="1"/>
    <xf numFmtId="0" fontId="2" fillId="0" borderId="1" xfId="0" applyFont="1" applyBorder="1"/>
    <xf numFmtId="164" fontId="2" fillId="0" borderId="1" xfId="1" applyNumberFormat="1" applyFont="1" applyBorder="1"/>
    <xf numFmtId="43" fontId="2" fillId="0" borderId="0" xfId="1" applyNumberFormat="1" applyFont="1"/>
    <xf numFmtId="43" fontId="2" fillId="0" borderId="0" xfId="0" applyNumberFormat="1" applyFont="1"/>
    <xf numFmtId="43" fontId="0" fillId="0" borderId="0" xfId="1" applyFont="1"/>
    <xf numFmtId="43" fontId="0" fillId="0" borderId="0" xfId="1" applyNumberFormat="1" applyFont="1"/>
    <xf numFmtId="43" fontId="0" fillId="0" borderId="0" xfId="0" applyNumberFormat="1"/>
    <xf numFmtId="3" fontId="0" fillId="0" borderId="0" xfId="0" applyNumberFormat="1"/>
    <xf numFmtId="3" fontId="0" fillId="0" borderId="1" xfId="0" applyNumberFormat="1" applyBorder="1"/>
    <xf numFmtId="3" fontId="0" fillId="0" borderId="2" xfId="0" applyNumberFormat="1" applyBorder="1"/>
    <xf numFmtId="164" fontId="0" fillId="0" borderId="3" xfId="1" applyNumberFormat="1" applyFont="1" applyBorder="1"/>
    <xf numFmtId="3" fontId="0" fillId="0" borderId="0" xfId="0" applyNumberFormat="1" applyFill="1" applyBorder="1"/>
    <xf numFmtId="14" fontId="0" fillId="0" borderId="0" xfId="0" applyNumberFormat="1"/>
    <xf numFmtId="9" fontId="2" fillId="0" borderId="0" xfId="2" applyFont="1"/>
    <xf numFmtId="0" fontId="2" fillId="0" borderId="4" xfId="0" applyFont="1" applyBorder="1"/>
    <xf numFmtId="0" fontId="2" fillId="0" borderId="6" xfId="0" applyFont="1" applyBorder="1"/>
    <xf numFmtId="164" fontId="2" fillId="0" borderId="7" xfId="1" applyNumberFormat="1" applyFont="1" applyBorder="1"/>
    <xf numFmtId="0" fontId="2" fillId="0" borderId="8" xfId="0" applyFont="1" applyBorder="1"/>
    <xf numFmtId="164" fontId="2" fillId="0" borderId="9" xfId="1" applyNumberFormat="1" applyFont="1" applyBorder="1"/>
    <xf numFmtId="7" fontId="2" fillId="0" borderId="5" xfId="1" applyNumberFormat="1" applyFont="1" applyBorder="1"/>
    <xf numFmtId="0" fontId="2" fillId="0" borderId="10" xfId="0" applyFont="1" applyBorder="1"/>
    <xf numFmtId="164" fontId="2" fillId="0" borderId="11" xfId="1" applyNumberFormat="1" applyFont="1" applyBorder="1"/>
    <xf numFmtId="43" fontId="2" fillId="0" borderId="0" xfId="1" applyFont="1"/>
    <xf numFmtId="43" fontId="2" fillId="0" borderId="1" xfId="1" applyFont="1" applyBorder="1"/>
    <xf numFmtId="0" fontId="2" fillId="0" borderId="0" xfId="0" applyFont="1" applyBorder="1"/>
    <xf numFmtId="43" fontId="2" fillId="0" borderId="0" xfId="1" applyFont="1" applyBorder="1"/>
    <xf numFmtId="0" fontId="2" fillId="0" borderId="13" xfId="0" applyFont="1" applyBorder="1"/>
    <xf numFmtId="43" fontId="2" fillId="0" borderId="13" xfId="1" applyFont="1" applyBorder="1"/>
    <xf numFmtId="5" fontId="3" fillId="2" borderId="8" xfId="0" applyNumberFormat="1" applyFont="1" applyFill="1" applyBorder="1"/>
    <xf numFmtId="5" fontId="3" fillId="2" borderId="9" xfId="1" applyNumberFormat="1" applyFont="1" applyFill="1" applyBorder="1"/>
    <xf numFmtId="0" fontId="0" fillId="0" borderId="0" xfId="1" applyNumberFormat="1" applyFont="1"/>
    <xf numFmtId="165" fontId="0" fillId="0" borderId="0" xfId="2" applyNumberFormat="1" applyFont="1"/>
    <xf numFmtId="166" fontId="0" fillId="0" borderId="0" xfId="1" applyNumberFormat="1" applyFont="1"/>
    <xf numFmtId="164" fontId="0" fillId="0" borderId="0" xfId="0" applyNumberFormat="1"/>
    <xf numFmtId="167" fontId="0" fillId="0" borderId="0" xfId="0" applyNumberFormat="1"/>
    <xf numFmtId="5" fontId="0" fillId="0" borderId="0" xfId="1" applyNumberFormat="1" applyFont="1"/>
    <xf numFmtId="164" fontId="0" fillId="0" borderId="1" xfId="1" applyNumberFormat="1" applyFont="1" applyBorder="1" applyAlignment="1">
      <alignment horizontal="center"/>
    </xf>
    <xf numFmtId="0" fontId="0" fillId="0" borderId="1" xfId="0" applyBorder="1" applyAlignment="1">
      <alignment horizontal="center"/>
    </xf>
    <xf numFmtId="0" fontId="0" fillId="0" borderId="4" xfId="0" applyBorder="1"/>
    <xf numFmtId="164" fontId="0" fillId="0" borderId="13" xfId="1" applyNumberFormat="1" applyFont="1" applyBorder="1" applyAlignment="1">
      <alignment horizontal="center"/>
    </xf>
    <xf numFmtId="0" fontId="0" fillId="0" borderId="13" xfId="0" applyBorder="1"/>
    <xf numFmtId="0" fontId="0" fillId="0" borderId="5" xfId="0" applyBorder="1" applyAlignment="1">
      <alignment horizontal="center"/>
    </xf>
    <xf numFmtId="0" fontId="0" fillId="0" borderId="8" xfId="0" applyBorder="1"/>
    <xf numFmtId="0" fontId="0" fillId="0" borderId="9" xfId="0" applyBorder="1" applyAlignment="1">
      <alignment horizontal="center"/>
    </xf>
    <xf numFmtId="0" fontId="0" fillId="0" borderId="6" xfId="0" applyBorder="1"/>
    <xf numFmtId="164" fontId="0" fillId="0" borderId="0" xfId="1" applyNumberFormat="1" applyFont="1" applyBorder="1"/>
    <xf numFmtId="5" fontId="0" fillId="0" borderId="0" xfId="1" applyNumberFormat="1" applyFont="1" applyBorder="1"/>
    <xf numFmtId="5" fontId="0" fillId="0" borderId="7" xfId="1" applyNumberFormat="1" applyFont="1" applyBorder="1"/>
    <xf numFmtId="164" fontId="0" fillId="0" borderId="7" xfId="1" applyNumberFormat="1" applyFont="1" applyBorder="1"/>
    <xf numFmtId="164" fontId="0" fillId="0" borderId="1" xfId="1" applyNumberFormat="1" applyFont="1" applyBorder="1"/>
    <xf numFmtId="164" fontId="0" fillId="0" borderId="9" xfId="1" applyNumberFormat="1" applyFont="1" applyBorder="1"/>
    <xf numFmtId="0" fontId="0" fillId="0" borderId="8" xfId="0" applyBorder="1" applyAlignment="1">
      <alignment horizontal="right"/>
    </xf>
    <xf numFmtId="165" fontId="2" fillId="0" borderId="0" xfId="2" applyNumberFormat="1" applyFont="1"/>
    <xf numFmtId="164" fontId="2" fillId="0" borderId="0" xfId="1" applyNumberFormat="1" applyFont="1" applyAlignment="1">
      <alignment horizontal="centerContinuous"/>
    </xf>
    <xf numFmtId="164" fontId="2" fillId="0" borderId="6" xfId="1" applyNumberFormat="1" applyFont="1" applyBorder="1"/>
    <xf numFmtId="165" fontId="2" fillId="0" borderId="6" xfId="2" applyNumberFormat="1" applyFont="1" applyBorder="1"/>
    <xf numFmtId="5" fontId="2" fillId="0" borderId="6" xfId="1" applyNumberFormat="1" applyFont="1" applyBorder="1"/>
    <xf numFmtId="7" fontId="2" fillId="0" borderId="6" xfId="0" applyNumberFormat="1" applyFont="1" applyBorder="1"/>
    <xf numFmtId="164" fontId="2" fillId="0" borderId="0" xfId="0" applyNumberFormat="1" applyFont="1" applyBorder="1"/>
    <xf numFmtId="164" fontId="2" fillId="0" borderId="4" xfId="1" applyNumberFormat="1" applyFont="1" applyBorder="1" applyAlignment="1">
      <alignment horizontal="centerContinuous"/>
    </xf>
    <xf numFmtId="164" fontId="2" fillId="0" borderId="5" xfId="1" applyNumberFormat="1" applyFont="1" applyBorder="1" applyAlignment="1">
      <alignment horizontal="centerContinuous"/>
    </xf>
    <xf numFmtId="0" fontId="8" fillId="0" borderId="0" xfId="3"/>
    <xf numFmtId="164" fontId="2" fillId="0" borderId="0" xfId="1" applyNumberFormat="1" applyFont="1" applyBorder="1"/>
    <xf numFmtId="165" fontId="2" fillId="0" borderId="0" xfId="2" applyNumberFormat="1" applyFont="1" applyBorder="1"/>
    <xf numFmtId="0" fontId="3" fillId="4" borderId="14" xfId="0" applyFont="1" applyFill="1" applyBorder="1"/>
    <xf numFmtId="0" fontId="3" fillId="4" borderId="14" xfId="0" applyFont="1" applyFill="1" applyBorder="1" applyAlignment="1">
      <alignment horizontal="center"/>
    </xf>
    <xf numFmtId="0" fontId="3" fillId="4" borderId="14" xfId="0" applyFont="1" applyFill="1" applyBorder="1" applyAlignment="1">
      <alignment horizontal="center" wrapText="1"/>
    </xf>
    <xf numFmtId="0" fontId="3" fillId="4" borderId="16" xfId="0" applyFont="1" applyFill="1" applyBorder="1" applyAlignment="1">
      <alignment horizontal="center"/>
    </xf>
    <xf numFmtId="0" fontId="3" fillId="2" borderId="14" xfId="0" applyFont="1" applyFill="1" applyBorder="1" applyAlignment="1">
      <alignment horizontal="centerContinuous"/>
    </xf>
    <xf numFmtId="164" fontId="3" fillId="2" borderId="12" xfId="1" applyNumberFormat="1" applyFont="1" applyFill="1" applyBorder="1" applyAlignment="1">
      <alignment horizontal="centerContinuous"/>
    </xf>
    <xf numFmtId="165" fontId="3" fillId="2" borderId="12" xfId="2" applyNumberFormat="1" applyFont="1" applyFill="1" applyBorder="1" applyAlignment="1">
      <alignment horizontal="centerContinuous"/>
    </xf>
    <xf numFmtId="0" fontId="3" fillId="2" borderId="12" xfId="0" applyFont="1" applyFill="1" applyBorder="1" applyAlignment="1">
      <alignment horizontal="centerContinuous"/>
    </xf>
    <xf numFmtId="165" fontId="2" fillId="0" borderId="8" xfId="2" applyNumberFormat="1" applyFont="1" applyBorder="1"/>
    <xf numFmtId="164" fontId="2" fillId="2" borderId="13" xfId="0" applyNumberFormat="1" applyFont="1" applyFill="1" applyBorder="1" applyAlignment="1">
      <alignment horizontal="centerContinuous"/>
    </xf>
    <xf numFmtId="164" fontId="2" fillId="2" borderId="5" xfId="0" applyNumberFormat="1" applyFont="1" applyFill="1" applyBorder="1" applyAlignment="1">
      <alignment horizontal="centerContinuous"/>
    </xf>
    <xf numFmtId="5" fontId="2" fillId="0" borderId="15" xfId="0" applyNumberFormat="1" applyFont="1" applyBorder="1" applyAlignment="1"/>
    <xf numFmtId="5" fontId="2" fillId="0" borderId="4" xfId="0" applyNumberFormat="1" applyFont="1" applyBorder="1" applyAlignment="1"/>
    <xf numFmtId="5" fontId="2" fillId="0" borderId="6" xfId="1" applyNumberFormat="1" applyFont="1" applyBorder="1" applyAlignment="1"/>
    <xf numFmtId="5" fontId="2" fillId="0" borderId="8" xfId="1" applyNumberFormat="1" applyFont="1" applyBorder="1" applyAlignment="1"/>
    <xf numFmtId="5" fontId="2" fillId="0" borderId="6" xfId="0" applyNumberFormat="1" applyFont="1" applyBorder="1" applyAlignment="1"/>
    <xf numFmtId="5" fontId="2" fillId="0" borderId="17" xfId="0" applyNumberFormat="1" applyFont="1" applyBorder="1" applyAlignment="1"/>
    <xf numFmtId="5" fontId="2" fillId="0" borderId="8" xfId="0" applyNumberFormat="1" applyFont="1" applyBorder="1" applyAlignment="1"/>
    <xf numFmtId="5" fontId="2" fillId="0" borderId="18" xfId="0" applyNumberFormat="1" applyFont="1" applyBorder="1" applyAlignment="1"/>
    <xf numFmtId="164" fontId="7" fillId="4" borderId="15" xfId="1" applyNumberFormat="1" applyFont="1" applyFill="1" applyBorder="1" applyAlignment="1">
      <alignment horizontal="center"/>
    </xf>
    <xf numFmtId="164" fontId="7" fillId="4" borderId="4" xfId="1" applyNumberFormat="1" applyFont="1" applyFill="1" applyBorder="1" applyAlignment="1">
      <alignment horizontal="center"/>
    </xf>
    <xf numFmtId="165" fontId="7" fillId="4" borderId="4" xfId="2" applyNumberFormat="1" applyFont="1" applyFill="1" applyBorder="1" applyAlignment="1">
      <alignment horizontal="center"/>
    </xf>
    <xf numFmtId="0" fontId="7" fillId="4" borderId="4" xfId="0" applyFont="1" applyFill="1" applyBorder="1" applyAlignment="1">
      <alignment horizontal="center"/>
    </xf>
    <xf numFmtId="0" fontId="7" fillId="4" borderId="15" xfId="0" applyFont="1" applyFill="1" applyBorder="1" applyAlignment="1">
      <alignment horizontal="center"/>
    </xf>
    <xf numFmtId="0" fontId="7" fillId="4" borderId="8" xfId="0" applyFont="1" applyFill="1" applyBorder="1"/>
    <xf numFmtId="164" fontId="7" fillId="4" borderId="8" xfId="1" applyNumberFormat="1" applyFont="1" applyFill="1" applyBorder="1" applyAlignment="1">
      <alignment horizontal="center"/>
    </xf>
    <xf numFmtId="165" fontId="7" fillId="4" borderId="8" xfId="2" applyNumberFormat="1" applyFont="1" applyFill="1" applyBorder="1" applyAlignment="1">
      <alignment horizontal="center"/>
    </xf>
    <xf numFmtId="0" fontId="7" fillId="4" borderId="8" xfId="0" applyFont="1" applyFill="1" applyBorder="1" applyAlignment="1">
      <alignment horizontal="center"/>
    </xf>
    <xf numFmtId="0" fontId="7" fillId="4" borderId="18" xfId="0" applyFont="1" applyFill="1" applyBorder="1" applyAlignment="1">
      <alignment horizontal="center"/>
    </xf>
    <xf numFmtId="7" fontId="2" fillId="0" borderId="6" xfId="0" applyNumberFormat="1" applyFont="1" applyBorder="1" applyAlignment="1"/>
    <xf numFmtId="7" fontId="2" fillId="0" borderId="8" xfId="0" applyNumberFormat="1" applyFont="1" applyBorder="1" applyAlignment="1">
      <alignment horizontal="right"/>
    </xf>
    <xf numFmtId="5" fontId="2" fillId="0" borderId="0" xfId="0" applyNumberFormat="1" applyFont="1" applyBorder="1" applyAlignment="1"/>
    <xf numFmtId="164" fontId="2" fillId="0" borderId="0" xfId="0" applyNumberFormat="1" applyFont="1" applyFill="1" applyBorder="1" applyAlignment="1"/>
    <xf numFmtId="0" fontId="7" fillId="0" borderId="0" xfId="0" applyFont="1" applyFill="1" applyBorder="1" applyAlignment="1">
      <alignment horizontal="center"/>
    </xf>
    <xf numFmtId="5" fontId="2" fillId="0" borderId="0" xfId="0" applyNumberFormat="1" applyFont="1" applyFill="1" applyBorder="1" applyAlignment="1"/>
    <xf numFmtId="164" fontId="2" fillId="0" borderId="0" xfId="0" applyNumberFormat="1" applyFont="1" applyFill="1" applyBorder="1"/>
    <xf numFmtId="164" fontId="2" fillId="0" borderId="0" xfId="0" applyNumberFormat="1" applyFont="1" applyFill="1"/>
    <xf numFmtId="165" fontId="2" fillId="0" borderId="0" xfId="2" applyNumberFormat="1" applyFont="1" applyFill="1" applyBorder="1" applyAlignment="1"/>
    <xf numFmtId="165" fontId="2" fillId="0" borderId="4" xfId="0" applyNumberFormat="1" applyFont="1" applyBorder="1" applyAlignment="1"/>
    <xf numFmtId="165" fontId="2" fillId="0" borderId="6" xfId="2" applyNumberFormat="1" applyFont="1" applyBorder="1" applyAlignment="1"/>
    <xf numFmtId="165" fontId="2" fillId="0" borderId="8" xfId="2" applyNumberFormat="1" applyFont="1" applyBorder="1" applyAlignment="1"/>
    <xf numFmtId="164" fontId="2" fillId="5" borderId="0" xfId="0" applyNumberFormat="1" applyFont="1" applyFill="1" applyBorder="1" applyAlignment="1">
      <alignment horizontal="centerContinuous"/>
    </xf>
    <xf numFmtId="0" fontId="7" fillId="4" borderId="4" xfId="0" applyFont="1" applyFill="1" applyBorder="1"/>
    <xf numFmtId="165" fontId="2" fillId="0" borderId="7" xfId="2" applyNumberFormat="1" applyFont="1" applyFill="1" applyBorder="1" applyAlignment="1"/>
    <xf numFmtId="165" fontId="2" fillId="0" borderId="9" xfId="2" applyNumberFormat="1" applyFont="1" applyFill="1" applyBorder="1" applyAlignment="1"/>
    <xf numFmtId="5" fontId="2" fillId="0" borderId="0" xfId="1" applyNumberFormat="1" applyFont="1" applyBorder="1" applyAlignment="1"/>
    <xf numFmtId="7" fontId="2" fillId="0" borderId="0" xfId="0" applyNumberFormat="1" applyFont="1" applyBorder="1" applyAlignment="1">
      <alignment horizontal="right"/>
    </xf>
    <xf numFmtId="165" fontId="2" fillId="0" borderId="0" xfId="2" applyNumberFormat="1" applyFont="1" applyBorder="1" applyAlignment="1"/>
    <xf numFmtId="0" fontId="2" fillId="0" borderId="0" xfId="0" applyFont="1" applyFill="1" applyBorder="1"/>
    <xf numFmtId="7" fontId="2" fillId="0" borderId="0" xfId="1" applyNumberFormat="1" applyFont="1" applyBorder="1"/>
    <xf numFmtId="7" fontId="2" fillId="0" borderId="1" xfId="1" applyNumberFormat="1" applyFont="1" applyBorder="1"/>
    <xf numFmtId="164" fontId="11" fillId="4" borderId="1" xfId="1" applyNumberFormat="1" applyFont="1" applyFill="1" applyBorder="1" applyAlignment="1">
      <alignment horizontal="center"/>
    </xf>
    <xf numFmtId="0" fontId="11" fillId="4" borderId="1" xfId="0" applyFont="1" applyFill="1" applyBorder="1" applyAlignment="1">
      <alignment horizontal="center"/>
    </xf>
    <xf numFmtId="0" fontId="11" fillId="4" borderId="6" xfId="0" applyFont="1" applyFill="1" applyBorder="1"/>
    <xf numFmtId="164" fontId="11" fillId="4" borderId="0" xfId="1" applyNumberFormat="1" applyFont="1" applyFill="1" applyBorder="1" applyAlignment="1">
      <alignment horizontal="center"/>
    </xf>
    <xf numFmtId="0" fontId="11" fillId="4" borderId="0" xfId="0" applyFont="1" applyFill="1" applyBorder="1"/>
    <xf numFmtId="0" fontId="11" fillId="4" borderId="7" xfId="0" applyFont="1" applyFill="1" applyBorder="1" applyAlignment="1">
      <alignment horizontal="center"/>
    </xf>
    <xf numFmtId="0" fontId="11" fillId="4" borderId="8" xfId="0" applyFont="1" applyFill="1" applyBorder="1"/>
    <xf numFmtId="0" fontId="11" fillId="4" borderId="9" xfId="0" applyFont="1" applyFill="1" applyBorder="1" applyAlignment="1">
      <alignment horizontal="center"/>
    </xf>
    <xf numFmtId="0" fontId="10" fillId="0" borderId="6" xfId="0" applyFont="1" applyBorder="1"/>
    <xf numFmtId="0" fontId="10" fillId="0" borderId="8" xfId="0" applyFont="1" applyBorder="1"/>
    <xf numFmtId="0" fontId="3" fillId="2" borderId="19" xfId="0" applyFont="1" applyFill="1" applyBorder="1"/>
    <xf numFmtId="0" fontId="3" fillId="2" borderId="20" xfId="0" applyFont="1" applyFill="1" applyBorder="1" applyAlignment="1">
      <alignment horizontal="center"/>
    </xf>
    <xf numFmtId="0" fontId="3" fillId="2" borderId="21" xfId="0" applyFont="1" applyFill="1" applyBorder="1" applyAlignment="1">
      <alignment horizontal="center"/>
    </xf>
    <xf numFmtId="0" fontId="3" fillId="2" borderId="22" xfId="0" applyFont="1" applyFill="1" applyBorder="1" applyAlignment="1">
      <alignment horizontal="center"/>
    </xf>
    <xf numFmtId="0" fontId="2" fillId="0" borderId="23" xfId="0" applyFont="1" applyBorder="1"/>
    <xf numFmtId="0" fontId="2" fillId="0" borderId="25" xfId="0" applyFont="1" applyBorder="1"/>
    <xf numFmtId="7" fontId="2" fillId="0" borderId="0" xfId="0" applyNumberFormat="1" applyFont="1" applyBorder="1"/>
    <xf numFmtId="7" fontId="2" fillId="0" borderId="24" xfId="0" applyNumberFormat="1" applyFont="1" applyBorder="1"/>
    <xf numFmtId="7" fontId="2" fillId="0" borderId="26" xfId="0" applyNumberFormat="1" applyFont="1" applyBorder="1"/>
    <xf numFmtId="7" fontId="2" fillId="0" borderId="27" xfId="0" applyNumberFormat="1" applyFont="1" applyBorder="1"/>
    <xf numFmtId="7" fontId="2" fillId="0" borderId="28" xfId="0" applyNumberFormat="1" applyFont="1" applyBorder="1"/>
    <xf numFmtId="0" fontId="2" fillId="0" borderId="12" xfId="0" applyFont="1" applyBorder="1"/>
    <xf numFmtId="164" fontId="2" fillId="0" borderId="12" xfId="1" applyNumberFormat="1" applyFont="1" applyBorder="1"/>
    <xf numFmtId="0" fontId="4" fillId="0" borderId="0" xfId="0" applyFont="1"/>
    <xf numFmtId="0" fontId="12" fillId="0" borderId="0" xfId="0" applyFont="1" applyAlignment="1">
      <alignment horizontal="center"/>
    </xf>
    <xf numFmtId="164" fontId="13" fillId="0" borderId="0" xfId="1" applyNumberFormat="1" applyFont="1"/>
    <xf numFmtId="0" fontId="14" fillId="0" borderId="0" xfId="0" applyFont="1" applyAlignment="1">
      <alignment horizontal="center"/>
    </xf>
    <xf numFmtId="164" fontId="3" fillId="0" borderId="0" xfId="1" applyNumberFormat="1" applyFont="1"/>
    <xf numFmtId="0" fontId="0" fillId="0" borderId="0" xfId="0" applyAlignment="1">
      <alignment horizontal="left" wrapText="1"/>
    </xf>
    <xf numFmtId="0" fontId="0" fillId="0" borderId="1" xfId="0" applyBorder="1"/>
    <xf numFmtId="0" fontId="10" fillId="0" borderId="0" xfId="0" applyFont="1"/>
    <xf numFmtId="0" fontId="0" fillId="0" borderId="13" xfId="0" applyBorder="1" applyAlignment="1">
      <alignment horizontal="right"/>
    </xf>
    <xf numFmtId="0" fontId="0" fillId="0" borderId="5" xfId="0" applyBorder="1" applyAlignment="1">
      <alignment horizontal="right"/>
    </xf>
    <xf numFmtId="0" fontId="0" fillId="0" borderId="0" xfId="0" applyBorder="1"/>
    <xf numFmtId="0" fontId="0" fillId="0" borderId="7" xfId="0" applyBorder="1"/>
    <xf numFmtId="0" fontId="0" fillId="0" borderId="9" xfId="0" applyBorder="1"/>
    <xf numFmtId="0" fontId="0" fillId="0" borderId="6" xfId="0" applyFill="1" applyBorder="1"/>
    <xf numFmtId="165" fontId="0" fillId="0" borderId="7" xfId="2" applyNumberFormat="1" applyFont="1" applyBorder="1"/>
    <xf numFmtId="0" fontId="15" fillId="0" borderId="0" xfId="0" applyFont="1" applyAlignment="1">
      <alignment vertical="center"/>
    </xf>
    <xf numFmtId="164" fontId="0" fillId="0" borderId="0" xfId="1" applyNumberFormat="1" applyFont="1" applyFill="1" applyBorder="1"/>
    <xf numFmtId="0" fontId="16" fillId="0" borderId="0" xfId="0" applyFont="1"/>
    <xf numFmtId="164" fontId="16" fillId="0" borderId="0" xfId="1" applyNumberFormat="1" applyFont="1"/>
    <xf numFmtId="165" fontId="2" fillId="0" borderId="1" xfId="2" applyNumberFormat="1" applyFont="1" applyBorder="1"/>
    <xf numFmtId="0" fontId="3" fillId="4" borderId="1" xfId="0" applyFont="1" applyFill="1" applyBorder="1"/>
    <xf numFmtId="0" fontId="9" fillId="3" borderId="4" xfId="0" applyNumberFormat="1" applyFont="1" applyFill="1" applyBorder="1" applyAlignment="1">
      <alignment horizontal="centerContinuous"/>
    </xf>
    <xf numFmtId="0" fontId="9" fillId="3" borderId="13" xfId="0" applyNumberFormat="1" applyFont="1" applyFill="1" applyBorder="1" applyAlignment="1">
      <alignment horizontal="centerContinuous"/>
    </xf>
    <xf numFmtId="0" fontId="9" fillId="3" borderId="5" xfId="0" applyNumberFormat="1" applyFont="1" applyFill="1" applyBorder="1" applyAlignment="1">
      <alignment horizontal="centerContinuous"/>
    </xf>
    <xf numFmtId="0" fontId="9" fillId="3" borderId="29" xfId="0" applyFont="1" applyFill="1" applyBorder="1" applyAlignment="1">
      <alignment horizontal="centerContinuous"/>
    </xf>
    <xf numFmtId="0" fontId="9" fillId="3" borderId="30" xfId="0" applyFont="1" applyFill="1" applyBorder="1" applyAlignment="1">
      <alignment horizontal="centerContinuous"/>
    </xf>
    <xf numFmtId="0" fontId="9" fillId="3" borderId="31" xfId="0" applyFont="1" applyFill="1" applyBorder="1" applyAlignment="1">
      <alignment horizontal="centerContinuous"/>
    </xf>
    <xf numFmtId="0" fontId="3" fillId="4" borderId="32" xfId="0" applyFont="1" applyFill="1" applyBorder="1"/>
    <xf numFmtId="0" fontId="3" fillId="4" borderId="33" xfId="0" applyFont="1" applyFill="1" applyBorder="1"/>
    <xf numFmtId="164" fontId="2" fillId="0" borderId="24" xfId="1" applyNumberFormat="1" applyFont="1" applyBorder="1"/>
    <xf numFmtId="165" fontId="2" fillId="0" borderId="24" xfId="2" applyNumberFormat="1" applyFont="1" applyBorder="1"/>
    <xf numFmtId="0" fontId="2" fillId="0" borderId="32" xfId="0" applyFont="1" applyBorder="1"/>
    <xf numFmtId="0" fontId="2" fillId="0" borderId="27" xfId="0" applyFont="1" applyBorder="1"/>
    <xf numFmtId="0" fontId="2" fillId="0" borderId="24" xfId="0" applyFont="1" applyBorder="1"/>
    <xf numFmtId="165" fontId="2" fillId="0" borderId="23" xfId="2" applyNumberFormat="1" applyFont="1" applyBorder="1"/>
    <xf numFmtId="165" fontId="17" fillId="0" borderId="23" xfId="2" applyNumberFormat="1" applyFont="1" applyBorder="1"/>
    <xf numFmtId="165" fontId="17" fillId="0" borderId="0" xfId="2" applyNumberFormat="1" applyFont="1"/>
    <xf numFmtId="165" fontId="17" fillId="0" borderId="0" xfId="2" applyNumberFormat="1" applyFont="1" applyBorder="1"/>
    <xf numFmtId="165" fontId="17" fillId="0" borderId="24" xfId="2" applyNumberFormat="1" applyFont="1" applyBorder="1"/>
    <xf numFmtId="165" fontId="18" fillId="0" borderId="0" xfId="2" applyNumberFormat="1" applyFont="1"/>
    <xf numFmtId="165" fontId="17" fillId="0" borderId="32" xfId="2" applyNumberFormat="1" applyFont="1" applyBorder="1"/>
    <xf numFmtId="165" fontId="17" fillId="0" borderId="1" xfId="2" applyNumberFormat="1" applyFont="1" applyBorder="1"/>
    <xf numFmtId="165" fontId="17" fillId="0" borderId="33" xfId="2" applyNumberFormat="1" applyFont="1" applyBorder="1"/>
    <xf numFmtId="165" fontId="1" fillId="0" borderId="0" xfId="2" applyNumberFormat="1" applyFont="1"/>
    <xf numFmtId="0" fontId="17" fillId="0" borderId="0" xfId="0" applyFont="1"/>
    <xf numFmtId="0" fontId="17" fillId="0" borderId="1" xfId="0" applyFont="1" applyBorder="1"/>
    <xf numFmtId="0" fontId="2" fillId="0" borderId="30" xfId="0" applyFont="1" applyBorder="1"/>
    <xf numFmtId="0" fontId="17" fillId="0" borderId="23" xfId="0" applyFont="1" applyBorder="1"/>
    <xf numFmtId="164" fontId="2" fillId="0" borderId="23" xfId="1" applyNumberFormat="1" applyFont="1" applyBorder="1"/>
    <xf numFmtId="165" fontId="2" fillId="0" borderId="27" xfId="2" applyNumberFormat="1" applyFont="1" applyBorder="1"/>
    <xf numFmtId="5" fontId="2" fillId="0" borderId="0" xfId="1" applyNumberFormat="1" applyFont="1" applyBorder="1"/>
    <xf numFmtId="5" fontId="2" fillId="0" borderId="24" xfId="1" applyNumberFormat="1" applyFont="1" applyBorder="1"/>
    <xf numFmtId="5" fontId="2" fillId="0" borderId="1" xfId="1" applyNumberFormat="1" applyFont="1" applyBorder="1"/>
    <xf numFmtId="5" fontId="2" fillId="0" borderId="33" xfId="1" applyNumberFormat="1" applyFont="1" applyBorder="1"/>
    <xf numFmtId="5" fontId="2" fillId="0" borderId="27" xfId="1" applyNumberFormat="1" applyFont="1" applyBorder="1"/>
    <xf numFmtId="5" fontId="2" fillId="0" borderId="28" xfId="1" applyNumberFormat="1" applyFont="1" applyBorder="1"/>
    <xf numFmtId="5" fontId="0" fillId="0" borderId="0" xfId="0" applyNumberFormat="1"/>
    <xf numFmtId="7" fontId="2" fillId="0" borderId="13" xfId="1" applyNumberFormat="1" applyFont="1" applyBorder="1"/>
    <xf numFmtId="43" fontId="2" fillId="0" borderId="0" xfId="1" applyNumberFormat="1" applyFont="1" applyBorder="1"/>
    <xf numFmtId="0" fontId="2" fillId="0" borderId="29" xfId="0" applyFont="1" applyBorder="1"/>
    <xf numFmtId="10" fontId="2" fillId="0" borderId="24" xfId="2" applyNumberFormat="1" applyFont="1" applyBorder="1"/>
    <xf numFmtId="10" fontId="2" fillId="0" borderId="33" xfId="2" applyNumberFormat="1" applyFont="1" applyBorder="1"/>
    <xf numFmtId="7" fontId="2" fillId="0" borderId="34" xfId="1" applyNumberFormat="1" applyFont="1" applyBorder="1"/>
    <xf numFmtId="0" fontId="2" fillId="0" borderId="35" xfId="0" applyFont="1" applyBorder="1"/>
    <xf numFmtId="7" fontId="2" fillId="0" borderId="24" xfId="1" applyNumberFormat="1" applyFont="1" applyBorder="1"/>
    <xf numFmtId="7" fontId="2" fillId="0" borderId="33" xfId="1" applyNumberFormat="1" applyFont="1" applyBorder="1"/>
    <xf numFmtId="0" fontId="3" fillId="2" borderId="25" xfId="0" applyFont="1" applyFill="1" applyBorder="1"/>
    <xf numFmtId="0" fontId="3" fillId="2" borderId="27" xfId="0" applyFont="1" applyFill="1" applyBorder="1"/>
    <xf numFmtId="43" fontId="3" fillId="2" borderId="27" xfId="1" applyFont="1" applyFill="1" applyBorder="1"/>
    <xf numFmtId="7" fontId="3" fillId="2" borderId="27" xfId="1" applyNumberFormat="1" applyFont="1" applyFill="1" applyBorder="1"/>
    <xf numFmtId="7" fontId="3" fillId="2" borderId="36" xfId="1" applyNumberFormat="1" applyFont="1" applyFill="1" applyBorder="1"/>
    <xf numFmtId="43" fontId="9" fillId="3" borderId="30" xfId="1" applyFont="1" applyFill="1" applyBorder="1" applyAlignment="1">
      <alignment horizontal="centerContinuous"/>
    </xf>
    <xf numFmtId="0" fontId="7" fillId="0" borderId="30" xfId="0" applyFont="1" applyBorder="1"/>
    <xf numFmtId="43" fontId="7" fillId="0" borderId="30" xfId="1" applyFont="1" applyBorder="1"/>
    <xf numFmtId="0" fontId="7" fillId="0" borderId="31" xfId="0" applyFont="1" applyBorder="1"/>
    <xf numFmtId="0" fontId="7" fillId="0" borderId="1" xfId="0" applyFont="1" applyBorder="1" applyAlignment="1">
      <alignment horizontal="center"/>
    </xf>
    <xf numFmtId="43" fontId="7" fillId="0" borderId="1" xfId="1" applyFont="1" applyBorder="1" applyAlignment="1">
      <alignment horizontal="center"/>
    </xf>
    <xf numFmtId="0" fontId="7" fillId="0" borderId="33" xfId="0" applyFont="1" applyBorder="1" applyAlignment="1">
      <alignment horizontal="center"/>
    </xf>
    <xf numFmtId="0" fontId="19" fillId="0" borderId="0" xfId="0" applyFont="1"/>
    <xf numFmtId="0" fontId="0" fillId="0" borderId="0" xfId="0" applyAlignment="1">
      <alignment vertical="center"/>
    </xf>
    <xf numFmtId="0" fontId="19" fillId="0" borderId="0" xfId="0" applyFont="1" applyAlignment="1">
      <alignment vertical="center"/>
    </xf>
    <xf numFmtId="16" fontId="0" fillId="0" borderId="0" xfId="0" applyNumberFormat="1"/>
    <xf numFmtId="49" fontId="0" fillId="0" borderId="0" xfId="0" applyNumberFormat="1"/>
    <xf numFmtId="49" fontId="0" fillId="0" borderId="0" xfId="0" applyNumberFormat="1" applyAlignment="1">
      <alignment horizontal="right"/>
    </xf>
    <xf numFmtId="0" fontId="21" fillId="0" borderId="0" xfId="0" applyFont="1" applyAlignment="1">
      <alignment vertical="center"/>
    </xf>
    <xf numFmtId="0" fontId="0" fillId="0" borderId="0" xfId="0" applyFont="1"/>
    <xf numFmtId="10" fontId="2" fillId="0" borderId="6" xfId="2" applyNumberFormat="1" applyFont="1" applyBorder="1"/>
    <xf numFmtId="168" fontId="2" fillId="0" borderId="6" xfId="0" applyNumberFormat="1" applyFont="1" applyBorder="1"/>
    <xf numFmtId="168" fontId="2" fillId="0" borderId="17" xfId="0" applyNumberFormat="1" applyFont="1" applyBorder="1"/>
    <xf numFmtId="10" fontId="2" fillId="0" borderId="8" xfId="2" applyNumberFormat="1" applyFont="1" applyBorder="1"/>
    <xf numFmtId="168" fontId="2" fillId="0" borderId="8" xfId="0" applyNumberFormat="1" applyFont="1" applyBorder="1"/>
    <xf numFmtId="168" fontId="2" fillId="0" borderId="18" xfId="0" applyNumberFormat="1" applyFont="1" applyBorder="1"/>
    <xf numFmtId="0" fontId="0" fillId="0" borderId="0" xfId="0" applyFill="1"/>
    <xf numFmtId="168" fontId="2" fillId="0" borderId="6" xfId="0" applyNumberFormat="1" applyFont="1" applyBorder="1" applyAlignment="1">
      <alignment horizontal="right"/>
    </xf>
    <xf numFmtId="0" fontId="9" fillId="6" borderId="4" xfId="0" applyNumberFormat="1" applyFont="1" applyFill="1" applyBorder="1" applyAlignment="1">
      <alignment horizontal="centerContinuous"/>
    </xf>
    <xf numFmtId="0" fontId="9" fillId="6" borderId="13" xfId="0" applyNumberFormat="1" applyFont="1" applyFill="1" applyBorder="1" applyAlignment="1">
      <alignment horizontal="centerContinuous"/>
    </xf>
    <xf numFmtId="0" fontId="22" fillId="6" borderId="4" xfId="0" applyNumberFormat="1" applyFont="1" applyFill="1" applyBorder="1" applyAlignment="1">
      <alignment horizontal="centerContinuous"/>
    </xf>
    <xf numFmtId="0" fontId="22" fillId="6" borderId="13" xfId="0" applyNumberFormat="1" applyFont="1" applyFill="1" applyBorder="1" applyAlignment="1">
      <alignment horizontal="centerContinuous"/>
    </xf>
    <xf numFmtId="0" fontId="22" fillId="6" borderId="5" xfId="0" applyNumberFormat="1" applyFont="1" applyFill="1" applyBorder="1" applyAlignment="1">
      <alignment horizontal="centerContinuous"/>
    </xf>
    <xf numFmtId="0" fontId="3" fillId="4" borderId="6" xfId="0" applyFont="1" applyFill="1" applyBorder="1"/>
    <xf numFmtId="0" fontId="3" fillId="4" borderId="8" xfId="0" applyFont="1" applyFill="1" applyBorder="1"/>
    <xf numFmtId="5" fontId="2" fillId="0" borderId="6" xfId="1" applyNumberFormat="1" applyFont="1" applyBorder="1" applyAlignment="1">
      <alignment horizontal="left" indent="4"/>
    </xf>
    <xf numFmtId="5" fontId="2" fillId="0" borderId="8" xfId="1" applyNumberFormat="1" applyFont="1" applyBorder="1" applyAlignment="1">
      <alignment horizontal="left" indent="4"/>
    </xf>
    <xf numFmtId="5" fontId="2" fillId="0" borderId="18" xfId="1" applyNumberFormat="1" applyFont="1" applyBorder="1" applyAlignment="1">
      <alignment horizontal="left" indent="4"/>
    </xf>
    <xf numFmtId="0" fontId="7" fillId="4" borderId="4" xfId="0" applyFont="1" applyFill="1" applyBorder="1" applyAlignment="1">
      <alignment horizontal="centerContinuous"/>
    </xf>
    <xf numFmtId="0" fontId="7" fillId="4" borderId="5" xfId="0" applyFont="1" applyFill="1" applyBorder="1" applyAlignment="1">
      <alignment horizontal="centerContinuous"/>
    </xf>
    <xf numFmtId="0" fontId="7" fillId="4" borderId="8" xfId="0" applyFont="1" applyFill="1" applyBorder="1" applyAlignment="1">
      <alignment horizontal="centerContinuous"/>
    </xf>
    <xf numFmtId="0" fontId="7" fillId="4" borderId="9" xfId="0" applyFont="1" applyFill="1" applyBorder="1" applyAlignment="1">
      <alignment horizontal="centerContinuous"/>
    </xf>
    <xf numFmtId="0" fontId="0" fillId="0" borderId="0" xfId="0" applyAlignment="1">
      <alignment horizontal="left" wrapText="1"/>
    </xf>
    <xf numFmtId="0" fontId="2" fillId="0" borderId="30" xfId="0" applyFont="1" applyBorder="1" applyAlignment="1">
      <alignment horizontal="left" wrapText="1"/>
    </xf>
    <xf numFmtId="0" fontId="2" fillId="0" borderId="0" xfId="0" applyFont="1" applyAlignment="1">
      <alignment horizontal="left" wrapText="1"/>
    </xf>
    <xf numFmtId="0" fontId="10" fillId="5" borderId="4" xfId="0" applyFont="1" applyFill="1" applyBorder="1" applyAlignment="1">
      <alignment horizontal="center" wrapText="1"/>
    </xf>
    <xf numFmtId="0" fontId="10" fillId="5" borderId="13" xfId="0" applyFont="1" applyFill="1" applyBorder="1" applyAlignment="1">
      <alignment horizontal="center" wrapText="1"/>
    </xf>
    <xf numFmtId="0" fontId="10" fillId="5" borderId="5" xfId="0" applyFont="1" applyFill="1" applyBorder="1" applyAlignment="1">
      <alignment horizontal="center" wrapText="1"/>
    </xf>
    <xf numFmtId="0" fontId="10" fillId="5" borderId="6" xfId="0" applyFont="1" applyFill="1" applyBorder="1" applyAlignment="1">
      <alignment horizontal="center" wrapText="1"/>
    </xf>
    <xf numFmtId="0" fontId="10" fillId="5" borderId="0" xfId="0" applyFont="1" applyFill="1" applyBorder="1" applyAlignment="1">
      <alignment horizontal="center" wrapText="1"/>
    </xf>
    <xf numFmtId="0" fontId="10" fillId="5" borderId="7" xfId="0" applyFont="1" applyFill="1" applyBorder="1" applyAlignment="1">
      <alignment horizontal="center"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5.png"/><Relationship Id="rId1" Type="http://schemas.openxmlformats.org/officeDocument/2006/relationships/image" Target="../media/image24.png"/></Relationships>
</file>

<file path=xl/drawings/_rels/drawing3.xml.rels><?xml version="1.0" encoding="UTF-8" standalone="yes"?>
<Relationships xmlns="http://schemas.openxmlformats.org/package/2006/relationships"><Relationship Id="rId2" Type="http://schemas.openxmlformats.org/officeDocument/2006/relationships/image" Target="../media/image27.png"/><Relationship Id="rId1"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6</xdr:col>
      <xdr:colOff>533400</xdr:colOff>
      <xdr:row>9</xdr:row>
      <xdr:rowOff>66675</xdr:rowOff>
    </xdr:from>
    <xdr:to>
      <xdr:col>16</xdr:col>
      <xdr:colOff>570733</xdr:colOff>
      <xdr:row>48</xdr:row>
      <xdr:rowOff>30850</xdr:rowOff>
    </xdr:to>
    <xdr:pic>
      <xdr:nvPicPr>
        <xdr:cNvPr id="4" name="Picture 3">
          <a:extLst>
            <a:ext uri="{FF2B5EF4-FFF2-40B4-BE49-F238E27FC236}">
              <a16:creationId xmlns:a16="http://schemas.microsoft.com/office/drawing/2014/main" id="{732C167D-19A4-4633-9D6B-F3FD81B9C3EA}"/>
            </a:ext>
          </a:extLst>
        </xdr:cNvPr>
        <xdr:cNvPicPr>
          <a:picLocks noChangeAspect="1"/>
        </xdr:cNvPicPr>
      </xdr:nvPicPr>
      <xdr:blipFill>
        <a:blip xmlns:r="http://schemas.openxmlformats.org/officeDocument/2006/relationships" r:embed="rId1"/>
        <a:stretch>
          <a:fillRect/>
        </a:stretch>
      </xdr:blipFill>
      <xdr:spPr>
        <a:xfrm>
          <a:off x="6924675" y="971550"/>
          <a:ext cx="6133333" cy="7203175"/>
        </a:xfrm>
        <a:prstGeom prst="rect">
          <a:avLst/>
        </a:prstGeom>
      </xdr:spPr>
    </xdr:pic>
    <xdr:clientData/>
  </xdr:twoCellAnchor>
  <xdr:twoCellAnchor editAs="oneCell">
    <xdr:from>
      <xdr:col>15</xdr:col>
      <xdr:colOff>257175</xdr:colOff>
      <xdr:row>27</xdr:row>
      <xdr:rowOff>85725</xdr:rowOff>
    </xdr:from>
    <xdr:to>
      <xdr:col>25</xdr:col>
      <xdr:colOff>332604</xdr:colOff>
      <xdr:row>48</xdr:row>
      <xdr:rowOff>183649</xdr:rowOff>
    </xdr:to>
    <xdr:pic>
      <xdr:nvPicPr>
        <xdr:cNvPr id="5" name="Picture 4">
          <a:extLst>
            <a:ext uri="{FF2B5EF4-FFF2-40B4-BE49-F238E27FC236}">
              <a16:creationId xmlns:a16="http://schemas.microsoft.com/office/drawing/2014/main" id="{CC44D503-44CD-4F93-96A9-43A88C488B4C}"/>
            </a:ext>
          </a:extLst>
        </xdr:cNvPr>
        <xdr:cNvPicPr>
          <a:picLocks noChangeAspect="1"/>
        </xdr:cNvPicPr>
      </xdr:nvPicPr>
      <xdr:blipFill>
        <a:blip xmlns:r="http://schemas.openxmlformats.org/officeDocument/2006/relationships" r:embed="rId2"/>
        <a:stretch>
          <a:fillRect/>
        </a:stretch>
      </xdr:blipFill>
      <xdr:spPr>
        <a:xfrm>
          <a:off x="12134850" y="2295525"/>
          <a:ext cx="6174604" cy="4012699"/>
        </a:xfrm>
        <a:prstGeom prst="rect">
          <a:avLst/>
        </a:prstGeom>
      </xdr:spPr>
    </xdr:pic>
    <xdr:clientData/>
  </xdr:twoCellAnchor>
  <xdr:twoCellAnchor editAs="oneCell">
    <xdr:from>
      <xdr:col>18</xdr:col>
      <xdr:colOff>0</xdr:colOff>
      <xdr:row>113</xdr:row>
      <xdr:rowOff>0</xdr:rowOff>
    </xdr:from>
    <xdr:to>
      <xdr:col>28</xdr:col>
      <xdr:colOff>126223</xdr:colOff>
      <xdr:row>158</xdr:row>
      <xdr:rowOff>125967</xdr:rowOff>
    </xdr:to>
    <xdr:pic>
      <xdr:nvPicPr>
        <xdr:cNvPr id="6" name="Picture 5">
          <a:extLst>
            <a:ext uri="{FF2B5EF4-FFF2-40B4-BE49-F238E27FC236}">
              <a16:creationId xmlns:a16="http://schemas.microsoft.com/office/drawing/2014/main" id="{3319C434-1D82-4793-BBFB-D9C80A389807}"/>
            </a:ext>
          </a:extLst>
        </xdr:cNvPr>
        <xdr:cNvPicPr>
          <a:picLocks noChangeAspect="1"/>
        </xdr:cNvPicPr>
      </xdr:nvPicPr>
      <xdr:blipFill>
        <a:blip xmlns:r="http://schemas.openxmlformats.org/officeDocument/2006/relationships" r:embed="rId3"/>
        <a:stretch>
          <a:fillRect/>
        </a:stretch>
      </xdr:blipFill>
      <xdr:spPr>
        <a:xfrm>
          <a:off x="13706475" y="6791325"/>
          <a:ext cx="6219048" cy="8266667"/>
        </a:xfrm>
        <a:prstGeom prst="rect">
          <a:avLst/>
        </a:prstGeom>
      </xdr:spPr>
    </xdr:pic>
    <xdr:clientData/>
  </xdr:twoCellAnchor>
  <xdr:twoCellAnchor editAs="oneCell">
    <xdr:from>
      <xdr:col>0</xdr:col>
      <xdr:colOff>0</xdr:colOff>
      <xdr:row>119</xdr:row>
      <xdr:rowOff>0</xdr:rowOff>
    </xdr:from>
    <xdr:to>
      <xdr:col>9</xdr:col>
      <xdr:colOff>551353</xdr:colOff>
      <xdr:row>143</xdr:row>
      <xdr:rowOff>161362</xdr:rowOff>
    </xdr:to>
    <xdr:pic>
      <xdr:nvPicPr>
        <xdr:cNvPr id="3" name="Picture 2">
          <a:extLst>
            <a:ext uri="{FF2B5EF4-FFF2-40B4-BE49-F238E27FC236}">
              <a16:creationId xmlns:a16="http://schemas.microsoft.com/office/drawing/2014/main" id="{2081424B-9325-42A1-B108-0CA91444AB69}"/>
            </a:ext>
          </a:extLst>
        </xdr:cNvPr>
        <xdr:cNvPicPr>
          <a:picLocks noChangeAspect="1"/>
        </xdr:cNvPicPr>
      </xdr:nvPicPr>
      <xdr:blipFill>
        <a:blip xmlns:r="http://schemas.openxmlformats.org/officeDocument/2006/relationships" r:embed="rId4"/>
        <a:stretch>
          <a:fillRect/>
        </a:stretch>
      </xdr:blipFill>
      <xdr:spPr>
        <a:xfrm>
          <a:off x="0" y="10429875"/>
          <a:ext cx="8771428" cy="4504762"/>
        </a:xfrm>
        <a:prstGeom prst="rect">
          <a:avLst/>
        </a:prstGeom>
      </xdr:spPr>
    </xdr:pic>
    <xdr:clientData/>
  </xdr:twoCellAnchor>
  <xdr:twoCellAnchor editAs="oneCell">
    <xdr:from>
      <xdr:col>0</xdr:col>
      <xdr:colOff>0</xdr:colOff>
      <xdr:row>145</xdr:row>
      <xdr:rowOff>0</xdr:rowOff>
    </xdr:from>
    <xdr:to>
      <xdr:col>8</xdr:col>
      <xdr:colOff>132382</xdr:colOff>
      <xdr:row>177</xdr:row>
      <xdr:rowOff>170705</xdr:rowOff>
    </xdr:to>
    <xdr:pic>
      <xdr:nvPicPr>
        <xdr:cNvPr id="7" name="Picture 6">
          <a:extLst>
            <a:ext uri="{FF2B5EF4-FFF2-40B4-BE49-F238E27FC236}">
              <a16:creationId xmlns:a16="http://schemas.microsoft.com/office/drawing/2014/main" id="{FDF4A5EA-5BA3-4A58-9D28-E9A0748C7910}"/>
            </a:ext>
          </a:extLst>
        </xdr:cNvPr>
        <xdr:cNvPicPr>
          <a:picLocks noChangeAspect="1"/>
        </xdr:cNvPicPr>
      </xdr:nvPicPr>
      <xdr:blipFill>
        <a:blip xmlns:r="http://schemas.openxmlformats.org/officeDocument/2006/relationships" r:embed="rId5"/>
        <a:stretch>
          <a:fillRect/>
        </a:stretch>
      </xdr:blipFill>
      <xdr:spPr>
        <a:xfrm>
          <a:off x="0" y="15135225"/>
          <a:ext cx="7742857" cy="5961905"/>
        </a:xfrm>
        <a:prstGeom prst="rect">
          <a:avLst/>
        </a:prstGeom>
      </xdr:spPr>
    </xdr:pic>
    <xdr:clientData/>
  </xdr:twoCellAnchor>
  <xdr:twoCellAnchor editAs="oneCell">
    <xdr:from>
      <xdr:col>0</xdr:col>
      <xdr:colOff>0</xdr:colOff>
      <xdr:row>180</xdr:row>
      <xdr:rowOff>0</xdr:rowOff>
    </xdr:from>
    <xdr:to>
      <xdr:col>6</xdr:col>
      <xdr:colOff>427792</xdr:colOff>
      <xdr:row>203</xdr:row>
      <xdr:rowOff>56595</xdr:rowOff>
    </xdr:to>
    <xdr:pic>
      <xdr:nvPicPr>
        <xdr:cNvPr id="2" name="Picture 1">
          <a:extLst>
            <a:ext uri="{FF2B5EF4-FFF2-40B4-BE49-F238E27FC236}">
              <a16:creationId xmlns:a16="http://schemas.microsoft.com/office/drawing/2014/main" id="{71FAE727-A11F-4860-8F7F-22A502333423}"/>
            </a:ext>
          </a:extLst>
        </xdr:cNvPr>
        <xdr:cNvPicPr>
          <a:picLocks noChangeAspect="1"/>
        </xdr:cNvPicPr>
      </xdr:nvPicPr>
      <xdr:blipFill>
        <a:blip xmlns:r="http://schemas.openxmlformats.org/officeDocument/2006/relationships" r:embed="rId6"/>
        <a:stretch>
          <a:fillRect/>
        </a:stretch>
      </xdr:blipFill>
      <xdr:spPr>
        <a:xfrm>
          <a:off x="0" y="22536150"/>
          <a:ext cx="6666667" cy="4438095"/>
        </a:xfrm>
        <a:prstGeom prst="rect">
          <a:avLst/>
        </a:prstGeom>
      </xdr:spPr>
    </xdr:pic>
    <xdr:clientData/>
  </xdr:twoCellAnchor>
  <xdr:twoCellAnchor editAs="oneCell">
    <xdr:from>
      <xdr:col>0</xdr:col>
      <xdr:colOff>0</xdr:colOff>
      <xdr:row>204</xdr:row>
      <xdr:rowOff>38100</xdr:rowOff>
    </xdr:from>
    <xdr:to>
      <xdr:col>11</xdr:col>
      <xdr:colOff>598839</xdr:colOff>
      <xdr:row>244</xdr:row>
      <xdr:rowOff>151433</xdr:rowOff>
    </xdr:to>
    <xdr:pic>
      <xdr:nvPicPr>
        <xdr:cNvPr id="8" name="Picture 7">
          <a:extLst>
            <a:ext uri="{FF2B5EF4-FFF2-40B4-BE49-F238E27FC236}">
              <a16:creationId xmlns:a16="http://schemas.microsoft.com/office/drawing/2014/main" id="{1C039FBA-A8F3-4957-B34C-2A646F0BBD0B}"/>
            </a:ext>
          </a:extLst>
        </xdr:cNvPr>
        <xdr:cNvPicPr>
          <a:picLocks noChangeAspect="1"/>
        </xdr:cNvPicPr>
      </xdr:nvPicPr>
      <xdr:blipFill>
        <a:blip xmlns:r="http://schemas.openxmlformats.org/officeDocument/2006/relationships" r:embed="rId7"/>
        <a:stretch>
          <a:fillRect/>
        </a:stretch>
      </xdr:blipFill>
      <xdr:spPr>
        <a:xfrm>
          <a:off x="0" y="27146250"/>
          <a:ext cx="9885714" cy="7733333"/>
        </a:xfrm>
        <a:prstGeom prst="rect">
          <a:avLst/>
        </a:prstGeom>
      </xdr:spPr>
    </xdr:pic>
    <xdr:clientData/>
  </xdr:twoCellAnchor>
  <xdr:twoCellAnchor editAs="oneCell">
    <xdr:from>
      <xdr:col>0</xdr:col>
      <xdr:colOff>0</xdr:colOff>
      <xdr:row>247</xdr:row>
      <xdr:rowOff>0</xdr:rowOff>
    </xdr:from>
    <xdr:to>
      <xdr:col>2</xdr:col>
      <xdr:colOff>294763</xdr:colOff>
      <xdr:row>286</xdr:row>
      <xdr:rowOff>141928</xdr:rowOff>
    </xdr:to>
    <xdr:pic>
      <xdr:nvPicPr>
        <xdr:cNvPr id="9" name="Picture 8">
          <a:extLst>
            <a:ext uri="{FF2B5EF4-FFF2-40B4-BE49-F238E27FC236}">
              <a16:creationId xmlns:a16="http://schemas.microsoft.com/office/drawing/2014/main" id="{FF37FF06-96C0-4126-BEFB-0C11DE28A5C2}"/>
            </a:ext>
          </a:extLst>
        </xdr:cNvPr>
        <xdr:cNvPicPr>
          <a:picLocks noChangeAspect="1"/>
        </xdr:cNvPicPr>
      </xdr:nvPicPr>
      <xdr:blipFill>
        <a:blip xmlns:r="http://schemas.openxmlformats.org/officeDocument/2006/relationships" r:embed="rId8"/>
        <a:stretch>
          <a:fillRect/>
        </a:stretch>
      </xdr:blipFill>
      <xdr:spPr>
        <a:xfrm>
          <a:off x="0" y="36633150"/>
          <a:ext cx="4095238" cy="7571428"/>
        </a:xfrm>
        <a:prstGeom prst="rect">
          <a:avLst/>
        </a:prstGeom>
      </xdr:spPr>
    </xdr:pic>
    <xdr:clientData/>
  </xdr:twoCellAnchor>
  <xdr:twoCellAnchor editAs="oneCell">
    <xdr:from>
      <xdr:col>0</xdr:col>
      <xdr:colOff>0</xdr:colOff>
      <xdr:row>294</xdr:row>
      <xdr:rowOff>0</xdr:rowOff>
    </xdr:from>
    <xdr:to>
      <xdr:col>2</xdr:col>
      <xdr:colOff>495300</xdr:colOff>
      <xdr:row>309</xdr:row>
      <xdr:rowOff>95250</xdr:rowOff>
    </xdr:to>
    <xdr:pic>
      <xdr:nvPicPr>
        <xdr:cNvPr id="10" name="Picture 9">
          <a:extLst>
            <a:ext uri="{FF2B5EF4-FFF2-40B4-BE49-F238E27FC236}">
              <a16:creationId xmlns:a16="http://schemas.microsoft.com/office/drawing/2014/main" id="{B133C67F-9E9D-4397-9F2E-780FF9116177}"/>
            </a:ext>
          </a:extLst>
        </xdr:cNvPr>
        <xdr:cNvPicPr/>
      </xdr:nvPicPr>
      <xdr:blipFill>
        <a:blip xmlns:r="http://schemas.openxmlformats.org/officeDocument/2006/relationships" r:embed="rId9"/>
        <a:stretch>
          <a:fillRect/>
        </a:stretch>
      </xdr:blipFill>
      <xdr:spPr>
        <a:xfrm>
          <a:off x="0" y="47948850"/>
          <a:ext cx="4295775" cy="2952750"/>
        </a:xfrm>
        <a:prstGeom prst="rect">
          <a:avLst/>
        </a:prstGeom>
      </xdr:spPr>
    </xdr:pic>
    <xdr:clientData/>
  </xdr:twoCellAnchor>
  <xdr:twoCellAnchor editAs="oneCell">
    <xdr:from>
      <xdr:col>0</xdr:col>
      <xdr:colOff>0</xdr:colOff>
      <xdr:row>312</xdr:row>
      <xdr:rowOff>0</xdr:rowOff>
    </xdr:from>
    <xdr:to>
      <xdr:col>4</xdr:col>
      <xdr:colOff>75563</xdr:colOff>
      <xdr:row>329</xdr:row>
      <xdr:rowOff>142452</xdr:rowOff>
    </xdr:to>
    <xdr:pic>
      <xdr:nvPicPr>
        <xdr:cNvPr id="11" name="Picture 10">
          <a:extLst>
            <a:ext uri="{FF2B5EF4-FFF2-40B4-BE49-F238E27FC236}">
              <a16:creationId xmlns:a16="http://schemas.microsoft.com/office/drawing/2014/main" id="{0999C601-1829-4ADA-84E0-FE7128DFF555}"/>
            </a:ext>
          </a:extLst>
        </xdr:cNvPr>
        <xdr:cNvPicPr>
          <a:picLocks noChangeAspect="1"/>
        </xdr:cNvPicPr>
      </xdr:nvPicPr>
      <xdr:blipFill>
        <a:blip xmlns:r="http://schemas.openxmlformats.org/officeDocument/2006/relationships" r:embed="rId10"/>
        <a:stretch>
          <a:fillRect/>
        </a:stretch>
      </xdr:blipFill>
      <xdr:spPr>
        <a:xfrm>
          <a:off x="0" y="54654450"/>
          <a:ext cx="5095238" cy="3380952"/>
        </a:xfrm>
        <a:prstGeom prst="rect">
          <a:avLst/>
        </a:prstGeom>
      </xdr:spPr>
    </xdr:pic>
    <xdr:clientData/>
  </xdr:twoCellAnchor>
  <xdr:twoCellAnchor editAs="oneCell">
    <xdr:from>
      <xdr:col>0</xdr:col>
      <xdr:colOff>628650</xdr:colOff>
      <xdr:row>351</xdr:row>
      <xdr:rowOff>123825</xdr:rowOff>
    </xdr:from>
    <xdr:to>
      <xdr:col>6</xdr:col>
      <xdr:colOff>151680</xdr:colOff>
      <xdr:row>370</xdr:row>
      <xdr:rowOff>113849</xdr:rowOff>
    </xdr:to>
    <xdr:pic>
      <xdr:nvPicPr>
        <xdr:cNvPr id="13" name="Picture 12">
          <a:extLst>
            <a:ext uri="{FF2B5EF4-FFF2-40B4-BE49-F238E27FC236}">
              <a16:creationId xmlns:a16="http://schemas.microsoft.com/office/drawing/2014/main" id="{76513407-F155-4BC1-910B-4CCD10EFE4ED}"/>
            </a:ext>
          </a:extLst>
        </xdr:cNvPr>
        <xdr:cNvPicPr>
          <a:picLocks noChangeAspect="1"/>
        </xdr:cNvPicPr>
      </xdr:nvPicPr>
      <xdr:blipFill>
        <a:blip xmlns:r="http://schemas.openxmlformats.org/officeDocument/2006/relationships" r:embed="rId11"/>
        <a:stretch>
          <a:fillRect/>
        </a:stretch>
      </xdr:blipFill>
      <xdr:spPr>
        <a:xfrm>
          <a:off x="628650" y="65255775"/>
          <a:ext cx="5761905" cy="3609524"/>
        </a:xfrm>
        <a:prstGeom prst="rect">
          <a:avLst/>
        </a:prstGeom>
      </xdr:spPr>
    </xdr:pic>
    <xdr:clientData/>
  </xdr:twoCellAnchor>
  <xdr:twoCellAnchor editAs="oneCell">
    <xdr:from>
      <xdr:col>0</xdr:col>
      <xdr:colOff>171450</xdr:colOff>
      <xdr:row>332</xdr:row>
      <xdr:rowOff>171450</xdr:rowOff>
    </xdr:from>
    <xdr:to>
      <xdr:col>5</xdr:col>
      <xdr:colOff>113604</xdr:colOff>
      <xdr:row>347</xdr:row>
      <xdr:rowOff>180617</xdr:rowOff>
    </xdr:to>
    <xdr:pic>
      <xdr:nvPicPr>
        <xdr:cNvPr id="14" name="Picture 13">
          <a:extLst>
            <a:ext uri="{FF2B5EF4-FFF2-40B4-BE49-F238E27FC236}">
              <a16:creationId xmlns:a16="http://schemas.microsoft.com/office/drawing/2014/main" id="{395C6BFA-D1CE-4595-97AB-5C8C345E4C98}"/>
            </a:ext>
          </a:extLst>
        </xdr:cNvPr>
        <xdr:cNvPicPr>
          <a:picLocks noChangeAspect="1"/>
        </xdr:cNvPicPr>
      </xdr:nvPicPr>
      <xdr:blipFill>
        <a:blip xmlns:r="http://schemas.openxmlformats.org/officeDocument/2006/relationships" r:embed="rId12"/>
        <a:stretch>
          <a:fillRect/>
        </a:stretch>
      </xdr:blipFill>
      <xdr:spPr>
        <a:xfrm>
          <a:off x="171450" y="58635900"/>
          <a:ext cx="5571429" cy="2866667"/>
        </a:xfrm>
        <a:prstGeom prst="rect">
          <a:avLst/>
        </a:prstGeom>
      </xdr:spPr>
    </xdr:pic>
    <xdr:clientData/>
  </xdr:twoCellAnchor>
  <xdr:twoCellAnchor editAs="oneCell">
    <xdr:from>
      <xdr:col>10</xdr:col>
      <xdr:colOff>133350</xdr:colOff>
      <xdr:row>53</xdr:row>
      <xdr:rowOff>190500</xdr:rowOff>
    </xdr:from>
    <xdr:to>
      <xdr:col>17</xdr:col>
      <xdr:colOff>409007</xdr:colOff>
      <xdr:row>85</xdr:row>
      <xdr:rowOff>161155</xdr:rowOff>
    </xdr:to>
    <xdr:pic>
      <xdr:nvPicPr>
        <xdr:cNvPr id="15" name="Picture 14">
          <a:extLst>
            <a:ext uri="{FF2B5EF4-FFF2-40B4-BE49-F238E27FC236}">
              <a16:creationId xmlns:a16="http://schemas.microsoft.com/office/drawing/2014/main" id="{4B028D98-CDAD-458F-A857-7985B3D7447B}"/>
            </a:ext>
          </a:extLst>
        </xdr:cNvPr>
        <xdr:cNvPicPr>
          <a:picLocks noChangeAspect="1"/>
        </xdr:cNvPicPr>
      </xdr:nvPicPr>
      <xdr:blipFill>
        <a:blip xmlns:r="http://schemas.openxmlformats.org/officeDocument/2006/relationships" r:embed="rId13"/>
        <a:stretch>
          <a:fillRect/>
        </a:stretch>
      </xdr:blipFill>
      <xdr:spPr>
        <a:xfrm>
          <a:off x="8810625" y="10553700"/>
          <a:ext cx="4542857" cy="6161905"/>
        </a:xfrm>
        <a:prstGeom prst="rect">
          <a:avLst/>
        </a:prstGeom>
      </xdr:spPr>
    </xdr:pic>
    <xdr:clientData/>
  </xdr:twoCellAnchor>
  <xdr:twoCellAnchor editAs="oneCell">
    <xdr:from>
      <xdr:col>18</xdr:col>
      <xdr:colOff>571500</xdr:colOff>
      <xdr:row>54</xdr:row>
      <xdr:rowOff>28575</xdr:rowOff>
    </xdr:from>
    <xdr:to>
      <xdr:col>26</xdr:col>
      <xdr:colOff>456605</xdr:colOff>
      <xdr:row>85</xdr:row>
      <xdr:rowOff>180207</xdr:rowOff>
    </xdr:to>
    <xdr:pic>
      <xdr:nvPicPr>
        <xdr:cNvPr id="16" name="Picture 15">
          <a:extLst>
            <a:ext uri="{FF2B5EF4-FFF2-40B4-BE49-F238E27FC236}">
              <a16:creationId xmlns:a16="http://schemas.microsoft.com/office/drawing/2014/main" id="{7642BED8-F9CB-4726-B358-E96C1F597A2D}"/>
            </a:ext>
          </a:extLst>
        </xdr:cNvPr>
        <xdr:cNvPicPr>
          <a:picLocks noChangeAspect="1"/>
        </xdr:cNvPicPr>
      </xdr:nvPicPr>
      <xdr:blipFill>
        <a:blip xmlns:r="http://schemas.openxmlformats.org/officeDocument/2006/relationships" r:embed="rId14"/>
        <a:stretch>
          <a:fillRect/>
        </a:stretch>
      </xdr:blipFill>
      <xdr:spPr>
        <a:xfrm>
          <a:off x="14125575" y="10591800"/>
          <a:ext cx="4761905" cy="6142857"/>
        </a:xfrm>
        <a:prstGeom prst="rect">
          <a:avLst/>
        </a:prstGeom>
      </xdr:spPr>
    </xdr:pic>
    <xdr:clientData/>
  </xdr:twoCellAnchor>
  <xdr:twoCellAnchor editAs="oneCell">
    <xdr:from>
      <xdr:col>27</xdr:col>
      <xdr:colOff>0</xdr:colOff>
      <xdr:row>54</xdr:row>
      <xdr:rowOff>0</xdr:rowOff>
    </xdr:from>
    <xdr:to>
      <xdr:col>35</xdr:col>
      <xdr:colOff>161295</xdr:colOff>
      <xdr:row>83</xdr:row>
      <xdr:rowOff>46918</xdr:rowOff>
    </xdr:to>
    <xdr:pic>
      <xdr:nvPicPr>
        <xdr:cNvPr id="17" name="Picture 16">
          <a:extLst>
            <a:ext uri="{FF2B5EF4-FFF2-40B4-BE49-F238E27FC236}">
              <a16:creationId xmlns:a16="http://schemas.microsoft.com/office/drawing/2014/main" id="{5E647F7E-8C64-4609-8D39-D783851631CE}"/>
            </a:ext>
          </a:extLst>
        </xdr:cNvPr>
        <xdr:cNvPicPr>
          <a:picLocks noChangeAspect="1"/>
        </xdr:cNvPicPr>
      </xdr:nvPicPr>
      <xdr:blipFill>
        <a:blip xmlns:r="http://schemas.openxmlformats.org/officeDocument/2006/relationships" r:embed="rId15"/>
        <a:stretch>
          <a:fillRect/>
        </a:stretch>
      </xdr:blipFill>
      <xdr:spPr>
        <a:xfrm>
          <a:off x="19040475" y="10563225"/>
          <a:ext cx="5038095" cy="5657143"/>
        </a:xfrm>
        <a:prstGeom prst="rect">
          <a:avLst/>
        </a:prstGeom>
      </xdr:spPr>
    </xdr:pic>
    <xdr:clientData/>
  </xdr:twoCellAnchor>
  <xdr:twoCellAnchor editAs="oneCell">
    <xdr:from>
      <xdr:col>37</xdr:col>
      <xdr:colOff>0</xdr:colOff>
      <xdr:row>54</xdr:row>
      <xdr:rowOff>0</xdr:rowOff>
    </xdr:from>
    <xdr:to>
      <xdr:col>47</xdr:col>
      <xdr:colOff>237333</xdr:colOff>
      <xdr:row>78</xdr:row>
      <xdr:rowOff>37513</xdr:rowOff>
    </xdr:to>
    <xdr:pic>
      <xdr:nvPicPr>
        <xdr:cNvPr id="18" name="Picture 17">
          <a:extLst>
            <a:ext uri="{FF2B5EF4-FFF2-40B4-BE49-F238E27FC236}">
              <a16:creationId xmlns:a16="http://schemas.microsoft.com/office/drawing/2014/main" id="{66010295-178C-41E8-9B96-5B5FB17DAE1A}"/>
            </a:ext>
          </a:extLst>
        </xdr:cNvPr>
        <xdr:cNvPicPr>
          <a:picLocks noChangeAspect="1"/>
        </xdr:cNvPicPr>
      </xdr:nvPicPr>
      <xdr:blipFill>
        <a:blip xmlns:r="http://schemas.openxmlformats.org/officeDocument/2006/relationships" r:embed="rId16"/>
        <a:stretch>
          <a:fillRect/>
        </a:stretch>
      </xdr:blipFill>
      <xdr:spPr>
        <a:xfrm>
          <a:off x="25136475" y="10563225"/>
          <a:ext cx="6333333" cy="4695238"/>
        </a:xfrm>
        <a:prstGeom prst="rect">
          <a:avLst/>
        </a:prstGeom>
      </xdr:spPr>
    </xdr:pic>
    <xdr:clientData/>
  </xdr:twoCellAnchor>
  <xdr:twoCellAnchor editAs="oneCell">
    <xdr:from>
      <xdr:col>37</xdr:col>
      <xdr:colOff>0</xdr:colOff>
      <xdr:row>97</xdr:row>
      <xdr:rowOff>0</xdr:rowOff>
    </xdr:from>
    <xdr:to>
      <xdr:col>47</xdr:col>
      <xdr:colOff>256381</xdr:colOff>
      <xdr:row>122</xdr:row>
      <xdr:rowOff>151786</xdr:rowOff>
    </xdr:to>
    <xdr:pic>
      <xdr:nvPicPr>
        <xdr:cNvPr id="19" name="Picture 18">
          <a:extLst>
            <a:ext uri="{FF2B5EF4-FFF2-40B4-BE49-F238E27FC236}">
              <a16:creationId xmlns:a16="http://schemas.microsoft.com/office/drawing/2014/main" id="{E3A16F81-7520-4E8E-AD62-1F6631F8EF09}"/>
            </a:ext>
          </a:extLst>
        </xdr:cNvPr>
        <xdr:cNvPicPr>
          <a:picLocks noChangeAspect="1"/>
        </xdr:cNvPicPr>
      </xdr:nvPicPr>
      <xdr:blipFill>
        <a:blip xmlns:r="http://schemas.openxmlformats.org/officeDocument/2006/relationships" r:embed="rId17"/>
        <a:stretch>
          <a:fillRect/>
        </a:stretch>
      </xdr:blipFill>
      <xdr:spPr>
        <a:xfrm>
          <a:off x="25136475" y="15449550"/>
          <a:ext cx="6352381" cy="4914286"/>
        </a:xfrm>
        <a:prstGeom prst="rect">
          <a:avLst/>
        </a:prstGeom>
      </xdr:spPr>
    </xdr:pic>
    <xdr:clientData/>
  </xdr:twoCellAnchor>
  <xdr:twoCellAnchor editAs="oneCell">
    <xdr:from>
      <xdr:col>37</xdr:col>
      <xdr:colOff>0</xdr:colOff>
      <xdr:row>123</xdr:row>
      <xdr:rowOff>0</xdr:rowOff>
    </xdr:from>
    <xdr:to>
      <xdr:col>47</xdr:col>
      <xdr:colOff>361143</xdr:colOff>
      <xdr:row>147</xdr:row>
      <xdr:rowOff>18476</xdr:rowOff>
    </xdr:to>
    <xdr:pic>
      <xdr:nvPicPr>
        <xdr:cNvPr id="20" name="Picture 19">
          <a:extLst>
            <a:ext uri="{FF2B5EF4-FFF2-40B4-BE49-F238E27FC236}">
              <a16:creationId xmlns:a16="http://schemas.microsoft.com/office/drawing/2014/main" id="{046CBCF4-C278-4637-BC60-46720A774E8F}"/>
            </a:ext>
          </a:extLst>
        </xdr:cNvPr>
        <xdr:cNvPicPr>
          <a:picLocks noChangeAspect="1"/>
        </xdr:cNvPicPr>
      </xdr:nvPicPr>
      <xdr:blipFill>
        <a:blip xmlns:r="http://schemas.openxmlformats.org/officeDocument/2006/relationships" r:embed="rId18"/>
        <a:stretch>
          <a:fillRect/>
        </a:stretch>
      </xdr:blipFill>
      <xdr:spPr>
        <a:xfrm>
          <a:off x="25136475" y="20402550"/>
          <a:ext cx="6457143" cy="4590476"/>
        </a:xfrm>
        <a:prstGeom prst="rect">
          <a:avLst/>
        </a:prstGeom>
      </xdr:spPr>
    </xdr:pic>
    <xdr:clientData/>
  </xdr:twoCellAnchor>
  <xdr:twoCellAnchor editAs="oneCell">
    <xdr:from>
      <xdr:col>37</xdr:col>
      <xdr:colOff>0</xdr:colOff>
      <xdr:row>148</xdr:row>
      <xdr:rowOff>0</xdr:rowOff>
    </xdr:from>
    <xdr:to>
      <xdr:col>47</xdr:col>
      <xdr:colOff>142095</xdr:colOff>
      <xdr:row>172</xdr:row>
      <xdr:rowOff>142286</xdr:rowOff>
    </xdr:to>
    <xdr:pic>
      <xdr:nvPicPr>
        <xdr:cNvPr id="21" name="Picture 20">
          <a:extLst>
            <a:ext uri="{FF2B5EF4-FFF2-40B4-BE49-F238E27FC236}">
              <a16:creationId xmlns:a16="http://schemas.microsoft.com/office/drawing/2014/main" id="{DC198E46-8C27-45E3-9314-CFF757304027}"/>
            </a:ext>
          </a:extLst>
        </xdr:cNvPr>
        <xdr:cNvPicPr>
          <a:picLocks noChangeAspect="1"/>
        </xdr:cNvPicPr>
      </xdr:nvPicPr>
      <xdr:blipFill>
        <a:blip xmlns:r="http://schemas.openxmlformats.org/officeDocument/2006/relationships" r:embed="rId19"/>
        <a:stretch>
          <a:fillRect/>
        </a:stretch>
      </xdr:blipFill>
      <xdr:spPr>
        <a:xfrm>
          <a:off x="25136475" y="25165050"/>
          <a:ext cx="6238095" cy="4714286"/>
        </a:xfrm>
        <a:prstGeom prst="rect">
          <a:avLst/>
        </a:prstGeom>
      </xdr:spPr>
    </xdr:pic>
    <xdr:clientData/>
  </xdr:twoCellAnchor>
  <xdr:twoCellAnchor editAs="oneCell">
    <xdr:from>
      <xdr:col>37</xdr:col>
      <xdr:colOff>333375</xdr:colOff>
      <xdr:row>173</xdr:row>
      <xdr:rowOff>19050</xdr:rowOff>
    </xdr:from>
    <xdr:to>
      <xdr:col>47</xdr:col>
      <xdr:colOff>551661</xdr:colOff>
      <xdr:row>197</xdr:row>
      <xdr:rowOff>170859</xdr:rowOff>
    </xdr:to>
    <xdr:pic>
      <xdr:nvPicPr>
        <xdr:cNvPr id="22" name="Picture 21">
          <a:extLst>
            <a:ext uri="{FF2B5EF4-FFF2-40B4-BE49-F238E27FC236}">
              <a16:creationId xmlns:a16="http://schemas.microsoft.com/office/drawing/2014/main" id="{EA79F9E3-E160-4714-9864-52A44D7A874C}"/>
            </a:ext>
          </a:extLst>
        </xdr:cNvPr>
        <xdr:cNvPicPr>
          <a:picLocks noChangeAspect="1"/>
        </xdr:cNvPicPr>
      </xdr:nvPicPr>
      <xdr:blipFill>
        <a:blip xmlns:r="http://schemas.openxmlformats.org/officeDocument/2006/relationships" r:embed="rId20"/>
        <a:stretch>
          <a:fillRect/>
        </a:stretch>
      </xdr:blipFill>
      <xdr:spPr>
        <a:xfrm>
          <a:off x="25469850" y="29946600"/>
          <a:ext cx="6314286" cy="4723809"/>
        </a:xfrm>
        <a:prstGeom prst="rect">
          <a:avLst/>
        </a:prstGeom>
      </xdr:spPr>
    </xdr:pic>
    <xdr:clientData/>
  </xdr:twoCellAnchor>
  <xdr:twoCellAnchor editAs="oneCell">
    <xdr:from>
      <xdr:col>37</xdr:col>
      <xdr:colOff>419100</xdr:colOff>
      <xdr:row>198</xdr:row>
      <xdr:rowOff>114300</xdr:rowOff>
    </xdr:from>
    <xdr:to>
      <xdr:col>47</xdr:col>
      <xdr:colOff>513576</xdr:colOff>
      <xdr:row>222</xdr:row>
      <xdr:rowOff>85157</xdr:rowOff>
    </xdr:to>
    <xdr:pic>
      <xdr:nvPicPr>
        <xdr:cNvPr id="23" name="Picture 22">
          <a:extLst>
            <a:ext uri="{FF2B5EF4-FFF2-40B4-BE49-F238E27FC236}">
              <a16:creationId xmlns:a16="http://schemas.microsoft.com/office/drawing/2014/main" id="{B383F764-F97F-4176-AFC6-F12805336D4E}"/>
            </a:ext>
          </a:extLst>
        </xdr:cNvPr>
        <xdr:cNvPicPr>
          <a:picLocks noChangeAspect="1"/>
        </xdr:cNvPicPr>
      </xdr:nvPicPr>
      <xdr:blipFill>
        <a:blip xmlns:r="http://schemas.openxmlformats.org/officeDocument/2006/relationships" r:embed="rId21"/>
        <a:stretch>
          <a:fillRect/>
        </a:stretch>
      </xdr:blipFill>
      <xdr:spPr>
        <a:xfrm>
          <a:off x="25555575" y="34804350"/>
          <a:ext cx="6190476" cy="4542857"/>
        </a:xfrm>
        <a:prstGeom prst="rect">
          <a:avLst/>
        </a:prstGeom>
      </xdr:spPr>
    </xdr:pic>
    <xdr:clientData/>
  </xdr:twoCellAnchor>
  <xdr:twoCellAnchor editAs="oneCell">
    <xdr:from>
      <xdr:col>38</xdr:col>
      <xdr:colOff>0</xdr:colOff>
      <xdr:row>223</xdr:row>
      <xdr:rowOff>0</xdr:rowOff>
    </xdr:from>
    <xdr:to>
      <xdr:col>47</xdr:col>
      <xdr:colOff>551695</xdr:colOff>
      <xdr:row>247</xdr:row>
      <xdr:rowOff>56571</xdr:rowOff>
    </xdr:to>
    <xdr:pic>
      <xdr:nvPicPr>
        <xdr:cNvPr id="24" name="Picture 23">
          <a:extLst>
            <a:ext uri="{FF2B5EF4-FFF2-40B4-BE49-F238E27FC236}">
              <a16:creationId xmlns:a16="http://schemas.microsoft.com/office/drawing/2014/main" id="{039E8FF9-7FE4-4C0D-BDDC-E466BC0DA373}"/>
            </a:ext>
          </a:extLst>
        </xdr:cNvPr>
        <xdr:cNvPicPr>
          <a:picLocks noChangeAspect="1"/>
        </xdr:cNvPicPr>
      </xdr:nvPicPr>
      <xdr:blipFill>
        <a:blip xmlns:r="http://schemas.openxmlformats.org/officeDocument/2006/relationships" r:embed="rId22"/>
        <a:stretch>
          <a:fillRect/>
        </a:stretch>
      </xdr:blipFill>
      <xdr:spPr>
        <a:xfrm>
          <a:off x="25746075" y="39452550"/>
          <a:ext cx="6038095" cy="4628571"/>
        </a:xfrm>
        <a:prstGeom prst="rect">
          <a:avLst/>
        </a:prstGeom>
      </xdr:spPr>
    </xdr:pic>
    <xdr:clientData/>
  </xdr:twoCellAnchor>
  <xdr:twoCellAnchor editAs="oneCell">
    <xdr:from>
      <xdr:col>38</xdr:col>
      <xdr:colOff>0</xdr:colOff>
      <xdr:row>248</xdr:row>
      <xdr:rowOff>0</xdr:rowOff>
    </xdr:from>
    <xdr:to>
      <xdr:col>48</xdr:col>
      <xdr:colOff>8762</xdr:colOff>
      <xdr:row>271</xdr:row>
      <xdr:rowOff>75643</xdr:rowOff>
    </xdr:to>
    <xdr:pic>
      <xdr:nvPicPr>
        <xdr:cNvPr id="25" name="Picture 24">
          <a:extLst>
            <a:ext uri="{FF2B5EF4-FFF2-40B4-BE49-F238E27FC236}">
              <a16:creationId xmlns:a16="http://schemas.microsoft.com/office/drawing/2014/main" id="{D043F93D-A013-4EEA-B0AA-DC9971396286}"/>
            </a:ext>
          </a:extLst>
        </xdr:cNvPr>
        <xdr:cNvPicPr>
          <a:picLocks noChangeAspect="1"/>
        </xdr:cNvPicPr>
      </xdr:nvPicPr>
      <xdr:blipFill>
        <a:blip xmlns:r="http://schemas.openxmlformats.org/officeDocument/2006/relationships" r:embed="rId23"/>
        <a:stretch>
          <a:fillRect/>
        </a:stretch>
      </xdr:blipFill>
      <xdr:spPr>
        <a:xfrm>
          <a:off x="25746075" y="44215050"/>
          <a:ext cx="6104762" cy="4457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13</xdr:row>
      <xdr:rowOff>0</xdr:rowOff>
    </xdr:from>
    <xdr:to>
      <xdr:col>15</xdr:col>
      <xdr:colOff>456533</xdr:colOff>
      <xdr:row>33</xdr:row>
      <xdr:rowOff>104286</xdr:rowOff>
    </xdr:to>
    <xdr:pic>
      <xdr:nvPicPr>
        <xdr:cNvPr id="2" name="Picture 1">
          <a:extLst>
            <a:ext uri="{FF2B5EF4-FFF2-40B4-BE49-F238E27FC236}">
              <a16:creationId xmlns:a16="http://schemas.microsoft.com/office/drawing/2014/main" id="{A751F09C-3449-4CF8-956C-B262E4C336BC}"/>
            </a:ext>
          </a:extLst>
        </xdr:cNvPr>
        <xdr:cNvPicPr>
          <a:picLocks noChangeAspect="1"/>
        </xdr:cNvPicPr>
      </xdr:nvPicPr>
      <xdr:blipFill>
        <a:blip xmlns:r="http://schemas.openxmlformats.org/officeDocument/2006/relationships" r:embed="rId1"/>
        <a:stretch>
          <a:fillRect/>
        </a:stretch>
      </xdr:blipFill>
      <xdr:spPr>
        <a:xfrm>
          <a:off x="4267200" y="2476500"/>
          <a:ext cx="5333333" cy="3914286"/>
        </a:xfrm>
        <a:prstGeom prst="rect">
          <a:avLst/>
        </a:prstGeom>
      </xdr:spPr>
    </xdr:pic>
    <xdr:clientData/>
  </xdr:twoCellAnchor>
  <xdr:twoCellAnchor editAs="oneCell">
    <xdr:from>
      <xdr:col>7</xdr:col>
      <xdr:colOff>0</xdr:colOff>
      <xdr:row>34</xdr:row>
      <xdr:rowOff>0</xdr:rowOff>
    </xdr:from>
    <xdr:to>
      <xdr:col>15</xdr:col>
      <xdr:colOff>304152</xdr:colOff>
      <xdr:row>49</xdr:row>
      <xdr:rowOff>37738</xdr:rowOff>
    </xdr:to>
    <xdr:pic>
      <xdr:nvPicPr>
        <xdr:cNvPr id="3" name="Picture 2">
          <a:extLst>
            <a:ext uri="{FF2B5EF4-FFF2-40B4-BE49-F238E27FC236}">
              <a16:creationId xmlns:a16="http://schemas.microsoft.com/office/drawing/2014/main" id="{406A1B7F-92D5-4E48-B913-461B0D92E5C6}"/>
            </a:ext>
          </a:extLst>
        </xdr:cNvPr>
        <xdr:cNvPicPr>
          <a:picLocks noChangeAspect="1"/>
        </xdr:cNvPicPr>
      </xdr:nvPicPr>
      <xdr:blipFill>
        <a:blip xmlns:r="http://schemas.openxmlformats.org/officeDocument/2006/relationships" r:embed="rId2"/>
        <a:stretch>
          <a:fillRect/>
        </a:stretch>
      </xdr:blipFill>
      <xdr:spPr>
        <a:xfrm>
          <a:off x="4267200" y="6477000"/>
          <a:ext cx="5180952" cy="28952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657225</xdr:colOff>
      <xdr:row>2</xdr:row>
      <xdr:rowOff>0</xdr:rowOff>
    </xdr:from>
    <xdr:to>
      <xdr:col>20</xdr:col>
      <xdr:colOff>2475</xdr:colOff>
      <xdr:row>38</xdr:row>
      <xdr:rowOff>11883</xdr:rowOff>
    </xdr:to>
    <xdr:pic>
      <xdr:nvPicPr>
        <xdr:cNvPr id="2" name="Picture 1">
          <a:extLst>
            <a:ext uri="{FF2B5EF4-FFF2-40B4-BE49-F238E27FC236}">
              <a16:creationId xmlns:a16="http://schemas.microsoft.com/office/drawing/2014/main" id="{4F8837CF-0BB0-4060-89BF-5FAD85FE4266}"/>
            </a:ext>
          </a:extLst>
        </xdr:cNvPr>
        <xdr:cNvPicPr>
          <a:picLocks noChangeAspect="1"/>
        </xdr:cNvPicPr>
      </xdr:nvPicPr>
      <xdr:blipFill>
        <a:blip xmlns:r="http://schemas.openxmlformats.org/officeDocument/2006/relationships" r:embed="rId1"/>
        <a:stretch>
          <a:fillRect/>
        </a:stretch>
      </xdr:blipFill>
      <xdr:spPr>
        <a:xfrm>
          <a:off x="7505700" y="0"/>
          <a:ext cx="5603175" cy="6533333"/>
        </a:xfrm>
        <a:prstGeom prst="rect">
          <a:avLst/>
        </a:prstGeom>
      </xdr:spPr>
    </xdr:pic>
    <xdr:clientData/>
  </xdr:twoCellAnchor>
  <xdr:twoCellAnchor editAs="oneCell">
    <xdr:from>
      <xdr:col>11</xdr:col>
      <xdr:colOff>0</xdr:colOff>
      <xdr:row>40</xdr:row>
      <xdr:rowOff>0</xdr:rowOff>
    </xdr:from>
    <xdr:to>
      <xdr:col>20</xdr:col>
      <xdr:colOff>265981</xdr:colOff>
      <xdr:row>74</xdr:row>
      <xdr:rowOff>161136</xdr:rowOff>
    </xdr:to>
    <xdr:pic>
      <xdr:nvPicPr>
        <xdr:cNvPr id="3" name="Picture 2">
          <a:extLst>
            <a:ext uri="{FF2B5EF4-FFF2-40B4-BE49-F238E27FC236}">
              <a16:creationId xmlns:a16="http://schemas.microsoft.com/office/drawing/2014/main" id="{357E7BAC-D16F-4147-B134-98D5ADCD5C8E}"/>
            </a:ext>
          </a:extLst>
        </xdr:cNvPr>
        <xdr:cNvPicPr>
          <a:picLocks noChangeAspect="1"/>
        </xdr:cNvPicPr>
      </xdr:nvPicPr>
      <xdr:blipFill>
        <a:blip xmlns:r="http://schemas.openxmlformats.org/officeDocument/2006/relationships" r:embed="rId2"/>
        <a:stretch>
          <a:fillRect/>
        </a:stretch>
      </xdr:blipFill>
      <xdr:spPr>
        <a:xfrm>
          <a:off x="7620000" y="6515100"/>
          <a:ext cx="5752381" cy="631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8" Type="http://schemas.openxmlformats.org/officeDocument/2006/relationships/hyperlink" Target="https://scholarship.law.marquette.edu/cgi/viewcontent.cgi?article=3054&amp;context=mulr" TargetMode="External"/><Relationship Id="rId3" Type="http://schemas.openxmlformats.org/officeDocument/2006/relationships/hyperlink" Target="https://play.google.com/store/books/details?id=tS0hAAAAMAAJ&amp;rdid=book-tS0hAAAAMAAJ&amp;rdot=1" TargetMode="External"/><Relationship Id="rId7" Type="http://schemas.openxmlformats.org/officeDocument/2006/relationships/hyperlink" Target="https://www.nap.edu/read/12245/chapter/7" TargetMode="External"/><Relationship Id="rId2" Type="http://schemas.openxmlformats.org/officeDocument/2006/relationships/hyperlink" Target="https://books.google.com/books?id=fF2W1JAgYnMC&amp;pg=PA205&amp;dq=men%27s+and+boy%27s+clothing+1947+census+of+manufacturers+suit&amp;hl=en&amp;newbks=1&amp;newbks_redir=0&amp;sa=X&amp;ved=2ahUKEwidxayS3pLmAhWvd98KHSxlCm4Q6AEwAXoECAIQAg" TargetMode="External"/><Relationship Id="rId1" Type="http://schemas.openxmlformats.org/officeDocument/2006/relationships/hyperlink" Target="https://play.google.com/books/reader?id=tS0hAAAAMAAJ&amp;hl=en&amp;pg=GBS.PA152" TargetMode="External"/><Relationship Id="rId6" Type="http://schemas.openxmlformats.org/officeDocument/2006/relationships/hyperlink" Target="https://books.google.com/books?id=3utkyU-yNREC&amp;pg=RA11-PA14&amp;dq=national+wool+prices+1950&amp;hl=en&amp;newbks=1&amp;newbks_redir=0&amp;sa=X&amp;ved=2ahUKEwis-6zn-pLmAhVqdt8KHThRCWAQ6AEwAnoECAMQAg" TargetMode="External"/><Relationship Id="rId11" Type="http://schemas.openxmlformats.org/officeDocument/2006/relationships/printerSettings" Target="../printerSettings/printerSettings2.bin"/><Relationship Id="rId5" Type="http://schemas.openxmlformats.org/officeDocument/2006/relationships/hyperlink" Target="https://www.nytimes.com/1987/11/24/business/advertising-some-new-celebrities-for-bvd.html" TargetMode="External"/><Relationship Id="rId10" Type="http://schemas.openxmlformats.org/officeDocument/2006/relationships/hyperlink" Target="https://play.google.com/books/reader?id=lFbG_YSQRT0C&amp;hl=en&amp;pg=GBS.PA410" TargetMode="External"/><Relationship Id="rId4" Type="http://schemas.openxmlformats.org/officeDocument/2006/relationships/hyperlink" Target="https://books.google.com/books?id=FjPMSe1oOJIC&amp;pg=PA87&amp;dq=national+wool+prices+1950&amp;hl=en&amp;newbks=1&amp;newbks_redir=0&amp;sa=X&amp;ved=2ahUKEwis-6zn-pLmAhVqdt8KHThRCWAQ6AEwBHoECAgQAg" TargetMode="External"/><Relationship Id="rId9" Type="http://schemas.openxmlformats.org/officeDocument/2006/relationships/hyperlink" Target="https://play.google.com/books/reader?id=tS0hAAAAMAAJ&amp;hl=en&amp;pg=GBS.PA151" TargetMode="External"/></Relationships>
</file>

<file path=xl/worksheets/_rels/sheet9.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1F86B-8F71-4C62-A76E-71A4A7C02500}">
  <sheetPr>
    <tabColor rgb="FF00B0F0"/>
  </sheetPr>
  <dimension ref="A1"/>
  <sheetViews>
    <sheetView workbookViewId="0"/>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FF3C6-DEB9-4A7A-8C0B-3B50FF8C3217}">
  <dimension ref="A1:D14"/>
  <sheetViews>
    <sheetView workbookViewId="0">
      <selection activeCell="B7" sqref="B7"/>
    </sheetView>
  </sheetViews>
  <sheetFormatPr defaultRowHeight="15"/>
  <cols>
    <col min="2" max="2" width="85.140625" bestFit="1" customWidth="1"/>
    <col min="3" max="3" width="6" bestFit="1" customWidth="1"/>
  </cols>
  <sheetData>
    <row r="1" spans="1:4">
      <c r="B1" t="s">
        <v>366</v>
      </c>
      <c r="C1" t="s">
        <v>391</v>
      </c>
      <c r="D1" t="s">
        <v>367</v>
      </c>
    </row>
    <row r="2" spans="1:4">
      <c r="A2">
        <v>1</v>
      </c>
      <c r="B2" t="s">
        <v>370</v>
      </c>
    </row>
    <row r="3" spans="1:4">
      <c r="A3">
        <f>A2+1</f>
        <v>2</v>
      </c>
      <c r="B3" t="s">
        <v>371</v>
      </c>
      <c r="C3">
        <v>1</v>
      </c>
    </row>
    <row r="4" spans="1:4">
      <c r="A4">
        <f t="shared" ref="A4:A11" si="0">A3+1</f>
        <v>3</v>
      </c>
      <c r="B4" t="s">
        <v>372</v>
      </c>
      <c r="C4">
        <v>1</v>
      </c>
    </row>
    <row r="5" spans="1:4">
      <c r="A5">
        <f t="shared" si="0"/>
        <v>4</v>
      </c>
      <c r="B5" t="s">
        <v>451</v>
      </c>
    </row>
    <row r="6" spans="1:4">
      <c r="A6">
        <f t="shared" si="0"/>
        <v>5</v>
      </c>
      <c r="B6" t="s">
        <v>373</v>
      </c>
    </row>
    <row r="7" spans="1:4">
      <c r="A7">
        <f t="shared" si="0"/>
        <v>6</v>
      </c>
      <c r="B7" t="s">
        <v>437</v>
      </c>
    </row>
    <row r="8" spans="1:4">
      <c r="A8">
        <f t="shared" si="0"/>
        <v>7</v>
      </c>
      <c r="B8" t="s">
        <v>375</v>
      </c>
    </row>
    <row r="9" spans="1:4">
      <c r="A9">
        <f t="shared" si="0"/>
        <v>8</v>
      </c>
      <c r="B9" t="s">
        <v>452</v>
      </c>
    </row>
    <row r="10" spans="1:4">
      <c r="A10">
        <f t="shared" si="0"/>
        <v>9</v>
      </c>
      <c r="B10" t="s">
        <v>376</v>
      </c>
    </row>
    <row r="11" spans="1:4">
      <c r="A11">
        <f t="shared" si="0"/>
        <v>10</v>
      </c>
      <c r="B11" t="s">
        <v>374</v>
      </c>
    </row>
    <row r="12" spans="1:4">
      <c r="B12" t="s">
        <v>392</v>
      </c>
      <c r="C12">
        <f>MAX(A:A)-SUM(C2:C11)</f>
        <v>8</v>
      </c>
    </row>
    <row r="14" spans="1:4">
      <c r="B14" t="s">
        <v>453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9048-BF1E-480A-B1A9-B116869E6FD5}">
  <dimension ref="A1:D39"/>
  <sheetViews>
    <sheetView showGridLines="0" workbookViewId="0">
      <selection sqref="A1:D3"/>
    </sheetView>
  </sheetViews>
  <sheetFormatPr defaultRowHeight="15"/>
  <cols>
    <col min="1" max="1" width="28.28515625" bestFit="1" customWidth="1"/>
  </cols>
  <sheetData>
    <row r="1" spans="1:4" ht="14.45" customHeight="1">
      <c r="A1" s="251" t="s">
        <v>415</v>
      </c>
      <c r="B1" s="251"/>
      <c r="C1" s="251"/>
      <c r="D1" s="251"/>
    </row>
    <row r="2" spans="1:4">
      <c r="A2" s="251"/>
      <c r="B2" s="251"/>
      <c r="C2" s="251"/>
      <c r="D2" s="251"/>
    </row>
    <row r="3" spans="1:4" ht="90" customHeight="1">
      <c r="A3" s="251"/>
      <c r="B3" s="251"/>
      <c r="C3" s="251"/>
      <c r="D3" s="251"/>
    </row>
    <row r="4" spans="1:4">
      <c r="A4" s="148"/>
      <c r="B4" s="148"/>
      <c r="C4" s="148"/>
      <c r="D4" s="148"/>
    </row>
    <row r="5" spans="1:4">
      <c r="A5" s="150" t="s">
        <v>399</v>
      </c>
    </row>
    <row r="6" spans="1:4">
      <c r="A6" s="43" t="s">
        <v>405</v>
      </c>
      <c r="B6" s="151">
        <v>1</v>
      </c>
      <c r="C6" s="151">
        <v>2</v>
      </c>
      <c r="D6" s="152">
        <v>3</v>
      </c>
    </row>
    <row r="7" spans="1:4">
      <c r="A7" s="49" t="s">
        <v>400</v>
      </c>
      <c r="B7" s="153">
        <v>100</v>
      </c>
      <c r="C7" s="153">
        <v>100</v>
      </c>
      <c r="D7" s="154">
        <v>0</v>
      </c>
    </row>
    <row r="8" spans="1:4" s="149" customFormat="1">
      <c r="A8" s="47" t="s">
        <v>401</v>
      </c>
      <c r="B8" s="149">
        <v>1</v>
      </c>
      <c r="C8" s="149">
        <v>2</v>
      </c>
      <c r="D8" s="155">
        <v>0</v>
      </c>
    </row>
    <row r="9" spans="1:4">
      <c r="A9" s="49" t="s">
        <v>402</v>
      </c>
      <c r="B9" s="153">
        <v>100</v>
      </c>
      <c r="C9" s="153">
        <v>200</v>
      </c>
      <c r="D9" s="154">
        <v>0</v>
      </c>
    </row>
    <row r="10" spans="1:4">
      <c r="A10" s="49"/>
      <c r="B10" s="153"/>
      <c r="C10" s="153"/>
      <c r="D10" s="154"/>
    </row>
    <row r="11" spans="1:4">
      <c r="A11" s="49" t="s">
        <v>407</v>
      </c>
      <c r="B11" s="153">
        <v>0</v>
      </c>
      <c r="C11" s="153">
        <v>0</v>
      </c>
      <c r="D11" s="154">
        <v>100</v>
      </c>
    </row>
    <row r="12" spans="1:4" s="149" customFormat="1">
      <c r="A12" s="47" t="s">
        <v>408</v>
      </c>
      <c r="B12" s="149">
        <v>0</v>
      </c>
      <c r="C12" s="149">
        <v>0</v>
      </c>
      <c r="D12" s="155">
        <v>3</v>
      </c>
    </row>
    <row r="13" spans="1:4">
      <c r="A13" s="49" t="s">
        <v>409</v>
      </c>
      <c r="B13" s="153">
        <f>B12*B11</f>
        <v>0</v>
      </c>
      <c r="C13" s="153">
        <f>C12*C11</f>
        <v>0</v>
      </c>
      <c r="D13" s="154">
        <f>D12*D11</f>
        <v>300</v>
      </c>
    </row>
    <row r="14" spans="1:4" s="149" customFormat="1">
      <c r="A14" s="47" t="s">
        <v>403</v>
      </c>
      <c r="B14" s="149">
        <v>0</v>
      </c>
      <c r="C14" s="149">
        <v>0</v>
      </c>
      <c r="D14" s="155">
        <f>B9</f>
        <v>100</v>
      </c>
    </row>
    <row r="15" spans="1:4">
      <c r="A15" s="156" t="s">
        <v>410</v>
      </c>
      <c r="B15" s="153">
        <f>B13-B14</f>
        <v>0</v>
      </c>
      <c r="C15" s="153">
        <f>C13-C14</f>
        <v>0</v>
      </c>
      <c r="D15" s="154">
        <f>D13-D14</f>
        <v>200</v>
      </c>
    </row>
    <row r="16" spans="1:4">
      <c r="A16" s="156" t="s">
        <v>411</v>
      </c>
      <c r="B16" s="153"/>
      <c r="C16" s="153"/>
      <c r="D16" s="157">
        <f>D15/D13</f>
        <v>0.66666666666666663</v>
      </c>
    </row>
    <row r="17" spans="1:4">
      <c r="A17" s="156"/>
      <c r="B17" s="153"/>
      <c r="C17" s="153"/>
      <c r="D17" s="154"/>
    </row>
    <row r="18" spans="1:4">
      <c r="A18" s="49" t="s">
        <v>412</v>
      </c>
      <c r="B18" s="153">
        <v>0</v>
      </c>
      <c r="C18" s="153">
        <f>B21</f>
        <v>100</v>
      </c>
      <c r="D18" s="154">
        <f>C21</f>
        <v>300</v>
      </c>
    </row>
    <row r="19" spans="1:4">
      <c r="A19" s="49" t="s">
        <v>406</v>
      </c>
      <c r="B19" s="153">
        <f>B9</f>
        <v>100</v>
      </c>
      <c r="C19" s="153">
        <f>C9</f>
        <v>200</v>
      </c>
      <c r="D19" s="154">
        <f>D9</f>
        <v>0</v>
      </c>
    </row>
    <row r="20" spans="1:4" s="149" customFormat="1">
      <c r="A20" s="47" t="s">
        <v>413</v>
      </c>
      <c r="B20" s="149">
        <f>-B14</f>
        <v>0</v>
      </c>
      <c r="C20" s="149">
        <f>-C14</f>
        <v>0</v>
      </c>
      <c r="D20" s="155">
        <f>-D14</f>
        <v>-100</v>
      </c>
    </row>
    <row r="21" spans="1:4">
      <c r="A21" s="47" t="s">
        <v>414</v>
      </c>
      <c r="B21" s="149">
        <f>SUM(B18:B20)</f>
        <v>100</v>
      </c>
      <c r="C21" s="149">
        <f>SUM(C18:C20)</f>
        <v>300</v>
      </c>
      <c r="D21" s="155">
        <f>SUM(D18:D20)</f>
        <v>200</v>
      </c>
    </row>
    <row r="23" spans="1:4">
      <c r="A23" s="150" t="s">
        <v>404</v>
      </c>
    </row>
    <row r="24" spans="1:4">
      <c r="A24" s="43" t="s">
        <v>405</v>
      </c>
      <c r="B24" s="151">
        <f>B6</f>
        <v>1</v>
      </c>
      <c r="C24" s="151">
        <f>C6</f>
        <v>2</v>
      </c>
      <c r="D24" s="152">
        <f>D6</f>
        <v>3</v>
      </c>
    </row>
    <row r="25" spans="1:4">
      <c r="A25" s="49" t="s">
        <v>400</v>
      </c>
      <c r="B25" s="153">
        <v>100</v>
      </c>
      <c r="C25" s="153">
        <v>100</v>
      </c>
      <c r="D25" s="154">
        <v>0</v>
      </c>
    </row>
    <row r="26" spans="1:4" s="149" customFormat="1">
      <c r="A26" s="47" t="s">
        <v>401</v>
      </c>
      <c r="B26" s="149">
        <v>1</v>
      </c>
      <c r="C26" s="149">
        <v>2</v>
      </c>
      <c r="D26" s="155">
        <v>0</v>
      </c>
    </row>
    <row r="27" spans="1:4">
      <c r="A27" s="49" t="s">
        <v>402</v>
      </c>
      <c r="B27" s="153">
        <v>100</v>
      </c>
      <c r="C27" s="153">
        <v>200</v>
      </c>
      <c r="D27" s="154">
        <v>0</v>
      </c>
    </row>
    <row r="28" spans="1:4">
      <c r="A28" s="49"/>
      <c r="B28" s="153"/>
      <c r="C28" s="153"/>
      <c r="D28" s="154"/>
    </row>
    <row r="29" spans="1:4">
      <c r="A29" s="49" t="s">
        <v>407</v>
      </c>
      <c r="B29" s="153">
        <v>0</v>
      </c>
      <c r="C29" s="153">
        <v>0</v>
      </c>
      <c r="D29" s="154">
        <v>100</v>
      </c>
    </row>
    <row r="30" spans="1:4">
      <c r="A30" s="47" t="s">
        <v>408</v>
      </c>
      <c r="B30" s="149">
        <v>0</v>
      </c>
      <c r="C30" s="149">
        <v>0</v>
      </c>
      <c r="D30" s="155">
        <v>3</v>
      </c>
    </row>
    <row r="31" spans="1:4">
      <c r="A31" s="49" t="s">
        <v>409</v>
      </c>
      <c r="B31" s="153">
        <f>B30*B29</f>
        <v>0</v>
      </c>
      <c r="C31" s="153">
        <f>C30*C29</f>
        <v>0</v>
      </c>
      <c r="D31" s="154">
        <f>D30*D29</f>
        <v>300</v>
      </c>
    </row>
    <row r="32" spans="1:4">
      <c r="A32" s="47" t="s">
        <v>403</v>
      </c>
      <c r="B32" s="149">
        <v>0</v>
      </c>
      <c r="C32" s="149">
        <v>0</v>
      </c>
      <c r="D32" s="155">
        <f>C27</f>
        <v>200</v>
      </c>
    </row>
    <row r="33" spans="1:4">
      <c r="A33" s="156" t="s">
        <v>410</v>
      </c>
      <c r="B33" s="153">
        <f>B31-B32</f>
        <v>0</v>
      </c>
      <c r="C33" s="153">
        <f>C31-C32</f>
        <v>0</v>
      </c>
      <c r="D33" s="154">
        <f>D31-D32</f>
        <v>100</v>
      </c>
    </row>
    <row r="34" spans="1:4">
      <c r="A34" s="156" t="s">
        <v>411</v>
      </c>
      <c r="B34" s="153"/>
      <c r="C34" s="153"/>
      <c r="D34" s="157">
        <f>D33/D31</f>
        <v>0.33333333333333331</v>
      </c>
    </row>
    <row r="35" spans="1:4">
      <c r="A35" s="156"/>
      <c r="B35" s="153"/>
      <c r="C35" s="153"/>
      <c r="D35" s="154"/>
    </row>
    <row r="36" spans="1:4">
      <c r="A36" s="49" t="s">
        <v>412</v>
      </c>
      <c r="B36" s="153">
        <v>0</v>
      </c>
      <c r="C36" s="153">
        <f>B39</f>
        <v>100</v>
      </c>
      <c r="D36" s="154">
        <f>C39</f>
        <v>300</v>
      </c>
    </row>
    <row r="37" spans="1:4">
      <c r="A37" s="49" t="s">
        <v>406</v>
      </c>
      <c r="B37" s="153">
        <f>B27</f>
        <v>100</v>
      </c>
      <c r="C37" s="153">
        <f>C27</f>
        <v>200</v>
      </c>
      <c r="D37" s="154">
        <f>D27</f>
        <v>0</v>
      </c>
    </row>
    <row r="38" spans="1:4">
      <c r="A38" s="47" t="s">
        <v>413</v>
      </c>
      <c r="B38" s="149">
        <f>-B32</f>
        <v>0</v>
      </c>
      <c r="C38" s="149">
        <f>-C32</f>
        <v>0</v>
      </c>
      <c r="D38" s="155">
        <f>-D32</f>
        <v>-200</v>
      </c>
    </row>
    <row r="39" spans="1:4">
      <c r="A39" s="47" t="s">
        <v>414</v>
      </c>
      <c r="B39" s="149">
        <f>SUM(B36:B38)</f>
        <v>100</v>
      </c>
      <c r="C39" s="149">
        <f>SUM(C36:C38)</f>
        <v>300</v>
      </c>
      <c r="D39" s="155">
        <f>SUM(D36:D38)</f>
        <v>100</v>
      </c>
    </row>
  </sheetData>
  <mergeCells count="1">
    <mergeCell ref="A1:D3"/>
  </mergeCell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00962-622B-46ED-A6C2-7662972F60EA}">
  <dimension ref="A1:I62"/>
  <sheetViews>
    <sheetView workbookViewId="0">
      <selection activeCell="L10" sqref="L10"/>
    </sheetView>
  </sheetViews>
  <sheetFormatPr defaultColWidth="9.140625" defaultRowHeight="15"/>
  <cols>
    <col min="1" max="1" width="64.85546875" style="2" bestFit="1" customWidth="1"/>
    <col min="2" max="3" width="13.28515625" style="2" bestFit="1" customWidth="1"/>
    <col min="4" max="4" width="12.42578125" style="2" bestFit="1" customWidth="1"/>
    <col min="5" max="7" width="10" style="2" bestFit="1" customWidth="1"/>
    <col min="8" max="16384" width="9.140625" style="2"/>
  </cols>
  <sheetData>
    <row r="1" spans="1:9">
      <c r="B1" s="2">
        <v>1951</v>
      </c>
      <c r="C1" s="2">
        <v>1950</v>
      </c>
      <c r="D1" s="2">
        <v>1949</v>
      </c>
      <c r="E1" s="2">
        <v>1948</v>
      </c>
      <c r="F1" s="2">
        <v>1947</v>
      </c>
      <c r="G1" s="2">
        <v>1946</v>
      </c>
    </row>
    <row r="2" spans="1:9">
      <c r="A2" s="2" t="s">
        <v>0</v>
      </c>
    </row>
    <row r="3" spans="1:9">
      <c r="A3" s="2" t="s">
        <v>1</v>
      </c>
      <c r="B3" s="3">
        <v>465232</v>
      </c>
      <c r="C3" s="3">
        <v>441188</v>
      </c>
      <c r="D3" s="3">
        <v>393448</v>
      </c>
      <c r="E3" s="3">
        <v>350376</v>
      </c>
      <c r="F3" s="3">
        <v>463482</v>
      </c>
      <c r="G3" s="3">
        <v>485439</v>
      </c>
      <c r="H3" s="3"/>
      <c r="I3" s="3"/>
    </row>
    <row r="4" spans="1:9">
      <c r="A4" s="2" t="s">
        <v>2</v>
      </c>
      <c r="B4" s="3">
        <v>3098809</v>
      </c>
      <c r="C4" s="3">
        <v>2067552</v>
      </c>
      <c r="D4" s="3">
        <v>1792992</v>
      </c>
      <c r="E4" s="3">
        <v>1796437</v>
      </c>
      <c r="F4" s="3">
        <v>1076219</v>
      </c>
      <c r="G4" s="3">
        <v>733992</v>
      </c>
      <c r="H4" s="3"/>
      <c r="I4" s="3"/>
    </row>
    <row r="5" spans="1:9">
      <c r="A5" s="2" t="s">
        <v>3</v>
      </c>
      <c r="B5" s="3">
        <v>133478</v>
      </c>
      <c r="C5" s="3">
        <v>134853</v>
      </c>
      <c r="D5" s="3">
        <v>154883</v>
      </c>
      <c r="E5" s="3">
        <v>154603</v>
      </c>
      <c r="F5" s="3">
        <v>47000</v>
      </c>
      <c r="G5" s="3">
        <v>37721</v>
      </c>
      <c r="H5" s="3"/>
      <c r="I5" s="3"/>
    </row>
    <row r="6" spans="1:9">
      <c r="B6" s="3">
        <f t="shared" ref="B6:G6" si="0">B4-B5</f>
        <v>2965331</v>
      </c>
      <c r="C6" s="3">
        <f>C4-C5</f>
        <v>1932699</v>
      </c>
      <c r="D6" s="3">
        <f t="shared" si="0"/>
        <v>1638109</v>
      </c>
      <c r="E6" s="3">
        <f t="shared" si="0"/>
        <v>1641834</v>
      </c>
      <c r="F6" s="3">
        <f t="shared" si="0"/>
        <v>1029219</v>
      </c>
      <c r="G6" s="3">
        <f t="shared" si="0"/>
        <v>696271</v>
      </c>
      <c r="H6" s="3"/>
      <c r="I6" s="3"/>
    </row>
    <row r="7" spans="1:9">
      <c r="A7" s="2" t="s">
        <v>4</v>
      </c>
      <c r="B7" s="3"/>
      <c r="C7" s="3"/>
      <c r="D7" s="3"/>
      <c r="E7" s="3"/>
      <c r="F7" s="3"/>
      <c r="G7" s="3"/>
      <c r="H7" s="3"/>
      <c r="I7" s="3"/>
    </row>
    <row r="8" spans="1:9">
      <c r="A8" s="2" t="s">
        <v>5</v>
      </c>
      <c r="B8" s="3">
        <v>1140944</v>
      </c>
      <c r="C8" s="3">
        <v>1122813</v>
      </c>
      <c r="D8" s="3">
        <v>1042281</v>
      </c>
      <c r="E8" s="3">
        <v>1090817</v>
      </c>
      <c r="F8" s="3">
        <v>780371</v>
      </c>
      <c r="G8" s="3">
        <v>627687</v>
      </c>
      <c r="H8" s="3"/>
      <c r="I8" s="3"/>
    </row>
    <row r="9" spans="1:9">
      <c r="A9" s="2" t="s">
        <v>6</v>
      </c>
      <c r="B9" s="3">
        <v>381394</v>
      </c>
      <c r="C9" s="3">
        <v>591476</v>
      </c>
      <c r="D9" s="3">
        <v>315735</v>
      </c>
      <c r="E9" s="3">
        <v>652110</v>
      </c>
      <c r="F9" s="3">
        <v>894880</v>
      </c>
      <c r="G9" s="3">
        <v>795871</v>
      </c>
      <c r="H9" s="3"/>
      <c r="I9" s="3"/>
    </row>
    <row r="10" spans="1:9">
      <c r="A10" s="2" t="s">
        <v>7</v>
      </c>
      <c r="B10" s="3">
        <v>1106326</v>
      </c>
      <c r="C10" s="3">
        <v>1458453</v>
      </c>
      <c r="D10" s="3">
        <v>562301</v>
      </c>
      <c r="E10" s="3">
        <v>1235908</v>
      </c>
      <c r="F10" s="3">
        <v>881034</v>
      </c>
      <c r="G10" s="3">
        <v>861130</v>
      </c>
      <c r="H10" s="3"/>
      <c r="I10" s="3"/>
    </row>
    <row r="11" spans="1:9">
      <c r="A11" s="2" t="s">
        <v>8</v>
      </c>
      <c r="B11" s="3">
        <v>88640</v>
      </c>
      <c r="C11" s="3">
        <v>117252</v>
      </c>
      <c r="D11" s="3">
        <v>97003</v>
      </c>
      <c r="E11" s="3">
        <v>116913</v>
      </c>
      <c r="F11" s="3">
        <v>144713</v>
      </c>
      <c r="G11" s="3">
        <v>160812</v>
      </c>
      <c r="H11" s="3"/>
      <c r="I11" s="3"/>
    </row>
    <row r="12" spans="1:9">
      <c r="B12" s="3">
        <f t="shared" ref="B12:G12" si="1">SUM(B8:B11)</f>
        <v>2717304</v>
      </c>
      <c r="C12" s="3">
        <f>SUM(C8:C11)</f>
        <v>3289994</v>
      </c>
      <c r="D12" s="3">
        <f t="shared" si="1"/>
        <v>2017320</v>
      </c>
      <c r="E12" s="3">
        <f t="shared" si="1"/>
        <v>3095748</v>
      </c>
      <c r="F12" s="3">
        <f t="shared" si="1"/>
        <v>2700998</v>
      </c>
      <c r="G12" s="3">
        <f t="shared" si="1"/>
        <v>2445500</v>
      </c>
      <c r="H12" s="3"/>
      <c r="I12" s="3"/>
    </row>
    <row r="13" spans="1:9">
      <c r="A13" s="2" t="s">
        <v>9</v>
      </c>
      <c r="B13" s="3">
        <v>36035</v>
      </c>
      <c r="C13" s="3">
        <v>41581</v>
      </c>
      <c r="D13" s="3">
        <v>49686</v>
      </c>
      <c r="E13" s="3"/>
      <c r="F13" s="3"/>
      <c r="G13" s="3"/>
      <c r="H13" s="3"/>
      <c r="I13" s="3"/>
    </row>
    <row r="14" spans="1:9">
      <c r="A14" s="2" t="s">
        <v>10</v>
      </c>
      <c r="B14" s="3">
        <f t="shared" ref="B14:G14" si="2">B13+B12+B6+B3</f>
        <v>6183902</v>
      </c>
      <c r="C14" s="3">
        <f>C13+C12+C6+C3</f>
        <v>5705462</v>
      </c>
      <c r="D14" s="3">
        <f t="shared" si="2"/>
        <v>4098563</v>
      </c>
      <c r="E14" s="3">
        <f t="shared" si="2"/>
        <v>5087958</v>
      </c>
      <c r="F14" s="3">
        <f t="shared" si="2"/>
        <v>4193699</v>
      </c>
      <c r="G14" s="3">
        <f t="shared" si="2"/>
        <v>3627210</v>
      </c>
      <c r="H14" s="3"/>
      <c r="I14" s="3"/>
    </row>
    <row r="15" spans="1:9">
      <c r="A15" s="2" t="s">
        <v>11</v>
      </c>
      <c r="B15" s="3"/>
      <c r="C15" s="3"/>
      <c r="D15" s="3"/>
      <c r="E15" s="3"/>
      <c r="F15" s="3"/>
      <c r="G15" s="3"/>
      <c r="H15" s="3"/>
      <c r="I15" s="3"/>
    </row>
    <row r="16" spans="1:9">
      <c r="A16" s="2" t="s">
        <v>12</v>
      </c>
      <c r="B16" s="3">
        <v>24681</v>
      </c>
      <c r="C16" s="3">
        <v>31067</v>
      </c>
      <c r="D16" s="3">
        <v>28065</v>
      </c>
      <c r="E16" s="3">
        <v>114034</v>
      </c>
      <c r="F16" s="3">
        <v>107036</v>
      </c>
      <c r="G16" s="3">
        <v>99999</v>
      </c>
      <c r="H16" s="3"/>
      <c r="I16" s="3"/>
    </row>
    <row r="17" spans="1:9">
      <c r="A17" s="2" t="s">
        <v>64</v>
      </c>
      <c r="B17" s="3"/>
      <c r="C17" s="3"/>
      <c r="D17" s="3"/>
      <c r="E17" s="3"/>
      <c r="F17" s="3"/>
      <c r="G17" s="3">
        <v>31289</v>
      </c>
      <c r="H17" s="3"/>
      <c r="I17" s="3"/>
    </row>
    <row r="18" spans="1:9">
      <c r="A18" s="2" t="s">
        <v>13</v>
      </c>
      <c r="B18" s="3"/>
      <c r="C18" s="3">
        <v>23755</v>
      </c>
      <c r="D18" s="3">
        <v>17004</v>
      </c>
      <c r="E18" s="3">
        <v>6396</v>
      </c>
      <c r="F18" s="3">
        <v>1607</v>
      </c>
      <c r="G18" s="3">
        <v>2232</v>
      </c>
      <c r="H18" s="3"/>
      <c r="I18" s="3"/>
    </row>
    <row r="19" spans="1:9">
      <c r="A19" s="2" t="s">
        <v>14</v>
      </c>
      <c r="B19" s="3">
        <f t="shared" ref="B19:G19" si="3">SUM(B16:B18)</f>
        <v>24681</v>
      </c>
      <c r="C19" s="3">
        <f t="shared" si="3"/>
        <v>54822</v>
      </c>
      <c r="D19" s="3">
        <f t="shared" si="3"/>
        <v>45069</v>
      </c>
      <c r="E19" s="3">
        <f t="shared" si="3"/>
        <v>120430</v>
      </c>
      <c r="F19" s="3">
        <f t="shared" si="3"/>
        <v>108643</v>
      </c>
      <c r="G19" s="3">
        <f t="shared" si="3"/>
        <v>133520</v>
      </c>
      <c r="H19" s="3"/>
      <c r="I19" s="3"/>
    </row>
    <row r="20" spans="1:9">
      <c r="B20" s="3"/>
      <c r="C20" s="3"/>
      <c r="D20" s="3"/>
      <c r="E20" s="3"/>
      <c r="F20" s="3"/>
      <c r="G20" s="3"/>
      <c r="H20" s="3"/>
      <c r="I20" s="3"/>
    </row>
    <row r="21" spans="1:9">
      <c r="A21" s="2" t="s">
        <v>15</v>
      </c>
      <c r="B21" s="3"/>
      <c r="C21" s="3"/>
      <c r="D21" s="3"/>
      <c r="E21" s="3"/>
      <c r="F21" s="3"/>
      <c r="G21" s="3"/>
      <c r="H21" s="3"/>
      <c r="I21" s="3"/>
    </row>
    <row r="22" spans="1:9">
      <c r="A22" s="2" t="s">
        <v>65</v>
      </c>
      <c r="B22" s="3"/>
      <c r="C22" s="3"/>
      <c r="D22" s="3"/>
      <c r="E22" s="3"/>
      <c r="F22" s="3"/>
      <c r="G22" s="3">
        <v>31017</v>
      </c>
      <c r="H22" s="3"/>
      <c r="I22" s="3"/>
    </row>
    <row r="23" spans="1:9">
      <c r="A23" s="2" t="s">
        <v>66</v>
      </c>
      <c r="B23" s="3"/>
      <c r="C23" s="3"/>
      <c r="D23" s="3"/>
      <c r="E23" s="3"/>
      <c r="F23" s="3"/>
      <c r="G23" s="3">
        <v>656548</v>
      </c>
      <c r="H23" s="3"/>
      <c r="I23" s="3"/>
    </row>
    <row r="24" spans="1:9">
      <c r="A24" s="2" t="s">
        <v>16</v>
      </c>
      <c r="B24" s="3">
        <v>1008042</v>
      </c>
      <c r="C24" s="3">
        <v>1010346</v>
      </c>
      <c r="D24" s="3">
        <v>1007631</v>
      </c>
      <c r="E24" s="3">
        <v>815658</v>
      </c>
      <c r="F24" s="3">
        <v>721963</v>
      </c>
      <c r="G24" s="3"/>
      <c r="H24" s="3"/>
      <c r="I24" s="3"/>
    </row>
    <row r="25" spans="1:9">
      <c r="A25" s="2" t="s">
        <v>17</v>
      </c>
      <c r="B25" s="3">
        <v>733273</v>
      </c>
      <c r="C25" s="3">
        <v>739716</v>
      </c>
      <c r="D25" s="3">
        <v>751017</v>
      </c>
      <c r="E25" s="3">
        <v>626682</v>
      </c>
      <c r="F25" s="3">
        <v>578336</v>
      </c>
      <c r="G25" s="3">
        <v>511527</v>
      </c>
      <c r="H25" s="3"/>
      <c r="I25" s="3"/>
    </row>
    <row r="26" spans="1:9">
      <c r="A26" s="2" t="s">
        <v>18</v>
      </c>
      <c r="B26" s="3">
        <v>64312</v>
      </c>
      <c r="C26" s="3">
        <v>94379</v>
      </c>
      <c r="D26" s="3">
        <v>86271</v>
      </c>
      <c r="E26" s="3">
        <v>89100</v>
      </c>
      <c r="F26" s="3">
        <v>10610</v>
      </c>
      <c r="G26" s="3">
        <v>3193</v>
      </c>
      <c r="H26" s="3"/>
      <c r="I26" s="3"/>
    </row>
    <row r="27" spans="1:9">
      <c r="B27" s="3">
        <f>SUM(B24:B26)</f>
        <v>1805627</v>
      </c>
      <c r="C27" s="3">
        <f>SUM(C24:C26)</f>
        <v>1844441</v>
      </c>
      <c r="D27" s="3">
        <f>SUM(D24:D26)</f>
        <v>1844919</v>
      </c>
      <c r="E27" s="3">
        <f>SUM(E24:E26)</f>
        <v>1531440</v>
      </c>
      <c r="F27" s="3">
        <f>SUM(F24:F26)</f>
        <v>1310909</v>
      </c>
      <c r="G27" s="3">
        <f>SUM(G22:G26)</f>
        <v>1202285</v>
      </c>
      <c r="H27" s="3"/>
      <c r="I27" s="3"/>
    </row>
    <row r="28" spans="1:9">
      <c r="A28" s="2" t="s">
        <v>19</v>
      </c>
      <c r="B28" s="3">
        <v>906998</v>
      </c>
      <c r="C28" s="3">
        <v>862411</v>
      </c>
      <c r="D28" s="3">
        <v>825031</v>
      </c>
      <c r="E28" s="3">
        <v>763466</v>
      </c>
      <c r="F28" s="3">
        <v>715665</v>
      </c>
      <c r="G28" s="3">
        <v>674520</v>
      </c>
      <c r="H28" s="3"/>
      <c r="I28" s="3"/>
    </row>
    <row r="29" spans="1:9">
      <c r="A29" s="2" t="s">
        <v>20</v>
      </c>
      <c r="B29" s="3">
        <f t="shared" ref="B29:G29" si="4">B27-B28</f>
        <v>898629</v>
      </c>
      <c r="C29" s="3">
        <f t="shared" si="4"/>
        <v>982030</v>
      </c>
      <c r="D29" s="3">
        <f t="shared" si="4"/>
        <v>1019888</v>
      </c>
      <c r="E29" s="3">
        <f t="shared" si="4"/>
        <v>767974</v>
      </c>
      <c r="F29" s="3">
        <f t="shared" si="4"/>
        <v>595244</v>
      </c>
      <c r="G29" s="3">
        <f t="shared" si="4"/>
        <v>527765</v>
      </c>
      <c r="H29" s="3"/>
      <c r="I29" s="3"/>
    </row>
    <row r="30" spans="1:9">
      <c r="A30" s="2" t="s">
        <v>56</v>
      </c>
      <c r="B30" s="3"/>
      <c r="C30" s="3"/>
      <c r="D30" s="3"/>
      <c r="E30" s="3"/>
      <c r="F30" s="3"/>
      <c r="G30" s="3"/>
      <c r="H30" s="3"/>
      <c r="I30" s="3"/>
    </row>
    <row r="31" spans="1:9">
      <c r="A31" s="2" t="s">
        <v>57</v>
      </c>
      <c r="B31" s="3"/>
      <c r="C31" s="3"/>
      <c r="D31" s="3"/>
      <c r="E31" s="3">
        <v>35095</v>
      </c>
      <c r="F31" s="3">
        <v>38242</v>
      </c>
      <c r="G31" s="3">
        <v>17650</v>
      </c>
      <c r="H31" s="3"/>
      <c r="I31" s="3"/>
    </row>
    <row r="32" spans="1:9">
      <c r="B32" s="3">
        <f>B29+B19+B14</f>
        <v>7107212</v>
      </c>
      <c r="C32" s="3">
        <f>C29+C19+C14</f>
        <v>6742314</v>
      </c>
      <c r="D32" s="3">
        <f>D29+D19+D14</f>
        <v>5163520</v>
      </c>
      <c r="E32" s="3">
        <f>E29+E19+E14+E31</f>
        <v>6011457</v>
      </c>
      <c r="F32" s="3">
        <f>F29+F19+F14+F31</f>
        <v>4935828</v>
      </c>
      <c r="G32" s="3">
        <f>G29+G19+G14+G31</f>
        <v>4306145</v>
      </c>
      <c r="H32" s="3"/>
      <c r="I32" s="3"/>
    </row>
    <row r="33" spans="1:9">
      <c r="B33" s="3"/>
      <c r="C33" s="3"/>
      <c r="D33" s="3"/>
      <c r="E33" s="3"/>
      <c r="F33" s="3"/>
      <c r="G33" s="3"/>
      <c r="H33" s="3"/>
      <c r="I33" s="3"/>
    </row>
    <row r="34" spans="1:9">
      <c r="A34" s="2" t="s">
        <v>21</v>
      </c>
      <c r="B34" s="3"/>
      <c r="C34" s="3"/>
      <c r="D34" s="3"/>
      <c r="E34" s="3"/>
      <c r="F34" s="3"/>
      <c r="G34" s="3"/>
      <c r="H34" s="3"/>
      <c r="I34" s="3"/>
    </row>
    <row r="35" spans="1:9">
      <c r="A35" s="2" t="s">
        <v>22</v>
      </c>
      <c r="B35" s="3">
        <v>1800000</v>
      </c>
      <c r="C35" s="3">
        <v>1500000</v>
      </c>
      <c r="D35" s="3">
        <v>250000</v>
      </c>
      <c r="E35" s="3">
        <v>750000</v>
      </c>
      <c r="F35" s="3">
        <v>0</v>
      </c>
      <c r="G35" s="3">
        <v>250000</v>
      </c>
      <c r="H35" s="3"/>
      <c r="I35" s="3"/>
    </row>
    <row r="36" spans="1:9">
      <c r="A36" s="2" t="s">
        <v>23</v>
      </c>
      <c r="B36" s="3">
        <v>197066</v>
      </c>
      <c r="C36" s="3">
        <v>511649</v>
      </c>
      <c r="D36" s="3">
        <v>327349</v>
      </c>
      <c r="E36" s="3">
        <v>428116</v>
      </c>
      <c r="F36" s="3"/>
      <c r="G36" s="3"/>
      <c r="H36" s="3"/>
      <c r="I36" s="3"/>
    </row>
    <row r="37" spans="1:9">
      <c r="A37" s="2" t="s">
        <v>59</v>
      </c>
      <c r="B37" s="3"/>
      <c r="C37" s="3"/>
      <c r="D37" s="3"/>
      <c r="E37" s="3"/>
      <c r="F37" s="3">
        <v>322111</v>
      </c>
      <c r="G37" s="3">
        <v>356638</v>
      </c>
      <c r="H37" s="3"/>
      <c r="I37" s="3"/>
    </row>
    <row r="38" spans="1:9">
      <c r="A38" s="2" t="s">
        <v>60</v>
      </c>
      <c r="B38" s="3"/>
      <c r="C38" s="3"/>
      <c r="D38" s="3"/>
      <c r="E38" s="3"/>
      <c r="F38" s="3">
        <v>12500</v>
      </c>
      <c r="G38" s="3">
        <v>18750</v>
      </c>
      <c r="H38" s="3"/>
      <c r="I38" s="3"/>
    </row>
    <row r="39" spans="1:9">
      <c r="A39" s="2" t="s">
        <v>24</v>
      </c>
      <c r="B39" s="3">
        <v>156527</v>
      </c>
      <c r="C39" s="3">
        <v>148441</v>
      </c>
      <c r="D39" s="3">
        <v>134862</v>
      </c>
      <c r="E39" s="3">
        <v>262664</v>
      </c>
      <c r="F39" s="3">
        <v>278852</v>
      </c>
      <c r="G39" s="3">
        <v>152620</v>
      </c>
      <c r="H39" s="3"/>
      <c r="I39" s="3"/>
    </row>
    <row r="40" spans="1:9">
      <c r="A40" s="2" t="s">
        <v>25</v>
      </c>
      <c r="B40" s="3">
        <v>57623</v>
      </c>
      <c r="C40" s="3">
        <v>62191</v>
      </c>
      <c r="D40" s="3">
        <v>47563</v>
      </c>
      <c r="E40" s="3">
        <v>52313</v>
      </c>
      <c r="F40" s="3">
        <v>63862</v>
      </c>
      <c r="G40" s="3">
        <v>50776</v>
      </c>
      <c r="H40" s="3"/>
      <c r="I40" s="3"/>
    </row>
    <row r="41" spans="1:9">
      <c r="A41" s="2" t="s">
        <v>61</v>
      </c>
      <c r="B41" s="3"/>
      <c r="C41" s="3"/>
      <c r="D41" s="3"/>
      <c r="E41" s="3"/>
      <c r="F41" s="3">
        <v>75335</v>
      </c>
      <c r="G41" s="3">
        <v>54646</v>
      </c>
      <c r="H41" s="3"/>
      <c r="I41" s="3"/>
    </row>
    <row r="42" spans="1:9">
      <c r="A42" s="2" t="s">
        <v>26</v>
      </c>
      <c r="B42" s="3">
        <v>55858</v>
      </c>
      <c r="C42" s="3">
        <v>51412</v>
      </c>
      <c r="D42" s="3">
        <v>65500</v>
      </c>
      <c r="E42" s="3">
        <v>84914</v>
      </c>
      <c r="F42" s="3"/>
      <c r="G42" s="3"/>
      <c r="H42" s="3"/>
      <c r="I42" s="3"/>
    </row>
    <row r="43" spans="1:9">
      <c r="A43" s="2" t="s">
        <v>27</v>
      </c>
      <c r="B43" s="3">
        <v>7617</v>
      </c>
      <c r="C43" s="3">
        <v>3524</v>
      </c>
      <c r="D43" s="3">
        <v>955</v>
      </c>
      <c r="E43" s="3">
        <v>2116</v>
      </c>
      <c r="F43" s="3"/>
      <c r="G43" s="3"/>
      <c r="H43" s="3"/>
      <c r="I43" s="3"/>
    </row>
    <row r="44" spans="1:9">
      <c r="A44" s="2" t="s">
        <v>28</v>
      </c>
      <c r="B44" s="3">
        <v>364321</v>
      </c>
      <c r="C44" s="3">
        <v>169839</v>
      </c>
      <c r="D44" s="3">
        <v>188079</v>
      </c>
      <c r="E44" s="3">
        <v>434213</v>
      </c>
      <c r="F44" s="3">
        <v>537983</v>
      </c>
      <c r="G44" s="3">
        <v>475841</v>
      </c>
      <c r="H44" s="3"/>
      <c r="I44" s="3"/>
    </row>
    <row r="45" spans="1:9">
      <c r="A45" s="2" t="s">
        <v>62</v>
      </c>
      <c r="B45" s="3"/>
      <c r="C45" s="3"/>
      <c r="D45" s="3"/>
      <c r="E45" s="3"/>
      <c r="F45" s="3">
        <v>-39007</v>
      </c>
      <c r="G45" s="3">
        <v>-213217</v>
      </c>
      <c r="H45" s="3"/>
      <c r="I45" s="3"/>
    </row>
    <row r="46" spans="1:9">
      <c r="A46" s="2" t="s">
        <v>29</v>
      </c>
      <c r="B46" s="3">
        <f t="shared" ref="B46:G46" si="5">SUM(B35:B45)</f>
        <v>2639012</v>
      </c>
      <c r="C46" s="3">
        <f t="shared" si="5"/>
        <v>2447056</v>
      </c>
      <c r="D46" s="3">
        <f t="shared" si="5"/>
        <v>1014308</v>
      </c>
      <c r="E46" s="3">
        <f t="shared" si="5"/>
        <v>2014336</v>
      </c>
      <c r="F46" s="3">
        <f t="shared" si="5"/>
        <v>1251636</v>
      </c>
      <c r="G46" s="3">
        <f t="shared" si="5"/>
        <v>1146054</v>
      </c>
      <c r="H46" s="3"/>
      <c r="I46" s="3"/>
    </row>
    <row r="47" spans="1:9">
      <c r="B47" s="3"/>
      <c r="C47" s="3"/>
      <c r="D47" s="3"/>
      <c r="E47" s="3"/>
      <c r="F47" s="3"/>
      <c r="G47" s="3"/>
      <c r="H47" s="3"/>
      <c r="I47" s="3"/>
    </row>
    <row r="48" spans="1:9">
      <c r="A48" s="2" t="s">
        <v>30</v>
      </c>
      <c r="B48" s="3"/>
      <c r="C48" s="3"/>
      <c r="D48" s="3"/>
      <c r="E48" s="3"/>
      <c r="F48" s="3"/>
      <c r="G48" s="3"/>
      <c r="H48" s="3"/>
      <c r="I48" s="3"/>
    </row>
    <row r="49" spans="1:9">
      <c r="A49" s="2" t="s">
        <v>63</v>
      </c>
      <c r="B49" s="3"/>
      <c r="C49" s="3"/>
      <c r="D49" s="3"/>
      <c r="E49" s="3"/>
      <c r="F49" s="3">
        <v>105000</v>
      </c>
      <c r="G49" s="3">
        <v>105000</v>
      </c>
      <c r="H49" s="3"/>
      <c r="I49" s="3"/>
    </row>
    <row r="50" spans="1:9">
      <c r="A50" s="2" t="s">
        <v>31</v>
      </c>
      <c r="B50" s="3"/>
      <c r="C50" s="3">
        <v>150000</v>
      </c>
      <c r="D50" s="3">
        <v>150000</v>
      </c>
      <c r="E50" s="3">
        <v>306140</v>
      </c>
      <c r="F50" s="3">
        <v>181140</v>
      </c>
      <c r="G50" s="3">
        <v>56140</v>
      </c>
      <c r="H50" s="3"/>
      <c r="I50" s="3"/>
    </row>
    <row r="51" spans="1:9">
      <c r="A51" s="2" t="s">
        <v>32</v>
      </c>
      <c r="B51" s="3"/>
      <c r="C51" s="3">
        <v>45811</v>
      </c>
      <c r="D51" s="3">
        <v>42981</v>
      </c>
      <c r="E51" s="3">
        <v>45230</v>
      </c>
      <c r="F51" s="3">
        <v>44578</v>
      </c>
      <c r="G51" s="3">
        <v>39149</v>
      </c>
      <c r="H51" s="3"/>
      <c r="I51" s="3"/>
    </row>
    <row r="52" spans="1:9">
      <c r="A52" s="2" t="s">
        <v>33</v>
      </c>
      <c r="B52" s="3">
        <f t="shared" ref="B52:G52" si="6">SUM(B49:B51)</f>
        <v>0</v>
      </c>
      <c r="C52" s="3">
        <f t="shared" si="6"/>
        <v>195811</v>
      </c>
      <c r="D52" s="3">
        <f t="shared" si="6"/>
        <v>192981</v>
      </c>
      <c r="E52" s="3">
        <f t="shared" si="6"/>
        <v>351370</v>
      </c>
      <c r="F52" s="3">
        <f t="shared" si="6"/>
        <v>330718</v>
      </c>
      <c r="G52" s="3">
        <f t="shared" si="6"/>
        <v>200289</v>
      </c>
      <c r="H52" s="3"/>
      <c r="I52" s="3"/>
    </row>
    <row r="53" spans="1:9">
      <c r="B53" s="3"/>
      <c r="C53" s="3"/>
      <c r="D53" s="3"/>
      <c r="E53" s="3"/>
      <c r="F53" s="3"/>
      <c r="G53" s="3"/>
      <c r="H53" s="3"/>
      <c r="I53" s="3"/>
    </row>
    <row r="54" spans="1:9">
      <c r="A54" s="2" t="s">
        <v>34</v>
      </c>
      <c r="D54" s="3"/>
      <c r="E54" s="3"/>
      <c r="F54" s="3"/>
      <c r="G54" s="3"/>
      <c r="H54" s="3"/>
      <c r="I54" s="3"/>
    </row>
    <row r="55" spans="1:9">
      <c r="A55" s="2" t="s">
        <v>35</v>
      </c>
      <c r="B55" s="3">
        <v>1400000</v>
      </c>
      <c r="C55" s="3">
        <v>1400000</v>
      </c>
      <c r="D55" s="3">
        <v>1400000</v>
      </c>
      <c r="E55" s="3">
        <v>1400000</v>
      </c>
      <c r="F55" s="3">
        <v>1400000</v>
      </c>
      <c r="G55" s="3">
        <v>1400000</v>
      </c>
      <c r="H55" s="3"/>
      <c r="I55" s="3"/>
    </row>
    <row r="56" spans="1:9">
      <c r="A56" s="2" t="s">
        <v>36</v>
      </c>
      <c r="B56" s="3">
        <v>3068200</v>
      </c>
      <c r="C56" s="3">
        <v>2699447</v>
      </c>
      <c r="D56" s="3">
        <v>2556231</v>
      </c>
      <c r="E56" s="3">
        <v>2245751</v>
      </c>
      <c r="F56" s="3">
        <v>1953474</v>
      </c>
      <c r="G56" s="3">
        <v>1559802</v>
      </c>
      <c r="H56" s="3"/>
      <c r="I56" s="3"/>
    </row>
    <row r="57" spans="1:9">
      <c r="A57" s="2" t="s">
        <v>37</v>
      </c>
      <c r="B57" s="3">
        <f t="shared" ref="B57:G57" si="7">SUM(B55:B56)</f>
        <v>4468200</v>
      </c>
      <c r="C57" s="3">
        <f t="shared" si="7"/>
        <v>4099447</v>
      </c>
      <c r="D57" s="3">
        <f t="shared" si="7"/>
        <v>3956231</v>
      </c>
      <c r="E57" s="3">
        <f t="shared" si="7"/>
        <v>3645751</v>
      </c>
      <c r="F57" s="3">
        <f t="shared" si="7"/>
        <v>3353474</v>
      </c>
      <c r="G57" s="3">
        <f t="shared" si="7"/>
        <v>2959802</v>
      </c>
      <c r="H57" s="3"/>
      <c r="I57" s="3"/>
    </row>
    <row r="58" spans="1:9">
      <c r="B58" s="3">
        <f t="shared" ref="B58:G58" si="8">B57+B52+B46</f>
        <v>7107212</v>
      </c>
      <c r="C58" s="3">
        <f t="shared" si="8"/>
        <v>6742314</v>
      </c>
      <c r="D58" s="3">
        <f t="shared" si="8"/>
        <v>5163520</v>
      </c>
      <c r="E58" s="3">
        <f t="shared" si="8"/>
        <v>6011457</v>
      </c>
      <c r="F58" s="3">
        <f t="shared" si="8"/>
        <v>4935828</v>
      </c>
      <c r="G58" s="3">
        <f t="shared" si="8"/>
        <v>4306145</v>
      </c>
      <c r="H58" s="3"/>
      <c r="I58" s="3"/>
    </row>
    <row r="59" spans="1:9">
      <c r="B59" s="3"/>
      <c r="C59" s="3"/>
      <c r="D59" s="3"/>
      <c r="E59" s="3"/>
      <c r="F59" s="3"/>
      <c r="G59" s="3"/>
      <c r="H59" s="3"/>
      <c r="I59" s="3"/>
    </row>
    <row r="60" spans="1:9">
      <c r="B60" s="2" t="s">
        <v>68</v>
      </c>
      <c r="C60" s="4">
        <f>C14-C46-C52</f>
        <v>3062595</v>
      </c>
      <c r="D60" s="3"/>
      <c r="E60" s="3"/>
      <c r="F60" s="3"/>
      <c r="G60" s="3"/>
      <c r="H60" s="3"/>
      <c r="I60" s="3"/>
    </row>
    <row r="61" spans="1:9">
      <c r="B61" s="2" t="s">
        <v>69</v>
      </c>
      <c r="C61" s="3">
        <f>'Timely Clothes Income Statement'!C30</f>
        <v>140000</v>
      </c>
      <c r="D61" s="3"/>
      <c r="E61" s="3"/>
      <c r="F61" s="3"/>
      <c r="G61" s="3"/>
      <c r="H61" s="3"/>
      <c r="I61" s="3"/>
    </row>
    <row r="62" spans="1:9">
      <c r="C62" s="2">
        <f>C60/C61</f>
        <v>21.875678571428573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419F6-8BA4-4930-B89E-D9A2CBA8EE84}">
  <dimension ref="A1:J16"/>
  <sheetViews>
    <sheetView showGridLines="0" workbookViewId="0">
      <selection activeCell="J15" sqref="J15"/>
    </sheetView>
  </sheetViews>
  <sheetFormatPr defaultColWidth="8.7109375" defaultRowHeight="15"/>
  <cols>
    <col min="1" max="1" width="27.42578125" style="2" bestFit="1" customWidth="1"/>
    <col min="2" max="2" width="8.7109375" style="2"/>
    <col min="3" max="3" width="8.7109375" style="27"/>
    <col min="4" max="4" width="10.7109375" style="2" bestFit="1" customWidth="1"/>
    <col min="5" max="5" width="10.85546875" style="29" bestFit="1" customWidth="1"/>
    <col min="6" max="10" width="8.7109375" style="2"/>
    <col min="11" max="11" width="11" style="2" bestFit="1" customWidth="1"/>
    <col min="12" max="16384" width="8.7109375" style="2"/>
  </cols>
  <sheetData>
    <row r="1" spans="1:10" ht="15.75" thickBot="1">
      <c r="A1" s="167" t="s">
        <v>469</v>
      </c>
      <c r="B1" s="168"/>
      <c r="C1" s="214"/>
      <c r="D1" s="168"/>
      <c r="E1" s="169"/>
    </row>
    <row r="2" spans="1:10">
      <c r="A2" s="202"/>
      <c r="B2" s="215"/>
      <c r="C2" s="216"/>
      <c r="D2" s="215"/>
      <c r="E2" s="217" t="s">
        <v>467</v>
      </c>
    </row>
    <row r="3" spans="1:10">
      <c r="A3" s="174"/>
      <c r="B3" s="218" t="s">
        <v>70</v>
      </c>
      <c r="C3" s="219" t="s">
        <v>90</v>
      </c>
      <c r="D3" s="218" t="s">
        <v>72</v>
      </c>
      <c r="E3" s="220" t="s">
        <v>468</v>
      </c>
      <c r="H3" s="2" t="s">
        <v>71</v>
      </c>
      <c r="J3" s="2" t="s">
        <v>73</v>
      </c>
    </row>
    <row r="4" spans="1:10">
      <c r="A4" s="134" t="s">
        <v>88</v>
      </c>
      <c r="B4" s="29"/>
      <c r="C4" s="30"/>
      <c r="D4" s="118">
        <v>292.63</v>
      </c>
      <c r="E4" s="203">
        <f>D4/$D$12</f>
        <v>1.1758050083515386E-2</v>
      </c>
    </row>
    <row r="5" spans="1:10">
      <c r="A5" s="134" t="s">
        <v>89</v>
      </c>
      <c r="B5" s="29"/>
      <c r="C5" s="30"/>
      <c r="D5" s="118">
        <v>140</v>
      </c>
      <c r="E5" s="203">
        <f t="shared" ref="E5:E11" si="0">D5/$D$12</f>
        <v>5.6252845289005027E-3</v>
      </c>
    </row>
    <row r="6" spans="1:10">
      <c r="A6" s="134" t="s">
        <v>74</v>
      </c>
      <c r="B6" s="67">
        <v>350</v>
      </c>
      <c r="C6" s="118">
        <v>37.5</v>
      </c>
      <c r="D6" s="118">
        <v>13125</v>
      </c>
      <c r="E6" s="203">
        <f t="shared" si="0"/>
        <v>0.52737042458442207</v>
      </c>
      <c r="F6" s="2">
        <f>C6*B6</f>
        <v>13125</v>
      </c>
      <c r="H6" s="2" t="s">
        <v>85</v>
      </c>
      <c r="J6" s="18">
        <f t="shared" ref="J6:J11" si="1">D6/$D$15</f>
        <v>0.664973454259706</v>
      </c>
    </row>
    <row r="7" spans="1:10">
      <c r="A7" s="134" t="s">
        <v>75</v>
      </c>
      <c r="B7" s="67">
        <v>200</v>
      </c>
      <c r="C7" s="118">
        <v>13</v>
      </c>
      <c r="D7" s="118">
        <v>2600</v>
      </c>
      <c r="E7" s="203">
        <f t="shared" si="0"/>
        <v>0.10446956982243791</v>
      </c>
      <c r="F7" s="2">
        <f>C7*B7</f>
        <v>2600</v>
      </c>
      <c r="H7" s="2" t="s">
        <v>84</v>
      </c>
      <c r="J7" s="18">
        <f t="shared" si="1"/>
        <v>0.13172807474858939</v>
      </c>
    </row>
    <row r="8" spans="1:10">
      <c r="A8" s="134" t="s">
        <v>76</v>
      </c>
      <c r="B8" s="67">
        <v>100</v>
      </c>
      <c r="C8" s="118">
        <v>22</v>
      </c>
      <c r="D8" s="118">
        <v>2200</v>
      </c>
      <c r="E8" s="203">
        <f t="shared" si="0"/>
        <v>8.8397328311293613E-2</v>
      </c>
      <c r="F8" s="2">
        <f>C8*B8</f>
        <v>2200</v>
      </c>
      <c r="H8" s="2" t="s">
        <v>83</v>
      </c>
      <c r="J8" s="18">
        <f t="shared" si="1"/>
        <v>0.11146221709496025</v>
      </c>
    </row>
    <row r="9" spans="1:10">
      <c r="A9" s="134" t="s">
        <v>77</v>
      </c>
      <c r="B9" s="67">
        <v>200</v>
      </c>
      <c r="C9" s="118">
        <v>18.25</v>
      </c>
      <c r="D9" s="118">
        <v>3650</v>
      </c>
      <c r="E9" s="203">
        <f t="shared" si="0"/>
        <v>0.14665920378919167</v>
      </c>
      <c r="F9" s="2">
        <f>C9*B9</f>
        <v>3650</v>
      </c>
      <c r="H9" s="2" t="s">
        <v>82</v>
      </c>
      <c r="J9" s="18">
        <f t="shared" si="1"/>
        <v>0.18492595108936588</v>
      </c>
    </row>
    <row r="10" spans="1:10">
      <c r="A10" s="134" t="s">
        <v>91</v>
      </c>
      <c r="B10" s="67">
        <v>2000</v>
      </c>
      <c r="C10" s="118">
        <v>33</v>
      </c>
      <c r="D10" s="118">
        <v>330</v>
      </c>
      <c r="E10" s="203">
        <f t="shared" si="0"/>
        <v>1.3259599246694042E-2</v>
      </c>
      <c r="F10" s="2">
        <f>C10*B10*0.01</f>
        <v>660</v>
      </c>
      <c r="H10" s="2" t="s">
        <v>81</v>
      </c>
      <c r="J10" s="18">
        <f t="shared" si="1"/>
        <v>1.6719332564244037E-2</v>
      </c>
    </row>
    <row r="11" spans="1:10">
      <c r="A11" s="174" t="s">
        <v>78</v>
      </c>
      <c r="B11" s="6">
        <v>200</v>
      </c>
      <c r="C11" s="119">
        <v>12.75</v>
      </c>
      <c r="D11" s="119">
        <v>2550</v>
      </c>
      <c r="E11" s="204">
        <f t="shared" si="0"/>
        <v>0.10246053963354487</v>
      </c>
      <c r="F11" s="2">
        <f>C11*B11</f>
        <v>2550</v>
      </c>
      <c r="H11" s="2" t="s">
        <v>80</v>
      </c>
      <c r="J11" s="18">
        <f t="shared" si="1"/>
        <v>0.12919484254188573</v>
      </c>
    </row>
    <row r="12" spans="1:10">
      <c r="A12" s="174" t="s">
        <v>169</v>
      </c>
      <c r="B12" s="5"/>
      <c r="C12" s="28"/>
      <c r="D12" s="119">
        <f>SUM(D4:D11)</f>
        <v>24887.629999999997</v>
      </c>
      <c r="E12" s="205"/>
      <c r="J12" s="18"/>
    </row>
    <row r="13" spans="1:10">
      <c r="A13" s="206" t="s">
        <v>87</v>
      </c>
      <c r="B13" s="31"/>
      <c r="C13" s="32"/>
      <c r="D13" s="200">
        <v>5000</v>
      </c>
      <c r="E13" s="207"/>
      <c r="J13" s="18"/>
    </row>
    <row r="14" spans="1:10">
      <c r="A14" s="174" t="s">
        <v>170</v>
      </c>
      <c r="B14" s="5"/>
      <c r="C14" s="28"/>
      <c r="D14" s="119">
        <v>150</v>
      </c>
      <c r="E14" s="208"/>
      <c r="J14" s="18"/>
    </row>
    <row r="15" spans="1:10" ht="15.75" thickBot="1">
      <c r="A15" s="209" t="s">
        <v>79</v>
      </c>
      <c r="B15" s="210"/>
      <c r="C15" s="211"/>
      <c r="D15" s="212">
        <f>D12-D13-D14</f>
        <v>19737.629999999997</v>
      </c>
      <c r="E15" s="213"/>
    </row>
    <row r="16" spans="1:10">
      <c r="A16" s="2" t="s">
        <v>86</v>
      </c>
      <c r="D16" s="7">
        <f>SUM(D6:D11)-D13</f>
        <v>19455</v>
      </c>
      <c r="E16" s="201"/>
    </row>
  </sheetData>
  <pageMargins left="0.7" right="0.7" top="0.75" bottom="0.75" header="0.3" footer="0.3"/>
  <pageSetup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11167-A3F6-42D4-9804-ECD607F8C4BF}">
  <dimension ref="A1:H41"/>
  <sheetViews>
    <sheetView topLeftCell="A11" zoomScale="70" zoomScaleNormal="70" workbookViewId="0">
      <selection activeCell="K65" sqref="K65"/>
    </sheetView>
  </sheetViews>
  <sheetFormatPr defaultColWidth="9.140625" defaultRowHeight="15"/>
  <cols>
    <col min="1" max="1" width="58.7109375" style="2" bestFit="1" customWidth="1"/>
    <col min="2" max="3" width="13.28515625" style="2" bestFit="1" customWidth="1"/>
    <col min="4" max="5" width="10.5703125" style="2" bestFit="1" customWidth="1"/>
    <col min="6" max="6" width="11.28515625" style="2" bestFit="1" customWidth="1"/>
    <col min="7" max="7" width="13.28515625" style="2" bestFit="1" customWidth="1"/>
    <col min="8" max="16384" width="9.140625" style="2"/>
  </cols>
  <sheetData>
    <row r="1" spans="1:7">
      <c r="B1" s="2">
        <v>1951</v>
      </c>
      <c r="C1" s="2">
        <v>1950</v>
      </c>
      <c r="D1" s="2">
        <v>1949</v>
      </c>
      <c r="E1" s="2">
        <v>1948</v>
      </c>
      <c r="F1" s="2">
        <v>1947</v>
      </c>
      <c r="G1" s="2">
        <v>1946</v>
      </c>
    </row>
    <row r="2" spans="1:7">
      <c r="A2" s="3" t="s">
        <v>38</v>
      </c>
      <c r="B2" s="3">
        <v>2506255</v>
      </c>
      <c r="C2" s="3">
        <v>2048004</v>
      </c>
      <c r="D2" s="3">
        <v>1966873</v>
      </c>
      <c r="E2" s="3">
        <v>2743278</v>
      </c>
      <c r="F2" s="3">
        <v>2847888</v>
      </c>
      <c r="G2" s="3">
        <v>2074832</v>
      </c>
    </row>
    <row r="3" spans="1:7">
      <c r="A3" s="3" t="s">
        <v>39</v>
      </c>
      <c r="B3" s="3"/>
      <c r="C3" s="3"/>
      <c r="D3" s="3"/>
      <c r="E3" s="3"/>
      <c r="F3" s="3"/>
    </row>
    <row r="4" spans="1:7">
      <c r="A4" s="3" t="s">
        <v>40</v>
      </c>
      <c r="B4" s="3">
        <v>7377</v>
      </c>
      <c r="C4" s="3">
        <v>1098</v>
      </c>
      <c r="D4" s="3">
        <v>1258</v>
      </c>
      <c r="E4" s="3">
        <v>671</v>
      </c>
      <c r="F4" s="3">
        <v>1502</v>
      </c>
      <c r="G4" s="3">
        <v>9149</v>
      </c>
    </row>
    <row r="5" spans="1:7">
      <c r="A5" s="3" t="s">
        <v>240</v>
      </c>
      <c r="B5" s="3"/>
      <c r="C5" s="3"/>
      <c r="D5" s="3">
        <v>75298</v>
      </c>
      <c r="E5" s="3"/>
      <c r="F5" s="3"/>
    </row>
    <row r="6" spans="1:7">
      <c r="A6" s="3" t="s">
        <v>41</v>
      </c>
      <c r="B6" s="3">
        <v>1714</v>
      </c>
      <c r="C6" s="3">
        <v>20754</v>
      </c>
      <c r="D6" s="3"/>
      <c r="E6" s="3"/>
      <c r="F6" s="3"/>
    </row>
    <row r="7" spans="1:7">
      <c r="A7" s="6" t="s">
        <v>42</v>
      </c>
      <c r="B7" s="6">
        <v>4180</v>
      </c>
      <c r="C7" s="6">
        <v>9270</v>
      </c>
      <c r="D7" s="6">
        <v>6775</v>
      </c>
      <c r="E7" s="6">
        <v>9449</v>
      </c>
      <c r="F7" s="6">
        <v>11088</v>
      </c>
      <c r="G7" s="6">
        <v>12282</v>
      </c>
    </row>
    <row r="8" spans="1:7">
      <c r="A8" s="3"/>
      <c r="B8" s="3">
        <f t="shared" ref="B8:G8" si="0">SUM(B2:B7)</f>
        <v>2519526</v>
      </c>
      <c r="C8" s="3">
        <f t="shared" si="0"/>
        <v>2079126</v>
      </c>
      <c r="D8" s="3">
        <f t="shared" si="0"/>
        <v>2050204</v>
      </c>
      <c r="E8" s="3">
        <f t="shared" si="0"/>
        <v>2753398</v>
      </c>
      <c r="F8" s="3">
        <f t="shared" si="0"/>
        <v>2860478</v>
      </c>
      <c r="G8" s="3">
        <f t="shared" si="0"/>
        <v>2096263</v>
      </c>
    </row>
    <row r="9" spans="1:7">
      <c r="A9" s="3" t="s">
        <v>43</v>
      </c>
      <c r="B9" s="3"/>
      <c r="C9" s="3"/>
      <c r="D9" s="3"/>
      <c r="E9" s="3"/>
      <c r="F9" s="3"/>
    </row>
    <row r="10" spans="1:7">
      <c r="A10" s="3" t="s">
        <v>44</v>
      </c>
      <c r="B10" s="3">
        <v>1839710</v>
      </c>
      <c r="C10" s="3">
        <v>1650418</v>
      </c>
      <c r="D10" s="3">
        <v>1551281</v>
      </c>
      <c r="E10" s="3">
        <v>1715206</v>
      </c>
      <c r="F10" s="3">
        <v>1614185</v>
      </c>
      <c r="G10" s="3">
        <v>1162521</v>
      </c>
    </row>
    <row r="11" spans="1:7">
      <c r="A11" s="3" t="s">
        <v>45</v>
      </c>
      <c r="B11" s="3">
        <v>50181</v>
      </c>
      <c r="C11" s="3">
        <v>9701</v>
      </c>
      <c r="D11" s="3">
        <v>7438</v>
      </c>
      <c r="E11" s="3">
        <v>3809</v>
      </c>
      <c r="F11" s="3">
        <v>1833</v>
      </c>
      <c r="G11" s="3">
        <v>5793</v>
      </c>
    </row>
    <row r="12" spans="1:7">
      <c r="A12" s="6" t="s">
        <v>42</v>
      </c>
      <c r="B12" s="6">
        <v>569</v>
      </c>
      <c r="C12" s="6">
        <v>1386</v>
      </c>
      <c r="D12" s="6">
        <v>1144</v>
      </c>
      <c r="E12" s="6">
        <v>1419</v>
      </c>
      <c r="F12" s="6">
        <v>8822</v>
      </c>
      <c r="G12" s="6">
        <v>3402</v>
      </c>
    </row>
    <row r="13" spans="1:7">
      <c r="A13" s="3"/>
      <c r="B13" s="3">
        <f t="shared" ref="B13:G13" si="1">SUM(B10:B12)</f>
        <v>1890460</v>
      </c>
      <c r="C13" s="3">
        <f t="shared" si="1"/>
        <v>1661505</v>
      </c>
      <c r="D13" s="3">
        <f t="shared" si="1"/>
        <v>1559863</v>
      </c>
      <c r="E13" s="3">
        <f t="shared" si="1"/>
        <v>1720434</v>
      </c>
      <c r="F13" s="3">
        <f t="shared" si="1"/>
        <v>1624840</v>
      </c>
      <c r="G13" s="3">
        <f t="shared" si="1"/>
        <v>1171716</v>
      </c>
    </row>
    <row r="14" spans="1:7">
      <c r="A14" s="3" t="s">
        <v>46</v>
      </c>
      <c r="B14" s="3">
        <f t="shared" ref="B14:G14" si="2">B8-B13</f>
        <v>629066</v>
      </c>
      <c r="C14" s="3">
        <f t="shared" si="2"/>
        <v>417621</v>
      </c>
      <c r="D14" s="3">
        <f t="shared" si="2"/>
        <v>490341</v>
      </c>
      <c r="E14" s="3">
        <f t="shared" si="2"/>
        <v>1032964</v>
      </c>
      <c r="F14" s="3">
        <f t="shared" si="2"/>
        <v>1235638</v>
      </c>
      <c r="G14" s="3">
        <f t="shared" si="2"/>
        <v>924547</v>
      </c>
    </row>
    <row r="15" spans="1:7">
      <c r="A15" s="3" t="s">
        <v>28</v>
      </c>
      <c r="B15" s="3"/>
      <c r="C15" s="3"/>
      <c r="D15" s="3"/>
      <c r="E15" s="3"/>
      <c r="F15" s="3"/>
    </row>
    <row r="16" spans="1:7">
      <c r="A16" s="3" t="s">
        <v>47</v>
      </c>
      <c r="B16" s="3">
        <v>324000</v>
      </c>
      <c r="C16" s="3">
        <v>160500</v>
      </c>
      <c r="D16" s="3">
        <v>154000</v>
      </c>
      <c r="E16" s="3">
        <v>415000</v>
      </c>
      <c r="F16" s="3">
        <v>500000</v>
      </c>
      <c r="G16" s="3">
        <v>327000</v>
      </c>
    </row>
    <row r="17" spans="1:7">
      <c r="A17" s="3" t="s">
        <v>67</v>
      </c>
      <c r="B17" s="3"/>
      <c r="C17" s="3"/>
      <c r="D17" s="3"/>
      <c r="E17" s="3"/>
      <c r="F17" s="3"/>
      <c r="G17" s="3">
        <v>103000</v>
      </c>
    </row>
    <row r="18" spans="1:7">
      <c r="A18" s="3" t="s">
        <v>48</v>
      </c>
      <c r="B18" s="3">
        <v>7876</v>
      </c>
      <c r="C18" s="3">
        <v>26095</v>
      </c>
      <c r="D18" s="3">
        <v>0</v>
      </c>
      <c r="E18" s="3">
        <v>23313</v>
      </c>
      <c r="F18" s="3">
        <v>7034</v>
      </c>
      <c r="G18" s="3">
        <v>3245</v>
      </c>
    </row>
    <row r="19" spans="1:7">
      <c r="A19" s="6"/>
      <c r="B19" s="6">
        <f>B16-B18</f>
        <v>316124</v>
      </c>
      <c r="C19" s="6">
        <f>C16-C18</f>
        <v>134405</v>
      </c>
      <c r="D19" s="6">
        <f>D16-D18</f>
        <v>154000</v>
      </c>
      <c r="E19" s="6">
        <f>E16-E18</f>
        <v>391687</v>
      </c>
      <c r="F19" s="6">
        <f>F16-F18</f>
        <v>492966</v>
      </c>
      <c r="G19" s="6">
        <f>G16-G18+G17</f>
        <v>426755</v>
      </c>
    </row>
    <row r="20" spans="1:7">
      <c r="A20" s="3" t="s">
        <v>49</v>
      </c>
      <c r="B20" s="3">
        <f t="shared" ref="B20:G20" si="3">B14-B19</f>
        <v>312942</v>
      </c>
      <c r="C20" s="3">
        <f t="shared" si="3"/>
        <v>283216</v>
      </c>
      <c r="D20" s="3">
        <f t="shared" si="3"/>
        <v>336341</v>
      </c>
      <c r="E20" s="3">
        <f t="shared" si="3"/>
        <v>641277</v>
      </c>
      <c r="F20" s="3">
        <f t="shared" si="3"/>
        <v>742672</v>
      </c>
      <c r="G20" s="3">
        <f t="shared" si="3"/>
        <v>497792</v>
      </c>
    </row>
    <row r="21" spans="1:7">
      <c r="A21" s="3"/>
      <c r="B21" s="3"/>
      <c r="C21" s="3"/>
      <c r="D21" s="3"/>
      <c r="E21" s="3"/>
      <c r="F21" s="3"/>
    </row>
    <row r="22" spans="1:7">
      <c r="A22" s="3" t="s">
        <v>50</v>
      </c>
      <c r="B22" s="3">
        <v>87202</v>
      </c>
      <c r="C22" s="3">
        <v>89694</v>
      </c>
      <c r="D22" s="3">
        <v>83863</v>
      </c>
      <c r="E22" s="3">
        <v>62470</v>
      </c>
      <c r="F22" s="3">
        <v>53138</v>
      </c>
      <c r="G22" s="3">
        <v>46966</v>
      </c>
    </row>
    <row r="23" spans="1:7">
      <c r="A23" s="3"/>
      <c r="B23" s="3"/>
      <c r="C23" s="3"/>
      <c r="D23" s="3"/>
      <c r="E23" s="3"/>
      <c r="F23" s="3"/>
    </row>
    <row r="24" spans="1:7">
      <c r="A24" s="3" t="s">
        <v>36</v>
      </c>
      <c r="B24" s="3"/>
      <c r="C24" s="3"/>
      <c r="D24" s="3"/>
      <c r="E24" s="3"/>
      <c r="F24" s="3"/>
    </row>
    <row r="25" spans="1:7">
      <c r="A25" s="3" t="s">
        <v>51</v>
      </c>
      <c r="B25" s="3">
        <v>2699447</v>
      </c>
      <c r="C25" s="3">
        <v>2556231</v>
      </c>
      <c r="D25" s="3">
        <v>2245751</v>
      </c>
      <c r="E25" s="3">
        <v>1953474</v>
      </c>
      <c r="F25" s="3">
        <v>1559802</v>
      </c>
      <c r="G25" s="3">
        <f>1134392</f>
        <v>1134392</v>
      </c>
    </row>
    <row r="26" spans="1:7">
      <c r="A26" s="3" t="s">
        <v>52</v>
      </c>
      <c r="B26" s="3">
        <f>B20</f>
        <v>312942</v>
      </c>
      <c r="C26" s="3">
        <f>C20</f>
        <v>283216</v>
      </c>
      <c r="D26" s="3">
        <f>D20</f>
        <v>336341</v>
      </c>
      <c r="E26" s="3">
        <f>E20</f>
        <v>641277</v>
      </c>
      <c r="F26" s="3">
        <f>F20</f>
        <v>742672</v>
      </c>
      <c r="G26" s="2">
        <v>509299</v>
      </c>
    </row>
    <row r="27" spans="1:7">
      <c r="A27" s="3" t="s">
        <v>58</v>
      </c>
      <c r="B27" s="3"/>
      <c r="C27" s="3"/>
      <c r="D27" s="3">
        <v>156139</v>
      </c>
      <c r="E27" s="3">
        <v>-125000</v>
      </c>
      <c r="F27" s="3">
        <v>-125000</v>
      </c>
    </row>
    <row r="28" spans="1:7">
      <c r="A28" s="3" t="s">
        <v>53</v>
      </c>
      <c r="B28" s="3">
        <v>195811</v>
      </c>
      <c r="C28" s="3">
        <v>0</v>
      </c>
      <c r="D28" s="3"/>
      <c r="E28" s="3"/>
      <c r="F28" s="3"/>
    </row>
    <row r="29" spans="1:7">
      <c r="A29" s="3"/>
      <c r="B29" s="3">
        <f t="shared" ref="B29:G29" si="4">SUM(B25:B28)</f>
        <v>3208200</v>
      </c>
      <c r="C29" s="3">
        <f t="shared" si="4"/>
        <v>2839447</v>
      </c>
      <c r="D29" s="3">
        <f t="shared" si="4"/>
        <v>2738231</v>
      </c>
      <c r="E29" s="3">
        <f t="shared" si="4"/>
        <v>2469751</v>
      </c>
      <c r="F29" s="3">
        <f t="shared" si="4"/>
        <v>2177474</v>
      </c>
      <c r="G29" s="3">
        <f t="shared" si="4"/>
        <v>1643691</v>
      </c>
    </row>
    <row r="30" spans="1:7">
      <c r="A30" s="3" t="s">
        <v>54</v>
      </c>
      <c r="B30" s="3">
        <v>140000</v>
      </c>
      <c r="C30" s="3">
        <v>140000</v>
      </c>
      <c r="D30" s="3">
        <v>182000</v>
      </c>
      <c r="E30" s="3">
        <v>224000</v>
      </c>
      <c r="F30" s="3">
        <v>224000</v>
      </c>
      <c r="G30" s="3">
        <v>83889</v>
      </c>
    </row>
    <row r="31" spans="1:7">
      <c r="A31" s="3"/>
      <c r="B31" s="3">
        <f t="shared" ref="B31:G31" si="5">B29-B30</f>
        <v>3068200</v>
      </c>
      <c r="C31" s="3">
        <f t="shared" si="5"/>
        <v>2699447</v>
      </c>
      <c r="D31" s="3">
        <f t="shared" si="5"/>
        <v>2556231</v>
      </c>
      <c r="E31" s="3">
        <f t="shared" si="5"/>
        <v>2245751</v>
      </c>
      <c r="F31" s="3">
        <f t="shared" si="5"/>
        <v>1953474</v>
      </c>
      <c r="G31" s="3">
        <f t="shared" si="5"/>
        <v>1559802</v>
      </c>
    </row>
    <row r="32" spans="1:7">
      <c r="A32" s="3"/>
      <c r="B32" s="3"/>
      <c r="C32" s="3"/>
      <c r="D32" s="3"/>
      <c r="E32" s="3"/>
      <c r="F32" s="3"/>
    </row>
    <row r="33" spans="1:8">
      <c r="A33" s="3" t="s">
        <v>55</v>
      </c>
      <c r="B33" s="7">
        <v>1</v>
      </c>
      <c r="C33" s="7">
        <v>1</v>
      </c>
      <c r="D33" s="7">
        <v>1.3</v>
      </c>
      <c r="E33" s="7">
        <v>1.6</v>
      </c>
      <c r="F33" s="7">
        <v>1.6</v>
      </c>
      <c r="G33" s="7">
        <v>1</v>
      </c>
    </row>
    <row r="35" spans="1:8">
      <c r="A35" s="2" t="s">
        <v>94</v>
      </c>
      <c r="C35" s="4">
        <f>C2-C10+C22</f>
        <v>487280</v>
      </c>
    </row>
    <row r="36" spans="1:8">
      <c r="A36" s="2" t="s">
        <v>95</v>
      </c>
      <c r="C36" s="4">
        <f>C35-C22</f>
        <v>397586</v>
      </c>
    </row>
    <row r="37" spans="1:8">
      <c r="A37" s="2" t="s">
        <v>96</v>
      </c>
      <c r="C37" s="2">
        <v>51984</v>
      </c>
    </row>
    <row r="38" spans="1:8">
      <c r="C38" s="4">
        <f>C35-C37</f>
        <v>435296</v>
      </c>
    </row>
    <row r="39" spans="1:8">
      <c r="C39" s="8">
        <f>'EV Calc'!B8/'Timely Clothes Income Statement'!C38</f>
        <v>6.6134584282878777</v>
      </c>
    </row>
    <row r="40" spans="1:8">
      <c r="A40" s="2" t="s">
        <v>247</v>
      </c>
      <c r="B40" s="4">
        <f>B2-B10+B22</f>
        <v>753747</v>
      </c>
      <c r="C40" s="4">
        <f t="shared" ref="C40:H40" si="6">C2-C10+C22</f>
        <v>487280</v>
      </c>
      <c r="D40" s="4">
        <f t="shared" si="6"/>
        <v>499455</v>
      </c>
      <c r="E40" s="4">
        <f t="shared" si="6"/>
        <v>1090542</v>
      </c>
      <c r="F40" s="4">
        <f t="shared" si="6"/>
        <v>1286841</v>
      </c>
      <c r="G40" s="4">
        <f t="shared" si="6"/>
        <v>959277</v>
      </c>
      <c r="H40" s="4">
        <f t="shared" si="6"/>
        <v>0</v>
      </c>
    </row>
    <row r="41" spans="1:8">
      <c r="A41" s="2" t="s">
        <v>248</v>
      </c>
      <c r="B41" s="4">
        <f t="shared" ref="B41:G41" si="7">B2-B10</f>
        <v>666545</v>
      </c>
      <c r="C41" s="4">
        <f t="shared" si="7"/>
        <v>397586</v>
      </c>
      <c r="D41" s="4">
        <f t="shared" si="7"/>
        <v>415592</v>
      </c>
      <c r="E41" s="4">
        <f t="shared" si="7"/>
        <v>1028072</v>
      </c>
      <c r="F41" s="4">
        <f t="shared" si="7"/>
        <v>1233703</v>
      </c>
      <c r="G41" s="4">
        <f t="shared" si="7"/>
        <v>912311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21290-E192-4165-B051-15311B2A4B84}">
  <dimension ref="A1:G13"/>
  <sheetViews>
    <sheetView workbookViewId="0">
      <selection activeCell="M38" sqref="M38"/>
    </sheetView>
  </sheetViews>
  <sheetFormatPr defaultRowHeight="15"/>
  <cols>
    <col min="2" max="2" width="13.5703125" bestFit="1" customWidth="1"/>
    <col min="3" max="6" width="12.5703125" bestFit="1" customWidth="1"/>
    <col min="7" max="7" width="10" bestFit="1" customWidth="1"/>
  </cols>
  <sheetData>
    <row r="1" spans="1:7">
      <c r="B1">
        <v>1950</v>
      </c>
      <c r="C1">
        <f>B1-1</f>
        <v>1949</v>
      </c>
      <c r="D1">
        <f>C1-1</f>
        <v>1948</v>
      </c>
      <c r="E1">
        <f>D1-1</f>
        <v>1947</v>
      </c>
      <c r="F1">
        <f>E1-1</f>
        <v>1946</v>
      </c>
    </row>
    <row r="2" spans="1:7">
      <c r="A2" t="s">
        <v>281</v>
      </c>
      <c r="B2" s="1">
        <f>'1950 Balance Sheet'!B12</f>
        <v>3289994</v>
      </c>
      <c r="C2" s="1">
        <f>'1950 Balance Sheet'!C12</f>
        <v>2017320</v>
      </c>
      <c r="D2" s="1">
        <v>3095748</v>
      </c>
      <c r="E2" s="1">
        <v>2700998</v>
      </c>
      <c r="F2" s="1">
        <v>2445500</v>
      </c>
      <c r="G2" s="1"/>
    </row>
    <row r="3" spans="1:7">
      <c r="A3" t="s">
        <v>282</v>
      </c>
      <c r="B3" s="1">
        <f>'Timely Clothes Income Statement'!C2</f>
        <v>2048004</v>
      </c>
      <c r="C3" s="1">
        <f>'Timely Clothes Income Statement'!D2</f>
        <v>1966873</v>
      </c>
      <c r="D3" s="1">
        <f>'Timely Clothes Income Statement'!E2</f>
        <v>2743278</v>
      </c>
      <c r="E3" s="1">
        <f>'Timely Clothes Income Statement'!F2</f>
        <v>2847888</v>
      </c>
      <c r="F3" s="1">
        <f>'Timely Clothes Income Statement'!G2</f>
        <v>2074832</v>
      </c>
      <c r="G3" s="1"/>
    </row>
    <row r="4" spans="1:7">
      <c r="A4" t="s">
        <v>285</v>
      </c>
      <c r="B4">
        <f>B2/B3*365</f>
        <v>586.35032451108498</v>
      </c>
      <c r="C4">
        <f>C2/C3*365</f>
        <v>374.36163900770407</v>
      </c>
      <c r="D4">
        <f>D2/D3*365</f>
        <v>411.89701517673382</v>
      </c>
      <c r="E4">
        <f>E2/E3*365</f>
        <v>346.17382074014142</v>
      </c>
      <c r="F4">
        <f>F2/F3*365</f>
        <v>430.20712038372261</v>
      </c>
    </row>
    <row r="5" spans="1:7">
      <c r="B5">
        <f>B4/C4-1</f>
        <v>0.5662671155764929</v>
      </c>
      <c r="C5">
        <f>C4/D4-1</f>
        <v>-9.1128060621959883E-2</v>
      </c>
    </row>
    <row r="6" spans="1:7">
      <c r="A6" t="s">
        <v>284</v>
      </c>
      <c r="B6" s="11">
        <f>'Bond Stores Balance Sheet'!D10</f>
        <v>22196257.149999999</v>
      </c>
      <c r="C6">
        <v>16773268.91</v>
      </c>
      <c r="D6">
        <v>23553941.579999998</v>
      </c>
      <c r="E6">
        <v>18395355.579999998</v>
      </c>
      <c r="F6">
        <v>15073861.380000001</v>
      </c>
    </row>
    <row r="7" spans="1:7">
      <c r="A7" t="s">
        <v>283</v>
      </c>
      <c r="B7" s="11">
        <f>'Bond Stores Income Statemen (2)'!C2</f>
        <v>76213726.430000007</v>
      </c>
      <c r="C7">
        <v>82886509</v>
      </c>
      <c r="D7">
        <v>84477443</v>
      </c>
      <c r="E7">
        <v>83215404</v>
      </c>
      <c r="F7">
        <v>74589296</v>
      </c>
    </row>
    <row r="8" spans="1:7">
      <c r="A8" t="s">
        <v>285</v>
      </c>
      <c r="B8">
        <f>B6/B7*365</f>
        <v>106.30150550624373</v>
      </c>
      <c r="C8">
        <f>C6/C7*365</f>
        <v>73.862963056508988</v>
      </c>
      <c r="D8">
        <f>D6/D7*365</f>
        <v>101.76904474606314</v>
      </c>
      <c r="E8">
        <f>E6/E7*365</f>
        <v>80.685840168486109</v>
      </c>
      <c r="F8">
        <f>F6/F7*365</f>
        <v>73.763390979048793</v>
      </c>
    </row>
    <row r="9" spans="1:7">
      <c r="B9">
        <f>B8/C8-1</f>
        <v>0.43917196261024039</v>
      </c>
      <c r="C9">
        <f>C8/D8-1</f>
        <v>-0.27420992070021055</v>
      </c>
    </row>
    <row r="10" spans="1:7">
      <c r="A10" t="s">
        <v>286</v>
      </c>
      <c r="B10">
        <f>BS!B9</f>
        <v>19774156</v>
      </c>
      <c r="C10">
        <f>BS!C9</f>
        <v>15478216</v>
      </c>
    </row>
    <row r="11" spans="1:7">
      <c r="A11" t="s">
        <v>287</v>
      </c>
      <c r="B11">
        <f>IS!B2</f>
        <v>59257388</v>
      </c>
      <c r="C11">
        <f>IS!C2</f>
        <v>57773088</v>
      </c>
    </row>
    <row r="12" spans="1:7">
      <c r="B12">
        <f>B10/B11*365</f>
        <v>121.80028826110255</v>
      </c>
      <c r="C12">
        <f>C10/C11*365</f>
        <v>97.788590424662772</v>
      </c>
    </row>
    <row r="13" spans="1:7">
      <c r="B13">
        <f>B12/C12-1</f>
        <v>0.24554702887284807</v>
      </c>
      <c r="C13" t="e">
        <f>C12/D12-1</f>
        <v>#DIV/0!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D55E9-F530-4E43-ABEB-B33F26103850}">
  <dimension ref="A1:U121"/>
  <sheetViews>
    <sheetView showGridLines="0" topLeftCell="A30" workbookViewId="0">
      <selection activeCell="L77" sqref="L77"/>
    </sheetView>
  </sheetViews>
  <sheetFormatPr defaultColWidth="9.140625" defaultRowHeight="15" outlineLevelRow="1" outlineLevelCol="1"/>
  <cols>
    <col min="1" max="1" width="38" style="2" customWidth="1"/>
    <col min="2" max="4" width="11" style="2" hidden="1" customWidth="1" outlineLevel="1"/>
    <col min="5" max="5" width="13.5703125" style="2" hidden="1" customWidth="1" outlineLevel="1"/>
    <col min="6" max="6" width="6.5703125" style="2" hidden="1" customWidth="1" outlineLevel="1"/>
    <col min="7" max="7" width="11.28515625" style="2" customWidth="1" collapsed="1"/>
    <col min="8" max="11" width="11.28515625" style="2" customWidth="1"/>
    <col min="12" max="21" width="8.7109375" customWidth="1"/>
    <col min="22" max="16384" width="9.140625" style="2"/>
  </cols>
  <sheetData>
    <row r="1" spans="1:21">
      <c r="A1" s="167" t="s">
        <v>75</v>
      </c>
      <c r="G1" s="168"/>
      <c r="H1" s="168"/>
      <c r="I1" s="168"/>
      <c r="J1" s="168"/>
      <c r="K1" s="169"/>
    </row>
    <row r="2" spans="1:21">
      <c r="A2" s="170"/>
      <c r="B2" s="2">
        <f>C2-1</f>
        <v>1941</v>
      </c>
      <c r="C2" s="2">
        <f>D2-1</f>
        <v>1942</v>
      </c>
      <c r="D2" s="2">
        <f>E2-1</f>
        <v>1943</v>
      </c>
      <c r="E2" s="2">
        <f>F2-1</f>
        <v>1944</v>
      </c>
      <c r="F2" s="2">
        <f>G2-1</f>
        <v>1945</v>
      </c>
      <c r="G2" s="163">
        <f>'Timely Clothes Income Statement'!G1</f>
        <v>1946</v>
      </c>
      <c r="H2" s="163">
        <f>'Timely Clothes Income Statement'!F1</f>
        <v>1947</v>
      </c>
      <c r="I2" s="163">
        <f>'Timely Clothes Income Statement'!E1</f>
        <v>1948</v>
      </c>
      <c r="J2" s="163">
        <f>'Timely Clothes Income Statement'!D1</f>
        <v>1949</v>
      </c>
      <c r="K2" s="171">
        <f>'Timely Clothes Income Statement'!C1</f>
        <v>1950</v>
      </c>
    </row>
    <row r="3" spans="1:21">
      <c r="A3" s="134" t="s">
        <v>462</v>
      </c>
      <c r="B3" s="3">
        <v>4672300</v>
      </c>
      <c r="C3" s="3">
        <v>5408184</v>
      </c>
      <c r="D3" s="3">
        <v>5796039</v>
      </c>
      <c r="E3" s="3">
        <v>6343189</v>
      </c>
      <c r="F3" s="3">
        <v>6505345</v>
      </c>
      <c r="G3" s="193">
        <v>8500958</v>
      </c>
      <c r="H3" s="193">
        <v>12085762</v>
      </c>
      <c r="I3" s="193">
        <v>13843531</v>
      </c>
      <c r="J3" s="193">
        <v>10503468</v>
      </c>
      <c r="K3" s="194">
        <v>10739139</v>
      </c>
    </row>
    <row r="4" spans="1:21" s="179" customFormat="1">
      <c r="A4" s="178" t="s">
        <v>464</v>
      </c>
      <c r="G4" s="180">
        <f>G3/F3-1</f>
        <v>0.3067651292898379</v>
      </c>
      <c r="H4" s="180">
        <f>H3/G3-1</f>
        <v>0.42169411965098513</v>
      </c>
      <c r="I4" s="180">
        <f>I3/H3-1</f>
        <v>0.14544130523172649</v>
      </c>
      <c r="J4" s="180">
        <f>J3/I3-1</f>
        <v>-0.24127247593117684</v>
      </c>
      <c r="K4" s="181">
        <f>K3/J3-1</f>
        <v>2.2437446374854453E-2</v>
      </c>
      <c r="L4" s="182"/>
      <c r="M4" s="182"/>
      <c r="N4" s="182"/>
      <c r="O4" s="182"/>
      <c r="P4" s="182"/>
      <c r="Q4" s="182"/>
      <c r="R4" s="182"/>
      <c r="S4" s="182"/>
      <c r="T4" s="182"/>
      <c r="U4" s="182"/>
    </row>
    <row r="5" spans="1:21">
      <c r="A5" s="134" t="s">
        <v>247</v>
      </c>
      <c r="B5" s="3"/>
      <c r="C5" s="3"/>
      <c r="D5" s="3"/>
      <c r="E5" s="3"/>
      <c r="F5" s="3"/>
      <c r="G5" s="193">
        <f>'Timely Clothes Income Statement'!G2</f>
        <v>2074832</v>
      </c>
      <c r="H5" s="193">
        <f>'Timely Clothes Income Statement'!F2</f>
        <v>2847888</v>
      </c>
      <c r="I5" s="193">
        <f>'Timely Clothes Income Statement'!E2</f>
        <v>2743278</v>
      </c>
      <c r="J5" s="193">
        <f>'Timely Clothes Income Statement'!D2</f>
        <v>1966873</v>
      </c>
      <c r="K5" s="194">
        <f>'Timely Clothes Income Statement'!C2</f>
        <v>2048004</v>
      </c>
    </row>
    <row r="6" spans="1:21" s="179" customFormat="1">
      <c r="A6" s="178" t="s">
        <v>250</v>
      </c>
      <c r="G6" s="180">
        <f>G5/G3</f>
        <v>0.24407037418606231</v>
      </c>
      <c r="H6" s="180">
        <f>H5/H3</f>
        <v>0.2356399207596509</v>
      </c>
      <c r="I6" s="180">
        <f>I5/I3</f>
        <v>0.19816317094244235</v>
      </c>
      <c r="J6" s="180">
        <f>J5/J3</f>
        <v>0.18725938899418745</v>
      </c>
      <c r="K6" s="181">
        <f>K5/K3</f>
        <v>0.19070467381044234</v>
      </c>
      <c r="L6" s="182"/>
      <c r="M6" s="182"/>
      <c r="N6" s="182"/>
      <c r="O6" s="182"/>
      <c r="P6" s="182"/>
      <c r="Q6" s="182"/>
      <c r="R6" s="182"/>
      <c r="S6" s="182"/>
      <c r="T6" s="182"/>
      <c r="U6" s="182"/>
    </row>
    <row r="7" spans="1:21">
      <c r="A7" s="134" t="s">
        <v>248</v>
      </c>
      <c r="B7" s="3"/>
      <c r="C7" s="3"/>
      <c r="D7" s="3"/>
      <c r="E7" s="3"/>
      <c r="F7" s="3"/>
      <c r="G7" s="193">
        <f>'Timely Clothes Income Statement'!G41</f>
        <v>912311</v>
      </c>
      <c r="H7" s="193">
        <f>'Timely Clothes Income Statement'!F41</f>
        <v>1233703</v>
      </c>
      <c r="I7" s="193">
        <f>'Timely Clothes Income Statement'!E41</f>
        <v>1028072</v>
      </c>
      <c r="J7" s="193">
        <f>'Timely Clothes Income Statement'!D41</f>
        <v>415592</v>
      </c>
      <c r="K7" s="194">
        <f>'Timely Clothes Income Statement'!C41</f>
        <v>397586</v>
      </c>
      <c r="L7" s="199"/>
    </row>
    <row r="8" spans="1:21" s="179" customFormat="1">
      <c r="A8" s="178" t="s">
        <v>251</v>
      </c>
      <c r="G8" s="180">
        <f>G7/G3</f>
        <v>0.10731861044367</v>
      </c>
      <c r="H8" s="180">
        <f>H7/H3</f>
        <v>0.10207904143735413</v>
      </c>
      <c r="I8" s="180">
        <f>I7/I3</f>
        <v>7.4263712054388434E-2</v>
      </c>
      <c r="J8" s="180">
        <f>J7/J3</f>
        <v>3.9567122021031527E-2</v>
      </c>
      <c r="K8" s="181">
        <f>K7/K3</f>
        <v>3.7022148609865281E-2</v>
      </c>
      <c r="L8" s="182"/>
      <c r="M8" s="182"/>
      <c r="N8" s="182"/>
      <c r="O8" s="182"/>
      <c r="P8" s="182"/>
      <c r="Q8" s="182"/>
      <c r="R8" s="182"/>
      <c r="S8" s="182"/>
      <c r="T8" s="182"/>
      <c r="U8" s="182"/>
    </row>
    <row r="9" spans="1:21">
      <c r="A9" s="134" t="s">
        <v>246</v>
      </c>
      <c r="B9" s="3">
        <v>120836</v>
      </c>
      <c r="C9" s="3">
        <v>136806</v>
      </c>
      <c r="D9" s="3">
        <v>144807</v>
      </c>
      <c r="E9" s="3">
        <v>172211</v>
      </c>
      <c r="F9" s="3">
        <v>189891</v>
      </c>
      <c r="G9" s="193">
        <v>497792</v>
      </c>
      <c r="H9" s="193">
        <v>617672</v>
      </c>
      <c r="I9" s="193">
        <v>641277</v>
      </c>
      <c r="J9" s="193">
        <v>336341</v>
      </c>
      <c r="K9" s="194">
        <v>283216</v>
      </c>
    </row>
    <row r="10" spans="1:21" s="179" customFormat="1">
      <c r="A10" s="183" t="s">
        <v>252</v>
      </c>
      <c r="B10" s="184">
        <f t="shared" ref="B10:J10" si="0">B9/B3</f>
        <v>2.5862209190334523E-2</v>
      </c>
      <c r="C10" s="184">
        <f t="shared" si="0"/>
        <v>2.5296106789266047E-2</v>
      </c>
      <c r="D10" s="184">
        <f t="shared" si="0"/>
        <v>2.4983786340982177E-2</v>
      </c>
      <c r="E10" s="184">
        <f t="shared" si="0"/>
        <v>2.7148962454058991E-2</v>
      </c>
      <c r="F10" s="184">
        <f t="shared" si="0"/>
        <v>2.9189996841059159E-2</v>
      </c>
      <c r="G10" s="184">
        <f t="shared" si="0"/>
        <v>5.855716496893644E-2</v>
      </c>
      <c r="H10" s="184">
        <f t="shared" si="0"/>
        <v>5.1107410521570751E-2</v>
      </c>
      <c r="I10" s="184">
        <f t="shared" si="0"/>
        <v>4.6323224905553358E-2</v>
      </c>
      <c r="J10" s="184">
        <f t="shared" si="0"/>
        <v>3.2021899814423195E-2</v>
      </c>
      <c r="K10" s="185">
        <f>K9/K3</f>
        <v>2.6372319047178735E-2</v>
      </c>
      <c r="L10" s="182"/>
      <c r="M10" s="182"/>
      <c r="N10" s="182"/>
      <c r="O10" s="182"/>
      <c r="P10" s="182"/>
      <c r="Q10" s="182"/>
      <c r="R10" s="182"/>
      <c r="S10" s="182"/>
      <c r="T10" s="182"/>
      <c r="U10" s="182"/>
    </row>
    <row r="11" spans="1:21">
      <c r="A11" s="134"/>
      <c r="B11" s="57"/>
      <c r="C11" s="57"/>
      <c r="D11" s="57"/>
      <c r="E11" s="57"/>
      <c r="F11" s="57"/>
      <c r="G11" s="68"/>
      <c r="H11" s="68"/>
      <c r="I11" s="68"/>
      <c r="J11" s="68"/>
      <c r="K11" s="173"/>
      <c r="L11" s="2"/>
      <c r="M11" s="2"/>
      <c r="N11" s="2"/>
      <c r="O11" s="2"/>
      <c r="P11" s="2"/>
      <c r="Q11" s="2"/>
      <c r="R11" s="2"/>
      <c r="S11" s="2"/>
      <c r="T11" s="2"/>
      <c r="U11" s="2"/>
    </row>
    <row r="12" spans="1:21">
      <c r="A12" s="134" t="s">
        <v>265</v>
      </c>
      <c r="B12" s="57"/>
      <c r="C12" s="57"/>
      <c r="D12" s="57"/>
      <c r="E12" s="57"/>
      <c r="F12" s="57"/>
      <c r="G12" s="193">
        <f>'Timely Clothes Six Year BS'!G14</f>
        <v>3627210</v>
      </c>
      <c r="H12" s="193">
        <f>'Timely Clothes Six Year BS'!F14</f>
        <v>4193699</v>
      </c>
      <c r="I12" s="193">
        <f>'Timely Clothes Six Year BS'!E14</f>
        <v>5087958</v>
      </c>
      <c r="J12" s="193">
        <f>'Timely Clothes Six Year BS'!D14</f>
        <v>4098563</v>
      </c>
      <c r="K12" s="194">
        <f>'Timely Clothes Six Year BS'!C14</f>
        <v>5705462</v>
      </c>
      <c r="L12" s="2"/>
      <c r="M12" s="2"/>
      <c r="N12" s="2"/>
      <c r="O12" s="2"/>
      <c r="P12" s="2"/>
      <c r="Q12" s="2"/>
      <c r="R12" s="2"/>
      <c r="S12" s="2"/>
      <c r="T12" s="2"/>
      <c r="U12" s="2"/>
    </row>
    <row r="13" spans="1:21">
      <c r="A13" s="174" t="s">
        <v>416</v>
      </c>
      <c r="B13" s="57"/>
      <c r="C13" s="57"/>
      <c r="D13" s="57"/>
      <c r="E13" s="57"/>
      <c r="F13" s="57"/>
      <c r="G13" s="195">
        <f>'Timely Clothes Six Year BS'!G46</f>
        <v>1146054</v>
      </c>
      <c r="H13" s="195">
        <f>'Timely Clothes Six Year BS'!F46</f>
        <v>1251636</v>
      </c>
      <c r="I13" s="195">
        <f>'Timely Clothes Six Year BS'!E46</f>
        <v>2014336</v>
      </c>
      <c r="J13" s="195">
        <f>'Timely Clothes Six Year BS'!D46</f>
        <v>1014308</v>
      </c>
      <c r="K13" s="196">
        <f>'Timely Clothes Six Year BS'!C46</f>
        <v>2447056</v>
      </c>
      <c r="L13" s="2"/>
      <c r="M13" s="2"/>
      <c r="N13" s="2"/>
      <c r="O13" s="2"/>
      <c r="P13" s="2"/>
      <c r="Q13" s="2"/>
      <c r="R13" s="2"/>
      <c r="S13" s="2"/>
      <c r="T13" s="2"/>
      <c r="U13" s="2"/>
    </row>
    <row r="14" spans="1:21">
      <c r="A14" s="134" t="s">
        <v>463</v>
      </c>
      <c r="B14" s="57"/>
      <c r="C14" s="57"/>
      <c r="D14" s="57"/>
      <c r="E14" s="57"/>
      <c r="F14" s="57"/>
      <c r="G14" s="193">
        <f>G12-G13</f>
        <v>2481156</v>
      </c>
      <c r="H14" s="193">
        <f>H12-H13</f>
        <v>2942063</v>
      </c>
      <c r="I14" s="193">
        <f>I12-I13</f>
        <v>3073622</v>
      </c>
      <c r="J14" s="193">
        <f>J12-J13</f>
        <v>3084255</v>
      </c>
      <c r="K14" s="194">
        <f>K12-K13</f>
        <v>3258406</v>
      </c>
      <c r="L14" s="2"/>
      <c r="M14" s="2"/>
      <c r="N14" s="2"/>
      <c r="O14" s="2"/>
      <c r="P14" s="2"/>
      <c r="Q14" s="2"/>
      <c r="R14" s="2"/>
      <c r="S14" s="2"/>
      <c r="T14" s="2"/>
      <c r="U14" s="2"/>
    </row>
    <row r="15" spans="1:21">
      <c r="A15" s="134"/>
      <c r="B15" s="57"/>
      <c r="C15" s="57"/>
      <c r="D15" s="57"/>
      <c r="E15" s="57"/>
      <c r="F15" s="57"/>
      <c r="G15" s="67"/>
      <c r="H15" s="67"/>
      <c r="I15" s="67"/>
      <c r="J15" s="67"/>
      <c r="K15" s="172"/>
      <c r="L15" s="2"/>
      <c r="M15" s="2"/>
      <c r="N15" s="2"/>
      <c r="O15" s="2"/>
      <c r="P15" s="2"/>
      <c r="Q15" s="2"/>
      <c r="R15" s="2"/>
      <c r="S15" s="2"/>
      <c r="T15" s="2"/>
      <c r="U15" s="2"/>
    </row>
    <row r="16" spans="1:21">
      <c r="A16" s="134" t="s">
        <v>382</v>
      </c>
      <c r="B16" s="57"/>
      <c r="C16" s="57"/>
      <c r="D16" s="57"/>
      <c r="E16" s="57"/>
      <c r="F16" s="57"/>
      <c r="G16" s="193">
        <f>'Timely Clothes Six Year BS'!G32</f>
        <v>4306145</v>
      </c>
      <c r="H16" s="193">
        <f>'Timely Clothes Six Year BS'!F32</f>
        <v>4935828</v>
      </c>
      <c r="I16" s="193">
        <f>'Timely Clothes Six Year BS'!E32</f>
        <v>6011457</v>
      </c>
      <c r="J16" s="193">
        <f>'Timely Clothes Six Year BS'!D32</f>
        <v>5163520</v>
      </c>
      <c r="K16" s="194">
        <f>'Timely Clothes Six Year BS'!C32</f>
        <v>6742314</v>
      </c>
      <c r="L16" s="2"/>
      <c r="M16" s="2"/>
      <c r="N16" s="2"/>
      <c r="O16" s="2"/>
      <c r="P16" s="2"/>
      <c r="Q16" s="2"/>
      <c r="R16" s="2"/>
      <c r="S16" s="2"/>
      <c r="T16" s="2"/>
      <c r="U16" s="2"/>
    </row>
    <row r="17" spans="1:21">
      <c r="A17" s="174" t="s">
        <v>418</v>
      </c>
      <c r="B17" s="162"/>
      <c r="C17" s="162"/>
      <c r="D17" s="162"/>
      <c r="E17" s="162"/>
      <c r="F17" s="162"/>
      <c r="G17" s="195">
        <f>SUM('Timely Clothes Six Year BS'!G52)+G13</f>
        <v>1346343</v>
      </c>
      <c r="H17" s="195">
        <f>SUM('Timely Clothes Six Year BS'!F52)+H13</f>
        <v>1582354</v>
      </c>
      <c r="I17" s="195">
        <f>SUM('Timely Clothes Six Year BS'!E52)+I13</f>
        <v>2365706</v>
      </c>
      <c r="J17" s="195">
        <f>SUM('Timely Clothes Six Year BS'!D52)+J13</f>
        <v>1207289</v>
      </c>
      <c r="K17" s="196">
        <f>SUM('Timely Clothes Six Year BS'!C52)+K13</f>
        <v>2642867</v>
      </c>
      <c r="L17" s="2"/>
      <c r="M17" s="2"/>
      <c r="N17" s="2"/>
      <c r="O17" s="2"/>
      <c r="P17" s="2"/>
      <c r="Q17" s="2"/>
      <c r="R17" s="2"/>
      <c r="S17" s="2"/>
      <c r="T17" s="2"/>
      <c r="U17" s="2"/>
    </row>
    <row r="18" spans="1:21" ht="15.75" thickBot="1">
      <c r="A18" s="135" t="s">
        <v>417</v>
      </c>
      <c r="B18" s="57"/>
      <c r="C18" s="57"/>
      <c r="D18" s="57"/>
      <c r="E18" s="57"/>
      <c r="F18" s="57"/>
      <c r="G18" s="197">
        <f>'Timely Clothes Six Year BS'!G57</f>
        <v>2959802</v>
      </c>
      <c r="H18" s="197">
        <f>'Timely Clothes Six Year BS'!F57</f>
        <v>3353474</v>
      </c>
      <c r="I18" s="197">
        <f>'Timely Clothes Six Year BS'!E57</f>
        <v>3645751</v>
      </c>
      <c r="J18" s="197">
        <f>'Timely Clothes Six Year BS'!D57</f>
        <v>3956231</v>
      </c>
      <c r="K18" s="198">
        <f>'Timely Clothes Six Year BS'!C57</f>
        <v>4099447</v>
      </c>
      <c r="L18" s="2"/>
      <c r="M18" s="2"/>
      <c r="N18" s="2"/>
      <c r="O18" s="2"/>
      <c r="P18" s="2"/>
      <c r="Q18" s="2"/>
      <c r="R18" s="2"/>
      <c r="S18" s="2"/>
      <c r="T18" s="2"/>
      <c r="U18" s="2"/>
    </row>
    <row r="19" spans="1:21" hidden="1" outlineLevel="1">
      <c r="B19" s="57"/>
      <c r="C19" s="57"/>
      <c r="D19" s="57"/>
      <c r="E19" s="57"/>
      <c r="F19" s="57"/>
      <c r="G19" s="3">
        <f>G16-G17</f>
        <v>2959802</v>
      </c>
      <c r="H19" s="7">
        <f>H16-H17</f>
        <v>3353474</v>
      </c>
      <c r="I19" s="3">
        <f>I16-I17</f>
        <v>3645751</v>
      </c>
      <c r="J19" s="3">
        <f>J16-J17</f>
        <v>3956231</v>
      </c>
      <c r="K19" s="3">
        <f>K16-K17</f>
        <v>4099447</v>
      </c>
      <c r="L19" s="2"/>
      <c r="M19" s="2"/>
      <c r="N19" s="2"/>
      <c r="O19" s="2"/>
      <c r="P19" s="2"/>
      <c r="Q19" s="2"/>
      <c r="R19" s="2"/>
      <c r="S19" s="2"/>
      <c r="T19" s="2"/>
      <c r="U19" s="2"/>
    </row>
    <row r="20" spans="1:21" hidden="1" outlineLevel="1">
      <c r="B20" s="57"/>
      <c r="C20" s="57"/>
      <c r="D20" s="57"/>
      <c r="E20" s="57"/>
      <c r="F20" s="57"/>
      <c r="G20" s="3" t="b">
        <f>G19=G18</f>
        <v>1</v>
      </c>
      <c r="H20" s="3" t="b">
        <f>H19=H18</f>
        <v>1</v>
      </c>
      <c r="I20" s="3" t="b">
        <f>I19=I18</f>
        <v>1</v>
      </c>
      <c r="J20" s="3" t="b">
        <f>J19=J18</f>
        <v>1</v>
      </c>
      <c r="K20" s="3" t="b">
        <f>K19=K18</f>
        <v>1</v>
      </c>
      <c r="L20" s="2"/>
      <c r="M20" s="2"/>
      <c r="N20" s="2"/>
      <c r="O20" s="2"/>
      <c r="P20" s="2"/>
      <c r="Q20" s="2"/>
      <c r="R20" s="2"/>
      <c r="S20" s="2"/>
      <c r="T20" s="2"/>
      <c r="U20" s="2"/>
    </row>
    <row r="21" spans="1:21" hidden="1" outlineLevel="1">
      <c r="A21" s="2" t="s">
        <v>439</v>
      </c>
      <c r="B21" s="57"/>
      <c r="C21" s="57"/>
      <c r="D21" s="57"/>
      <c r="E21" s="57"/>
      <c r="F21" s="57"/>
      <c r="G21" s="3" t="s">
        <v>447</v>
      </c>
      <c r="H21" s="3" t="s">
        <v>446</v>
      </c>
      <c r="I21" s="3" t="s">
        <v>445</v>
      </c>
      <c r="J21" s="3" t="s">
        <v>441</v>
      </c>
      <c r="K21" s="3" t="s">
        <v>441</v>
      </c>
      <c r="L21" s="2"/>
      <c r="M21" s="2"/>
      <c r="N21" s="2"/>
      <c r="O21" s="2"/>
      <c r="P21" s="2"/>
      <c r="Q21" s="2"/>
      <c r="R21" s="2"/>
      <c r="S21" s="2"/>
      <c r="T21" s="2"/>
      <c r="U21" s="2"/>
    </row>
    <row r="22" spans="1:21" hidden="1" outlineLevel="1">
      <c r="A22" s="2" t="s">
        <v>440</v>
      </c>
      <c r="B22" s="57"/>
      <c r="C22" s="57"/>
      <c r="D22" s="57"/>
      <c r="E22" s="57"/>
      <c r="F22" s="57"/>
      <c r="G22" s="3" t="s">
        <v>442</v>
      </c>
      <c r="H22" s="3" t="s">
        <v>442</v>
      </c>
      <c r="I22" s="3" t="s">
        <v>442</v>
      </c>
      <c r="J22" s="3" t="s">
        <v>442</v>
      </c>
      <c r="K22" s="3" t="s">
        <v>442</v>
      </c>
      <c r="L22" s="2"/>
      <c r="M22" s="2"/>
      <c r="N22" s="2"/>
      <c r="O22" s="2"/>
      <c r="P22" s="2"/>
      <c r="Q22" s="2"/>
      <c r="R22" s="2"/>
      <c r="S22" s="2"/>
      <c r="T22" s="2"/>
      <c r="U22" s="2"/>
    </row>
    <row r="23" spans="1:21" hidden="1" outlineLevel="1">
      <c r="B23" s="57"/>
      <c r="C23" s="57"/>
      <c r="D23" s="57"/>
      <c r="E23" s="57"/>
      <c r="F23" s="57"/>
      <c r="G23" s="3"/>
      <c r="H23" s="3"/>
      <c r="I23" s="3"/>
      <c r="J23" s="3" t="s">
        <v>443</v>
      </c>
      <c r="K23" s="3"/>
      <c r="L23" s="2"/>
      <c r="M23" s="2"/>
      <c r="N23" s="2"/>
      <c r="O23" s="2"/>
      <c r="P23" s="2"/>
      <c r="Q23" s="2"/>
      <c r="R23" s="2"/>
      <c r="S23" s="2"/>
      <c r="T23" s="2"/>
      <c r="U23" s="2"/>
    </row>
    <row r="24" spans="1:21" hidden="1" outlineLevel="1">
      <c r="A24" s="2" t="s">
        <v>444</v>
      </c>
      <c r="B24" s="57"/>
      <c r="C24" s="57"/>
      <c r="D24" s="57"/>
      <c r="E24" s="57"/>
      <c r="F24" s="57"/>
      <c r="G24" s="3">
        <v>17650</v>
      </c>
      <c r="H24" s="3">
        <v>38242</v>
      </c>
      <c r="I24" s="3">
        <v>35095</v>
      </c>
      <c r="J24" s="3">
        <v>49686</v>
      </c>
      <c r="K24" s="3"/>
      <c r="L24" s="2"/>
      <c r="M24" s="2"/>
      <c r="N24" s="2"/>
      <c r="O24" s="2"/>
      <c r="P24" s="2"/>
      <c r="Q24" s="2"/>
      <c r="R24" s="2"/>
      <c r="S24" s="2"/>
      <c r="T24" s="2"/>
      <c r="U24" s="2"/>
    </row>
    <row r="25" spans="1:21" hidden="1" outlineLevel="1">
      <c r="A25" s="2" t="s">
        <v>448</v>
      </c>
      <c r="B25" s="57"/>
      <c r="C25" s="57"/>
      <c r="D25" s="57"/>
      <c r="E25" s="57"/>
      <c r="F25" s="57"/>
      <c r="G25" s="3"/>
      <c r="H25" s="3"/>
      <c r="I25" s="3"/>
      <c r="J25" s="3"/>
      <c r="K25" s="3"/>
      <c r="L25" s="2"/>
      <c r="M25" s="2"/>
      <c r="N25" s="2"/>
      <c r="O25" s="2"/>
      <c r="P25" s="2"/>
      <c r="Q25" s="2"/>
      <c r="R25" s="2"/>
      <c r="S25" s="2"/>
      <c r="T25" s="2"/>
      <c r="U25" s="2"/>
    </row>
    <row r="26" spans="1:21" ht="15.75" collapsed="1" thickBot="1">
      <c r="B26" s="57"/>
      <c r="C26" s="57"/>
      <c r="D26" s="57"/>
      <c r="E26" s="57"/>
      <c r="F26" s="57"/>
      <c r="G26" s="57"/>
      <c r="H26" s="57"/>
      <c r="I26" s="57"/>
      <c r="J26" s="57"/>
      <c r="K26" s="57"/>
      <c r="L26" s="2"/>
      <c r="M26" s="2"/>
      <c r="N26" s="2"/>
      <c r="O26" s="2"/>
      <c r="P26" s="2"/>
      <c r="Q26" s="2"/>
      <c r="R26" s="2"/>
      <c r="S26" s="2"/>
      <c r="T26" s="2"/>
      <c r="U26" s="2"/>
    </row>
    <row r="27" spans="1:21">
      <c r="A27" s="167" t="s">
        <v>259</v>
      </c>
      <c r="B27" s="57"/>
      <c r="C27" s="57"/>
      <c r="D27" s="57"/>
      <c r="E27" s="57"/>
      <c r="F27" s="57"/>
      <c r="G27" s="168"/>
      <c r="H27" s="168"/>
      <c r="I27" s="168"/>
      <c r="J27" s="168"/>
      <c r="K27" s="169"/>
      <c r="L27" s="2"/>
      <c r="M27" s="2"/>
      <c r="N27" s="2"/>
      <c r="O27" s="2"/>
      <c r="P27" s="2"/>
      <c r="Q27" s="2"/>
      <c r="R27" s="2"/>
      <c r="S27" s="2"/>
      <c r="T27" s="2"/>
      <c r="U27" s="2"/>
    </row>
    <row r="28" spans="1:21">
      <c r="A28" s="170"/>
      <c r="B28" s="57"/>
      <c r="C28" s="57"/>
      <c r="D28" s="57"/>
      <c r="E28" s="57"/>
      <c r="F28" s="57"/>
      <c r="G28" s="163">
        <f>G2</f>
        <v>1946</v>
      </c>
      <c r="H28" s="163">
        <f>H2</f>
        <v>1947</v>
      </c>
      <c r="I28" s="163">
        <f>I2</f>
        <v>1948</v>
      </c>
      <c r="J28" s="163">
        <f>J2</f>
        <v>1949</v>
      </c>
      <c r="K28" s="171">
        <f>K2</f>
        <v>1950</v>
      </c>
      <c r="L28" s="2"/>
      <c r="M28" s="2"/>
      <c r="N28" s="2"/>
      <c r="O28" s="2"/>
      <c r="P28" s="2"/>
      <c r="Q28" s="2"/>
      <c r="R28" s="2"/>
      <c r="S28" s="2"/>
      <c r="T28" s="2"/>
      <c r="U28" s="2"/>
    </row>
    <row r="29" spans="1:21">
      <c r="A29" s="134" t="s">
        <v>247</v>
      </c>
      <c r="B29" s="3">
        <v>696946</v>
      </c>
      <c r="C29" s="3">
        <v>931193</v>
      </c>
      <c r="D29" s="3">
        <v>1116533</v>
      </c>
      <c r="E29" s="3">
        <v>1023401</v>
      </c>
      <c r="F29" s="3">
        <v>937862</v>
      </c>
      <c r="G29" s="193">
        <v>1509812</v>
      </c>
      <c r="H29" s="193">
        <v>1536224</v>
      </c>
      <c r="I29" s="193">
        <v>1331687</v>
      </c>
      <c r="J29" s="193">
        <v>468020</v>
      </c>
      <c r="K29" s="194">
        <v>987982</v>
      </c>
      <c r="L29" s="2"/>
      <c r="M29" s="2"/>
      <c r="N29" s="2"/>
      <c r="O29" s="2"/>
      <c r="P29" s="2"/>
      <c r="Q29" s="2"/>
      <c r="R29" s="2"/>
      <c r="S29" s="2"/>
      <c r="T29" s="2"/>
      <c r="U29" s="2"/>
    </row>
    <row r="30" spans="1:21" s="160" customFormat="1">
      <c r="A30" s="134" t="s">
        <v>248</v>
      </c>
      <c r="B30" s="161"/>
      <c r="C30" s="161"/>
      <c r="D30" s="161"/>
      <c r="E30" s="161"/>
      <c r="F30" s="161"/>
      <c r="G30" s="193">
        <v>830853</v>
      </c>
      <c r="H30" s="193">
        <v>686684</v>
      </c>
      <c r="I30" s="193">
        <v>388381</v>
      </c>
      <c r="J30" s="193">
        <v>-355191</v>
      </c>
      <c r="K30" s="194">
        <v>169543.8</v>
      </c>
    </row>
    <row r="31" spans="1:21">
      <c r="A31" s="174" t="s">
        <v>246</v>
      </c>
      <c r="B31" s="6">
        <v>44866</v>
      </c>
      <c r="C31" s="6">
        <v>237283</v>
      </c>
      <c r="D31" s="6">
        <v>246162</v>
      </c>
      <c r="E31" s="6">
        <v>96739</v>
      </c>
      <c r="F31" s="6">
        <v>115448</v>
      </c>
      <c r="G31" s="195">
        <v>446091</v>
      </c>
      <c r="H31" s="195">
        <v>526017</v>
      </c>
      <c r="I31" s="195">
        <v>335955</v>
      </c>
      <c r="J31" s="195">
        <v>-271509</v>
      </c>
      <c r="K31" s="196">
        <v>103892</v>
      </c>
      <c r="L31" s="2"/>
      <c r="M31" s="2"/>
      <c r="N31" s="2"/>
      <c r="O31" s="2"/>
      <c r="P31" s="2"/>
      <c r="Q31" s="2"/>
      <c r="R31" s="2"/>
      <c r="S31" s="2"/>
      <c r="T31" s="2"/>
      <c r="U31" s="2"/>
    </row>
    <row r="32" spans="1:21">
      <c r="A32" s="134"/>
      <c r="B32" s="3"/>
      <c r="C32" s="3"/>
      <c r="D32" s="3"/>
      <c r="E32" s="3"/>
      <c r="F32" s="3"/>
      <c r="G32" s="67"/>
      <c r="H32" s="67"/>
      <c r="I32" s="67"/>
      <c r="J32" s="67"/>
      <c r="K32" s="172"/>
      <c r="L32" s="2"/>
      <c r="M32" s="2"/>
      <c r="N32" s="2"/>
      <c r="O32" s="2"/>
      <c r="P32" s="2"/>
      <c r="Q32" s="2"/>
      <c r="R32" s="2"/>
      <c r="S32" s="2"/>
      <c r="T32" s="2"/>
      <c r="U32" s="2"/>
    </row>
    <row r="33" spans="1:21">
      <c r="A33" s="134" t="s">
        <v>265</v>
      </c>
      <c r="B33" s="3"/>
      <c r="C33" s="3"/>
      <c r="D33" s="3"/>
      <c r="E33" s="3"/>
      <c r="F33" s="3"/>
      <c r="G33" s="193">
        <v>3080559</v>
      </c>
      <c r="H33" s="193">
        <v>3925318</v>
      </c>
      <c r="I33" s="193">
        <v>4439498</v>
      </c>
      <c r="J33" s="193">
        <v>3103284</v>
      </c>
      <c r="K33" s="194">
        <v>4255495.6900000004</v>
      </c>
      <c r="L33" s="2"/>
      <c r="M33" s="2"/>
      <c r="N33" s="2"/>
      <c r="O33" s="2"/>
      <c r="P33" s="2"/>
      <c r="Q33" s="2"/>
      <c r="R33" s="2"/>
      <c r="S33" s="2"/>
      <c r="T33" s="2"/>
      <c r="U33" s="2"/>
    </row>
    <row r="34" spans="1:21">
      <c r="A34" s="174" t="s">
        <v>416</v>
      </c>
      <c r="B34" s="3"/>
      <c r="C34" s="3"/>
      <c r="D34" s="3"/>
      <c r="E34" s="3"/>
      <c r="F34" s="3"/>
      <c r="G34" s="195">
        <v>1057793</v>
      </c>
      <c r="H34" s="195">
        <v>1642722</v>
      </c>
      <c r="I34" s="195">
        <v>2074575</v>
      </c>
      <c r="J34" s="195">
        <v>1174331</v>
      </c>
      <c r="K34" s="196">
        <v>2248213.4900000002</v>
      </c>
      <c r="L34" s="2"/>
      <c r="M34" s="2"/>
      <c r="N34" s="2"/>
      <c r="O34" s="2"/>
      <c r="P34" s="2"/>
      <c r="Q34" s="2"/>
      <c r="R34" s="2"/>
      <c r="S34" s="2"/>
      <c r="T34" s="2"/>
      <c r="U34" s="2"/>
    </row>
    <row r="35" spans="1:21">
      <c r="A35" s="134" t="s">
        <v>463</v>
      </c>
      <c r="B35" s="3"/>
      <c r="C35" s="3"/>
      <c r="D35" s="3"/>
      <c r="E35" s="3"/>
      <c r="F35" s="3"/>
      <c r="G35" s="193">
        <f>G33-G34</f>
        <v>2022766</v>
      </c>
      <c r="H35" s="193">
        <f>H33-H34</f>
        <v>2282596</v>
      </c>
      <c r="I35" s="193">
        <f>I33-I34</f>
        <v>2364923</v>
      </c>
      <c r="J35" s="193">
        <f>J33-J34</f>
        <v>1928953</v>
      </c>
      <c r="K35" s="194">
        <f>K33-K34</f>
        <v>2007282.2000000002</v>
      </c>
      <c r="L35" s="2"/>
      <c r="M35" s="2"/>
      <c r="N35" s="2"/>
      <c r="O35" s="2"/>
      <c r="P35" s="2"/>
      <c r="Q35" s="2"/>
      <c r="R35" s="2"/>
      <c r="S35" s="2"/>
      <c r="T35" s="2"/>
      <c r="U35" s="2"/>
    </row>
    <row r="36" spans="1:21">
      <c r="A36" s="134"/>
      <c r="G36" s="29"/>
      <c r="H36" s="29"/>
      <c r="I36" s="29"/>
      <c r="J36" s="29"/>
      <c r="K36" s="176"/>
      <c r="Q36" s="2"/>
      <c r="R36" s="2"/>
      <c r="S36" s="2"/>
      <c r="T36" s="2"/>
      <c r="U36" s="2"/>
    </row>
    <row r="37" spans="1:21">
      <c r="A37" s="134" t="s">
        <v>382</v>
      </c>
      <c r="B37" s="3"/>
      <c r="C37" s="3"/>
      <c r="D37" s="3"/>
      <c r="E37" s="3"/>
      <c r="F37" s="3"/>
      <c r="G37" s="193">
        <v>4544285</v>
      </c>
      <c r="H37" s="193">
        <v>5433380</v>
      </c>
      <c r="I37" s="193">
        <v>5936144</v>
      </c>
      <c r="J37" s="193">
        <f>4543888</f>
        <v>4543888</v>
      </c>
      <c r="K37" s="194">
        <v>5777203.3099999996</v>
      </c>
      <c r="L37" s="2"/>
      <c r="M37" s="2"/>
      <c r="N37" s="2"/>
      <c r="O37" s="2"/>
      <c r="P37" s="2"/>
      <c r="Q37" s="2"/>
      <c r="R37" s="2"/>
      <c r="S37" s="2"/>
      <c r="T37" s="2"/>
      <c r="U37" s="2"/>
    </row>
    <row r="38" spans="1:21">
      <c r="A38" s="174" t="s">
        <v>418</v>
      </c>
      <c r="B38" s="5"/>
      <c r="C38" s="5"/>
      <c r="D38" s="5"/>
      <c r="E38" s="5"/>
      <c r="F38" s="5"/>
      <c r="G38" s="195">
        <f>G34+1582400+175000</f>
        <v>2815193</v>
      </c>
      <c r="H38" s="195">
        <f>H34+14277500+175000+52384</f>
        <v>16147606</v>
      </c>
      <c r="I38" s="195">
        <f>I34+1279100+55577</f>
        <v>3409252</v>
      </c>
      <c r="J38" s="195">
        <f>J34+1217600+119586</f>
        <v>2511517</v>
      </c>
      <c r="K38" s="196">
        <v>3436263.49</v>
      </c>
      <c r="L38" s="2"/>
      <c r="M38" s="2"/>
      <c r="N38" s="2"/>
      <c r="O38" s="2"/>
      <c r="P38" s="2"/>
      <c r="Q38" s="2"/>
      <c r="R38" s="2"/>
      <c r="S38" s="2"/>
      <c r="T38" s="2"/>
      <c r="U38" s="2"/>
    </row>
    <row r="39" spans="1:21" ht="15.75" thickBot="1">
      <c r="A39" s="135" t="s">
        <v>417</v>
      </c>
      <c r="B39" s="3"/>
      <c r="C39" s="3"/>
      <c r="D39" s="3"/>
      <c r="E39" s="3"/>
      <c r="F39" s="3"/>
      <c r="G39" s="197">
        <f>119586+522917+1086589</f>
        <v>1729092</v>
      </c>
      <c r="H39" s="197">
        <f>14930200+522917+119586</f>
        <v>15572703</v>
      </c>
      <c r="I39" s="197">
        <f>119586+522917+1884389</f>
        <v>2526892</v>
      </c>
      <c r="J39" s="197">
        <f>522917+1509454</f>
        <v>2032371</v>
      </c>
      <c r="K39" s="198">
        <f>2340939.82</f>
        <v>2340939.8199999998</v>
      </c>
      <c r="L39" s="2"/>
      <c r="M39" s="2"/>
      <c r="N39" s="2"/>
      <c r="O39" s="2"/>
      <c r="P39" s="2"/>
      <c r="Q39" s="2"/>
      <c r="R39" s="2"/>
      <c r="S39" s="2"/>
      <c r="T39" s="2"/>
      <c r="U39" s="2"/>
    </row>
    <row r="40" spans="1:21" hidden="1" outlineLevel="1">
      <c r="G40" s="3">
        <f>G37-G38</f>
        <v>1729092</v>
      </c>
      <c r="H40" s="3">
        <f>H37-H38</f>
        <v>-10714226</v>
      </c>
      <c r="I40" s="3">
        <f>I37-I38</f>
        <v>2526892</v>
      </c>
      <c r="J40" s="3">
        <f>J37-J38</f>
        <v>2032371</v>
      </c>
      <c r="K40" s="3">
        <f>K37-K38</f>
        <v>2340939.8199999994</v>
      </c>
      <c r="L40" s="2"/>
      <c r="M40" s="2"/>
      <c r="N40" s="2"/>
      <c r="O40" s="2"/>
      <c r="P40" s="2"/>
      <c r="Q40" s="2"/>
      <c r="R40" s="2"/>
      <c r="S40" s="2"/>
      <c r="T40" s="2"/>
      <c r="U40" s="2"/>
    </row>
    <row r="41" spans="1:21" hidden="1" outlineLevel="1">
      <c r="A41" s="2" t="s">
        <v>419</v>
      </c>
      <c r="G41" s="3" t="b">
        <f>G40=G39</f>
        <v>1</v>
      </c>
      <c r="H41" s="3" t="b">
        <f>H40=H39</f>
        <v>0</v>
      </c>
      <c r="I41" s="3" t="b">
        <f>I40=I39</f>
        <v>1</v>
      </c>
      <c r="J41" s="3" t="b">
        <f>J40=J39</f>
        <v>1</v>
      </c>
      <c r="K41" s="3" t="b">
        <f>K40=K39</f>
        <v>1</v>
      </c>
      <c r="L41" s="2"/>
      <c r="M41" s="2"/>
      <c r="N41" s="2"/>
      <c r="O41" s="2"/>
      <c r="P41" s="2"/>
      <c r="Q41" s="2"/>
      <c r="R41" s="2"/>
      <c r="S41" s="2"/>
      <c r="T41" s="2"/>
      <c r="U41" s="2"/>
    </row>
    <row r="42" spans="1:21" hidden="1" outlineLevel="1">
      <c r="G42" s="3"/>
      <c r="H42" s="3">
        <f>H39-H40</f>
        <v>26286929</v>
      </c>
      <c r="I42" s="3">
        <f>I39-I40</f>
        <v>0</v>
      </c>
      <c r="J42" s="3"/>
      <c r="K42" s="3"/>
      <c r="L42" s="2"/>
      <c r="M42" s="2"/>
      <c r="N42" s="2"/>
      <c r="O42" s="2"/>
      <c r="P42" s="2"/>
      <c r="Q42" s="2"/>
      <c r="R42" s="2"/>
      <c r="S42" s="2"/>
      <c r="T42" s="2"/>
      <c r="U42" s="2"/>
    </row>
    <row r="43" spans="1:21" hidden="1" outlineLevel="1">
      <c r="A43" s="2" t="s">
        <v>153</v>
      </c>
      <c r="G43" s="3">
        <v>1</v>
      </c>
      <c r="H43" s="3">
        <v>1</v>
      </c>
      <c r="I43" s="3">
        <v>1</v>
      </c>
      <c r="J43" s="3">
        <v>1</v>
      </c>
      <c r="K43" s="3">
        <v>1</v>
      </c>
      <c r="L43" s="2"/>
      <c r="M43" s="2"/>
      <c r="N43" s="2"/>
      <c r="O43" s="2"/>
      <c r="P43" s="2"/>
      <c r="Q43" s="2"/>
      <c r="R43" s="2"/>
      <c r="S43" s="2"/>
      <c r="T43" s="2"/>
      <c r="U43" s="2"/>
    </row>
    <row r="44" spans="1:21" hidden="1" outlineLevel="1">
      <c r="A44" s="2" t="s">
        <v>439</v>
      </c>
      <c r="G44" s="3" t="s">
        <v>457</v>
      </c>
      <c r="H44" s="3" t="s">
        <v>455</v>
      </c>
      <c r="I44" s="3" t="s">
        <v>454</v>
      </c>
      <c r="J44" s="3" t="s">
        <v>450</v>
      </c>
      <c r="K44" s="3" t="s">
        <v>441</v>
      </c>
      <c r="L44" s="2"/>
      <c r="M44" s="2"/>
      <c r="N44" s="2"/>
      <c r="O44" s="2"/>
      <c r="P44" s="2"/>
      <c r="Q44" s="2"/>
      <c r="R44" s="2"/>
      <c r="S44" s="2"/>
      <c r="T44" s="2"/>
      <c r="U44" s="2"/>
    </row>
    <row r="45" spans="1:21" hidden="1" outlineLevel="1">
      <c r="A45" s="2" t="s">
        <v>440</v>
      </c>
      <c r="G45" s="3"/>
      <c r="H45" s="3" t="s">
        <v>456</v>
      </c>
      <c r="I45" s="3"/>
      <c r="J45" s="3"/>
      <c r="K45" s="3" t="s">
        <v>449</v>
      </c>
      <c r="L45" s="2"/>
      <c r="M45" s="2"/>
      <c r="N45" s="2"/>
      <c r="O45" s="2"/>
      <c r="P45" s="2"/>
      <c r="Q45" s="2"/>
      <c r="R45" s="2"/>
      <c r="S45" s="2"/>
      <c r="T45" s="2"/>
      <c r="U45" s="2"/>
    </row>
    <row r="46" spans="1:21" hidden="1" outlineLevel="1">
      <c r="A46" s="2" t="s">
        <v>56</v>
      </c>
      <c r="G46" s="3">
        <v>24637</v>
      </c>
      <c r="H46" s="3">
        <v>81460</v>
      </c>
      <c r="I46" s="3">
        <v>90922</v>
      </c>
      <c r="J46" s="3">
        <v>24530</v>
      </c>
      <c r="K46" s="3">
        <v>46957</v>
      </c>
      <c r="L46" s="2"/>
      <c r="M46" s="2"/>
      <c r="N46" s="2"/>
      <c r="O46" s="2"/>
      <c r="P46" s="2"/>
      <c r="Q46" s="2"/>
      <c r="R46" s="2"/>
      <c r="S46" s="2"/>
      <c r="T46" s="2"/>
      <c r="U46" s="2"/>
    </row>
    <row r="47" spans="1:21" ht="15.75" collapsed="1" thickBot="1">
      <c r="G47" s="3"/>
      <c r="H47" s="3"/>
      <c r="I47" s="3"/>
      <c r="J47" s="3"/>
      <c r="K47" s="3"/>
      <c r="L47" s="2"/>
      <c r="M47" s="2"/>
      <c r="N47" s="2"/>
      <c r="O47" s="2"/>
      <c r="P47" s="2"/>
      <c r="Q47" s="2"/>
      <c r="R47" s="2"/>
      <c r="S47" s="2"/>
      <c r="T47" s="2"/>
      <c r="U47" s="2"/>
    </row>
    <row r="48" spans="1:21">
      <c r="A48" s="167" t="s">
        <v>438</v>
      </c>
      <c r="G48" s="168"/>
      <c r="H48" s="168"/>
      <c r="I48" s="168"/>
      <c r="J48" s="168"/>
      <c r="K48" s="169"/>
      <c r="L48" s="2"/>
      <c r="M48" s="2"/>
      <c r="N48" s="2"/>
      <c r="O48" s="2"/>
      <c r="P48" s="2"/>
      <c r="Q48" s="2"/>
      <c r="R48" s="2"/>
      <c r="S48" s="2"/>
      <c r="T48" s="2"/>
      <c r="U48" s="2"/>
    </row>
    <row r="49" spans="1:21">
      <c r="A49" s="170"/>
      <c r="G49" s="163">
        <f>G28</f>
        <v>1946</v>
      </c>
      <c r="H49" s="163">
        <f>H28</f>
        <v>1947</v>
      </c>
      <c r="I49" s="163">
        <f>I28</f>
        <v>1948</v>
      </c>
      <c r="J49" s="163">
        <f>J28</f>
        <v>1949</v>
      </c>
      <c r="K49" s="171">
        <f>K28</f>
        <v>1950</v>
      </c>
      <c r="L49" s="2"/>
      <c r="M49" s="2"/>
      <c r="N49" s="2"/>
      <c r="O49" s="2"/>
      <c r="P49" s="2"/>
      <c r="Q49" s="2"/>
      <c r="R49" s="2"/>
      <c r="S49" s="2"/>
      <c r="T49" s="2"/>
      <c r="U49" s="2"/>
    </row>
    <row r="50" spans="1:21">
      <c r="A50" s="134" t="s">
        <v>462</v>
      </c>
      <c r="B50" s="3">
        <v>45328333</v>
      </c>
      <c r="C50" s="3">
        <v>44339991</v>
      </c>
      <c r="D50" s="3">
        <v>45594256</v>
      </c>
      <c r="E50" s="3">
        <v>51425054</v>
      </c>
      <c r="F50" s="3">
        <v>49515032</v>
      </c>
      <c r="G50" s="193">
        <v>74589296</v>
      </c>
      <c r="H50" s="193">
        <v>83215404</v>
      </c>
      <c r="I50" s="193">
        <v>84477443</v>
      </c>
      <c r="J50" s="193">
        <v>82886509</v>
      </c>
      <c r="K50" s="194">
        <v>76213726</v>
      </c>
      <c r="L50" s="2"/>
      <c r="M50" s="2"/>
      <c r="N50" s="2"/>
      <c r="O50" s="2"/>
      <c r="P50" s="2"/>
      <c r="Q50" s="2"/>
      <c r="R50" s="2"/>
      <c r="S50" s="2"/>
      <c r="T50" s="2"/>
      <c r="U50" s="2"/>
    </row>
    <row r="51" spans="1:21" s="179" customFormat="1">
      <c r="A51" s="178" t="s">
        <v>464</v>
      </c>
      <c r="G51" s="180">
        <f>G50/F50-1</f>
        <v>0.5063970068725796</v>
      </c>
      <c r="H51" s="180">
        <f>H50/G50-1</f>
        <v>0.11564806832336916</v>
      </c>
      <c r="I51" s="180">
        <f>I50/H50-1</f>
        <v>1.5165930096307623E-2</v>
      </c>
      <c r="J51" s="180">
        <f>J50/I50-1</f>
        <v>-1.8832648616033509E-2</v>
      </c>
      <c r="K51" s="181">
        <f>K50/J50-1</f>
        <v>-8.0505055412576243E-2</v>
      </c>
      <c r="L51" s="182"/>
      <c r="M51" s="182"/>
      <c r="N51" s="182"/>
      <c r="O51" s="182"/>
      <c r="P51" s="182"/>
      <c r="Q51" s="182"/>
      <c r="R51" s="182"/>
      <c r="S51" s="182"/>
      <c r="T51" s="182"/>
      <c r="U51" s="182"/>
    </row>
    <row r="52" spans="1:21">
      <c r="A52" s="134" t="s">
        <v>403</v>
      </c>
      <c r="B52" s="3"/>
      <c r="C52" s="3"/>
      <c r="D52" s="3"/>
      <c r="E52" s="3"/>
      <c r="F52" s="3"/>
      <c r="G52" s="193">
        <v>59172716.359999999</v>
      </c>
      <c r="H52" s="193">
        <v>69911671.469999999</v>
      </c>
      <c r="I52" s="193">
        <v>76200870.329999998</v>
      </c>
      <c r="J52" s="193">
        <v>77827108.819999993</v>
      </c>
      <c r="K52" s="194">
        <v>70036844.829999998</v>
      </c>
      <c r="L52" s="2"/>
      <c r="M52" s="2"/>
      <c r="N52" s="2"/>
      <c r="O52" s="2"/>
      <c r="P52" s="2"/>
      <c r="Q52" s="2"/>
      <c r="R52" s="2"/>
      <c r="S52" s="2"/>
      <c r="T52" s="2"/>
      <c r="U52" s="2"/>
    </row>
    <row r="53" spans="1:21">
      <c r="A53" s="134" t="s">
        <v>247</v>
      </c>
      <c r="B53" s="3"/>
      <c r="C53" s="3"/>
      <c r="D53" s="3"/>
      <c r="E53" s="3"/>
      <c r="F53" s="3"/>
      <c r="G53" s="193">
        <f>G50-G52</f>
        <v>15416579.640000001</v>
      </c>
      <c r="H53" s="193">
        <f>H50-H52</f>
        <v>13303732.530000001</v>
      </c>
      <c r="I53" s="193">
        <f>I50-I52</f>
        <v>8276572.6700000018</v>
      </c>
      <c r="J53" s="193">
        <f>J50-J52</f>
        <v>5059400.1800000072</v>
      </c>
      <c r="K53" s="194">
        <f>K50-K52</f>
        <v>6176881.1700000018</v>
      </c>
      <c r="L53" s="2"/>
      <c r="M53" s="2"/>
      <c r="N53" s="2"/>
      <c r="O53" s="2"/>
      <c r="P53" s="2"/>
      <c r="Q53" s="2"/>
      <c r="R53" s="2"/>
      <c r="S53" s="2"/>
      <c r="T53" s="2"/>
      <c r="U53" s="2"/>
    </row>
    <row r="54" spans="1:21" s="179" customFormat="1">
      <c r="A54" s="178" t="s">
        <v>250</v>
      </c>
      <c r="G54" s="180">
        <f>G53/G50</f>
        <v>0.20668621996378678</v>
      </c>
      <c r="H54" s="180">
        <f>H53/H50</f>
        <v>0.15987103217091875</v>
      </c>
      <c r="I54" s="180">
        <f>I53/I50</f>
        <v>9.7973759338336061E-2</v>
      </c>
      <c r="J54" s="180">
        <f>J53/J50</f>
        <v>6.104009254389043E-2</v>
      </c>
      <c r="K54" s="181">
        <f>K53/K50</f>
        <v>8.1046833611047989E-2</v>
      </c>
      <c r="L54" s="182"/>
      <c r="M54" s="182"/>
      <c r="N54" s="182"/>
      <c r="O54" s="182"/>
      <c r="P54" s="182"/>
      <c r="Q54" s="182"/>
      <c r="R54" s="182"/>
      <c r="S54" s="182"/>
      <c r="T54" s="182"/>
      <c r="U54" s="182"/>
    </row>
    <row r="55" spans="1:21">
      <c r="A55" s="134" t="s">
        <v>248</v>
      </c>
      <c r="B55" s="3">
        <v>6836737</v>
      </c>
      <c r="C55" s="3">
        <v>6976986</v>
      </c>
      <c r="D55" s="3">
        <v>8989937</v>
      </c>
      <c r="E55" s="3">
        <v>9395295</v>
      </c>
      <c r="F55" s="3">
        <v>7934755</v>
      </c>
      <c r="G55" s="193">
        <v>15083823</v>
      </c>
      <c r="H55" s="193">
        <v>12938572</v>
      </c>
      <c r="I55" s="193">
        <v>7457057</v>
      </c>
      <c r="J55" s="193">
        <v>3842108</v>
      </c>
      <c r="K55" s="194">
        <v>4868090</v>
      </c>
      <c r="L55" s="2"/>
      <c r="M55" s="2"/>
      <c r="N55" s="2"/>
      <c r="O55" s="2"/>
      <c r="P55" s="2"/>
      <c r="Q55" s="2"/>
      <c r="R55" s="2"/>
      <c r="S55" s="2"/>
      <c r="T55" s="2"/>
      <c r="U55" s="2"/>
    </row>
    <row r="56" spans="1:21" s="179" customFormat="1">
      <c r="A56" s="178" t="s">
        <v>251</v>
      </c>
      <c r="B56" s="179">
        <f t="shared" ref="B56:J56" si="1">B55/B50</f>
        <v>0.15082701144116639</v>
      </c>
      <c r="C56" s="179">
        <f t="shared" si="1"/>
        <v>0.1573519940497958</v>
      </c>
      <c r="D56" s="179">
        <f t="shared" si="1"/>
        <v>0.19717257805456898</v>
      </c>
      <c r="E56" s="179">
        <f t="shared" si="1"/>
        <v>0.18269878724872121</v>
      </c>
      <c r="F56" s="179">
        <f t="shared" si="1"/>
        <v>0.16024941678317001</v>
      </c>
      <c r="G56" s="180">
        <f t="shared" si="1"/>
        <v>0.20222503507741915</v>
      </c>
      <c r="H56" s="180">
        <f t="shared" si="1"/>
        <v>0.15548289593114276</v>
      </c>
      <c r="I56" s="180">
        <f t="shared" si="1"/>
        <v>8.8272759392113709E-2</v>
      </c>
      <c r="J56" s="180">
        <f t="shared" si="1"/>
        <v>4.6353840285395541E-2</v>
      </c>
      <c r="K56" s="181">
        <f>K55/K50</f>
        <v>6.3874189801453873E-2</v>
      </c>
      <c r="L56" s="182"/>
      <c r="M56" s="182"/>
      <c r="N56" s="182"/>
      <c r="O56" s="182"/>
      <c r="P56" s="182"/>
      <c r="Q56" s="182"/>
      <c r="R56" s="182"/>
      <c r="S56" s="182"/>
      <c r="T56" s="182"/>
      <c r="U56" s="182"/>
    </row>
    <row r="57" spans="1:21">
      <c r="A57" s="134" t="s">
        <v>249</v>
      </c>
      <c r="B57" s="3">
        <v>2779216</v>
      </c>
      <c r="C57" s="3">
        <v>2389296</v>
      </c>
      <c r="D57" s="3">
        <v>3111534</v>
      </c>
      <c r="E57" s="3">
        <v>3077266</v>
      </c>
      <c r="F57" s="3">
        <v>3789611</v>
      </c>
      <c r="G57" s="193">
        <v>10020525</v>
      </c>
      <c r="H57" s="193">
        <v>8728301</v>
      </c>
      <c r="I57" s="193">
        <v>5143955</v>
      </c>
      <c r="J57" s="193">
        <v>3007203</v>
      </c>
      <c r="K57" s="194">
        <v>3175254</v>
      </c>
      <c r="L57" s="2"/>
      <c r="M57" s="2"/>
      <c r="N57" s="2"/>
      <c r="O57" s="2"/>
      <c r="P57" s="2"/>
      <c r="Q57" s="2"/>
      <c r="R57" s="2"/>
      <c r="S57" s="2"/>
      <c r="T57" s="2"/>
      <c r="U57" s="2"/>
    </row>
    <row r="58" spans="1:21" s="179" customFormat="1">
      <c r="A58" s="183" t="s">
        <v>252</v>
      </c>
      <c r="B58" s="184">
        <f t="shared" ref="B58:J58" si="2">B57/B50</f>
        <v>6.1312998207986164E-2</v>
      </c>
      <c r="C58" s="184">
        <f t="shared" si="2"/>
        <v>5.3885802547862495E-2</v>
      </c>
      <c r="D58" s="184">
        <f t="shared" si="2"/>
        <v>6.8243991085192843E-2</v>
      </c>
      <c r="E58" s="184">
        <f t="shared" si="2"/>
        <v>5.9839820489055784E-2</v>
      </c>
      <c r="F58" s="184">
        <f t="shared" si="2"/>
        <v>7.6534556213151597E-2</v>
      </c>
      <c r="G58" s="184">
        <f t="shared" si="2"/>
        <v>0.1343426676127899</v>
      </c>
      <c r="H58" s="184">
        <f t="shared" si="2"/>
        <v>0.10488804452598705</v>
      </c>
      <c r="I58" s="184">
        <f t="shared" si="2"/>
        <v>6.0891461878172612E-2</v>
      </c>
      <c r="J58" s="184">
        <f t="shared" si="2"/>
        <v>3.6280970646260416E-2</v>
      </c>
      <c r="K58" s="185">
        <f>K57/K50</f>
        <v>4.1662495283329937E-2</v>
      </c>
      <c r="L58" s="182"/>
      <c r="M58" s="182"/>
      <c r="N58" s="182"/>
      <c r="O58" s="182"/>
      <c r="P58" s="182"/>
      <c r="Q58" s="182"/>
      <c r="R58" s="182"/>
      <c r="S58" s="182"/>
      <c r="T58" s="182"/>
      <c r="U58" s="182"/>
    </row>
    <row r="59" spans="1:21" s="29" customFormat="1">
      <c r="A59" s="134"/>
      <c r="B59" s="68"/>
      <c r="C59" s="68"/>
      <c r="D59" s="68"/>
      <c r="E59" s="68"/>
      <c r="F59" s="68"/>
      <c r="G59" s="68"/>
      <c r="H59" s="68"/>
      <c r="I59" s="68"/>
      <c r="J59" s="68"/>
      <c r="K59" s="173"/>
    </row>
    <row r="60" spans="1:21">
      <c r="A60" s="134" t="s">
        <v>265</v>
      </c>
      <c r="B60" s="57"/>
      <c r="C60" s="57"/>
      <c r="D60" s="57"/>
      <c r="E60" s="57"/>
      <c r="F60" s="57"/>
      <c r="G60" s="193">
        <v>36556048.670000002</v>
      </c>
      <c r="H60" s="193">
        <v>36222691.75</v>
      </c>
      <c r="I60" s="193">
        <v>41225956.07</v>
      </c>
      <c r="J60" s="193">
        <v>31520398</v>
      </c>
      <c r="K60" s="194">
        <v>36903158.170000002</v>
      </c>
      <c r="L60" s="2"/>
      <c r="M60" s="2"/>
      <c r="N60" s="2"/>
      <c r="O60" s="2"/>
      <c r="P60" s="2"/>
      <c r="Q60" s="2"/>
      <c r="R60" s="2"/>
      <c r="S60" s="2"/>
      <c r="T60" s="2"/>
      <c r="U60" s="2"/>
    </row>
    <row r="61" spans="1:21">
      <c r="A61" s="174" t="s">
        <v>416</v>
      </c>
      <c r="B61" s="162"/>
      <c r="C61" s="162"/>
      <c r="D61" s="162"/>
      <c r="E61" s="162"/>
      <c r="F61" s="162"/>
      <c r="G61" s="195">
        <v>11540321</v>
      </c>
      <c r="H61" s="195">
        <v>15549905.880000001</v>
      </c>
      <c r="I61" s="195">
        <v>12624103.77</v>
      </c>
      <c r="J61" s="195">
        <v>5811184.6699999999</v>
      </c>
      <c r="K61" s="196">
        <v>8727774.3200000003</v>
      </c>
      <c r="L61" s="2"/>
      <c r="M61" s="2"/>
      <c r="N61" s="2"/>
      <c r="O61" s="2"/>
      <c r="P61" s="2"/>
      <c r="Q61" s="2"/>
      <c r="R61" s="2"/>
      <c r="S61" s="2"/>
      <c r="T61" s="2"/>
      <c r="U61" s="2"/>
    </row>
    <row r="62" spans="1:21">
      <c r="A62" s="134" t="s">
        <v>463</v>
      </c>
      <c r="B62" s="57"/>
      <c r="C62" s="57"/>
      <c r="D62" s="57"/>
      <c r="E62" s="57"/>
      <c r="F62" s="57"/>
      <c r="G62" s="193">
        <f>G60-G61</f>
        <v>25015727.670000002</v>
      </c>
      <c r="H62" s="193">
        <f>H60-H61</f>
        <v>20672785.869999997</v>
      </c>
      <c r="I62" s="193">
        <f>I60-I61</f>
        <v>28601852.300000001</v>
      </c>
      <c r="J62" s="193">
        <f>J60-J61</f>
        <v>25709213.329999998</v>
      </c>
      <c r="K62" s="194">
        <f>K60-K61</f>
        <v>28175383.850000001</v>
      </c>
      <c r="L62" s="2"/>
      <c r="M62" s="2"/>
      <c r="N62" s="2"/>
      <c r="O62" s="2"/>
      <c r="P62" s="2"/>
      <c r="Q62" s="2"/>
      <c r="R62" s="2"/>
      <c r="S62" s="2"/>
      <c r="T62" s="2"/>
      <c r="U62" s="2"/>
    </row>
    <row r="63" spans="1:21">
      <c r="A63" s="134"/>
      <c r="G63" s="29"/>
      <c r="H63" s="29"/>
      <c r="I63" s="29"/>
      <c r="J63" s="29"/>
      <c r="K63" s="176"/>
      <c r="Q63" s="2"/>
      <c r="R63" s="2"/>
      <c r="S63" s="2"/>
      <c r="T63" s="2"/>
      <c r="U63" s="2"/>
    </row>
    <row r="64" spans="1:21">
      <c r="A64" s="134" t="s">
        <v>382</v>
      </c>
      <c r="G64" s="193">
        <v>47967343.439999998</v>
      </c>
      <c r="H64" s="193">
        <v>53938622.109999999</v>
      </c>
      <c r="I64" s="193">
        <v>66056290.109999999</v>
      </c>
      <c r="J64" s="193">
        <v>58940275.219999999</v>
      </c>
      <c r="K64" s="194">
        <v>62978330.640000001</v>
      </c>
      <c r="L64" s="2"/>
      <c r="M64" s="2"/>
      <c r="N64" s="2"/>
      <c r="O64" s="2"/>
      <c r="P64" s="2"/>
      <c r="Q64" s="2"/>
      <c r="R64" s="2"/>
      <c r="S64" s="2"/>
      <c r="T64" s="2"/>
      <c r="U64" s="2"/>
    </row>
    <row r="65" spans="1:21">
      <c r="A65" s="174" t="s">
        <v>418</v>
      </c>
      <c r="B65" s="5"/>
      <c r="C65" s="5"/>
      <c r="D65" s="5"/>
      <c r="E65" s="5"/>
      <c r="F65" s="5"/>
      <c r="G65" s="195">
        <f>14988499.96</f>
        <v>14988499.960000001</v>
      </c>
      <c r="H65" s="195">
        <v>15549905.880000001</v>
      </c>
      <c r="I65" s="195">
        <v>25900362.07</v>
      </c>
      <c r="J65" s="195">
        <f>12920637.25+5811184.67</f>
        <v>18731821.920000002</v>
      </c>
      <c r="K65" s="196">
        <f>K61+12555231.79</f>
        <v>21283006.109999999</v>
      </c>
      <c r="L65" s="2"/>
      <c r="M65" s="2"/>
      <c r="N65" s="2"/>
      <c r="O65" s="2"/>
      <c r="P65" s="2"/>
      <c r="Q65" s="2"/>
      <c r="R65" s="2"/>
      <c r="S65" s="2"/>
      <c r="T65" s="2"/>
      <c r="U65" s="2"/>
    </row>
    <row r="66" spans="1:21" ht="15.75" thickBot="1">
      <c r="A66" s="135" t="s">
        <v>417</v>
      </c>
      <c r="B66" s="57"/>
      <c r="C66" s="57"/>
      <c r="D66" s="57"/>
      <c r="E66" s="57"/>
      <c r="F66" s="57"/>
      <c r="G66" s="197">
        <f>31290448.54+1688394.94</f>
        <v>32978843.48</v>
      </c>
      <c r="H66" s="197">
        <f>36700321.29+1688394.94</f>
        <v>38388716.229999997</v>
      </c>
      <c r="I66" s="197">
        <f>1688394.94+38467533.1</f>
        <v>40155928.039999999</v>
      </c>
      <c r="J66" s="197">
        <f>38520070.3+1688383</f>
        <v>40208453.299999997</v>
      </c>
      <c r="K66" s="198">
        <f>40006941.53+1688383</f>
        <v>41695324.530000001</v>
      </c>
      <c r="L66" s="2"/>
      <c r="M66" s="2"/>
      <c r="N66" s="2"/>
      <c r="O66" s="2"/>
      <c r="P66" s="2"/>
      <c r="Q66" s="2"/>
      <c r="R66" s="2"/>
      <c r="S66" s="2"/>
      <c r="T66" s="2"/>
      <c r="U66" s="2"/>
    </row>
    <row r="67" spans="1:21" hidden="1" outlineLevel="1">
      <c r="B67" s="57"/>
      <c r="C67" s="57"/>
      <c r="D67" s="57"/>
      <c r="E67" s="57"/>
      <c r="F67" s="57"/>
      <c r="G67" s="3"/>
      <c r="H67" s="3"/>
      <c r="I67" s="3"/>
      <c r="J67" s="3"/>
      <c r="K67" s="3"/>
      <c r="L67" s="2"/>
      <c r="M67" s="2"/>
      <c r="N67" s="2"/>
      <c r="O67" s="2"/>
      <c r="P67" s="2"/>
      <c r="Q67" s="2"/>
      <c r="R67" s="2"/>
      <c r="S67" s="2"/>
      <c r="T67" s="2"/>
      <c r="U67" s="2"/>
    </row>
    <row r="68" spans="1:21" hidden="1" outlineLevel="1">
      <c r="G68" s="3">
        <f>G64-G65</f>
        <v>32978843.479999997</v>
      </c>
      <c r="H68" s="3">
        <f>H64-H65</f>
        <v>38388716.229999997</v>
      </c>
      <c r="I68" s="3">
        <f>I64-I65</f>
        <v>40155928.039999999</v>
      </c>
      <c r="J68" s="3">
        <f>J64-J65</f>
        <v>40208453.299999997</v>
      </c>
      <c r="K68" s="3">
        <f>K64-K65</f>
        <v>41695324.530000001</v>
      </c>
      <c r="L68" s="2"/>
      <c r="M68" s="2"/>
      <c r="N68" s="2"/>
      <c r="O68" s="2"/>
      <c r="P68" s="2"/>
      <c r="Q68" s="2"/>
      <c r="R68" s="2"/>
      <c r="S68" s="2"/>
      <c r="T68" s="2"/>
      <c r="U68" s="2"/>
    </row>
    <row r="69" spans="1:21" hidden="1" outlineLevel="1">
      <c r="G69" s="3" t="b">
        <f>G68=G66</f>
        <v>1</v>
      </c>
      <c r="H69" s="3" t="b">
        <f>H68=H66</f>
        <v>1</v>
      </c>
      <c r="I69" s="3" t="b">
        <f>I68=I66</f>
        <v>1</v>
      </c>
      <c r="J69" s="3" t="b">
        <f>J68=J66</f>
        <v>1</v>
      </c>
      <c r="K69" s="3" t="b">
        <f>K68=K66</f>
        <v>1</v>
      </c>
      <c r="L69" s="2"/>
      <c r="M69" s="2"/>
      <c r="N69" s="2"/>
      <c r="O69" s="2"/>
      <c r="P69" s="2"/>
      <c r="Q69" s="2"/>
      <c r="R69" s="2"/>
      <c r="S69" s="2"/>
      <c r="T69" s="2"/>
      <c r="U69" s="2"/>
    </row>
    <row r="70" spans="1:21" hidden="1" outlineLevel="1">
      <c r="G70" s="3"/>
      <c r="H70" s="3"/>
      <c r="I70" s="3"/>
      <c r="J70" s="3"/>
      <c r="K70" s="3"/>
      <c r="L70" s="2"/>
      <c r="M70" s="2"/>
      <c r="N70" s="2"/>
      <c r="O70" s="2"/>
      <c r="P70" s="2"/>
      <c r="Q70" s="2"/>
      <c r="R70" s="2"/>
      <c r="S70" s="2"/>
      <c r="T70" s="2"/>
      <c r="U70" s="2"/>
    </row>
    <row r="71" spans="1:21" hidden="1" outlineLevel="1">
      <c r="A71" s="2" t="s">
        <v>153</v>
      </c>
      <c r="G71" s="3"/>
      <c r="H71" s="3"/>
      <c r="I71" s="3"/>
      <c r="J71" s="3"/>
      <c r="K71" s="3"/>
      <c r="L71" s="2"/>
      <c r="M71" s="2"/>
      <c r="N71" s="2"/>
      <c r="O71" s="2"/>
      <c r="P71" s="2"/>
      <c r="Q71" s="2"/>
      <c r="R71" s="2"/>
      <c r="S71" s="2"/>
      <c r="T71" s="2"/>
      <c r="U71" s="2"/>
    </row>
    <row r="72" spans="1:21" hidden="1" outlineLevel="1">
      <c r="A72" s="2" t="s">
        <v>439</v>
      </c>
      <c r="G72" s="3" t="s">
        <v>459</v>
      </c>
      <c r="H72" s="3" t="s">
        <v>447</v>
      </c>
      <c r="I72" s="3" t="s">
        <v>446</v>
      </c>
      <c r="J72" s="3" t="s">
        <v>445</v>
      </c>
      <c r="K72" s="3" t="s">
        <v>441</v>
      </c>
      <c r="L72" s="2"/>
      <c r="M72" s="2"/>
      <c r="N72" s="2"/>
      <c r="O72" s="2"/>
      <c r="P72" s="2"/>
      <c r="Q72" s="2"/>
      <c r="R72" s="2"/>
      <c r="S72" s="2"/>
      <c r="T72" s="2"/>
      <c r="U72" s="2"/>
    </row>
    <row r="73" spans="1:21" hidden="1" outlineLevel="1">
      <c r="A73" s="2" t="s">
        <v>440</v>
      </c>
      <c r="G73" s="3" t="s">
        <v>458</v>
      </c>
      <c r="H73" s="3" t="s">
        <v>458</v>
      </c>
      <c r="I73" s="3" t="s">
        <v>458</v>
      </c>
      <c r="J73" s="3" t="s">
        <v>458</v>
      </c>
      <c r="K73" s="3" t="s">
        <v>458</v>
      </c>
      <c r="L73" s="2"/>
      <c r="M73" s="2"/>
      <c r="N73" s="2"/>
      <c r="O73" s="2"/>
      <c r="P73" s="2"/>
      <c r="Q73" s="2"/>
      <c r="R73" s="2"/>
      <c r="S73" s="2"/>
      <c r="T73" s="2"/>
      <c r="U73" s="2"/>
    </row>
    <row r="74" spans="1:21" hidden="1" outlineLevel="1">
      <c r="A74" s="2" t="s">
        <v>56</v>
      </c>
      <c r="G74" s="3">
        <v>349750.64</v>
      </c>
      <c r="H74" s="3">
        <v>752871.9</v>
      </c>
      <c r="I74" s="3">
        <v>1101313.95</v>
      </c>
      <c r="J74" s="3">
        <v>2272760.34</v>
      </c>
      <c r="K74" s="3">
        <v>2145649.88</v>
      </c>
      <c r="L74" s="2"/>
      <c r="M74" s="2"/>
      <c r="N74" s="2"/>
      <c r="O74" s="2"/>
      <c r="P74" s="2"/>
      <c r="Q74" s="2"/>
      <c r="R74" s="2"/>
      <c r="S74" s="2"/>
      <c r="T74" s="2"/>
      <c r="U74" s="2"/>
    </row>
    <row r="75" spans="1:21" ht="15.75" collapsed="1" thickBot="1">
      <c r="G75" s="3"/>
      <c r="H75" s="3"/>
      <c r="I75" s="3"/>
      <c r="J75" s="3"/>
      <c r="K75" s="3"/>
      <c r="L75" s="2"/>
      <c r="M75" s="2"/>
      <c r="N75" s="2"/>
      <c r="O75" s="2"/>
      <c r="P75" s="2"/>
      <c r="Q75" s="2"/>
      <c r="R75" s="2"/>
      <c r="S75" s="2"/>
      <c r="T75" s="2"/>
      <c r="U75" s="2"/>
    </row>
    <row r="76" spans="1:21">
      <c r="A76" s="167" t="s">
        <v>253</v>
      </c>
      <c r="B76" s="189"/>
      <c r="C76" s="189"/>
      <c r="D76" s="189"/>
      <c r="E76" s="189"/>
      <c r="F76" s="189"/>
      <c r="G76" s="168"/>
      <c r="H76" s="168"/>
      <c r="I76" s="168"/>
      <c r="J76" s="168"/>
      <c r="K76" s="169"/>
      <c r="L76" s="2"/>
      <c r="M76" s="2"/>
      <c r="N76" s="2"/>
      <c r="O76" s="2"/>
      <c r="P76" s="2"/>
      <c r="Q76" s="2"/>
      <c r="R76" s="2"/>
      <c r="S76" s="2"/>
      <c r="T76" s="2"/>
      <c r="U76" s="2"/>
    </row>
    <row r="77" spans="1:21">
      <c r="A77" s="170"/>
      <c r="B77" s="29"/>
      <c r="C77" s="29"/>
      <c r="D77" s="29"/>
      <c r="E77" s="29"/>
      <c r="F77" s="29"/>
      <c r="G77" s="163">
        <f>G49</f>
        <v>1946</v>
      </c>
      <c r="H77" s="163">
        <f>H49</f>
        <v>1947</v>
      </c>
      <c r="I77" s="163">
        <f>I49</f>
        <v>1948</v>
      </c>
      <c r="J77" s="163">
        <f>J49</f>
        <v>1949</v>
      </c>
      <c r="K77" s="171">
        <f>K49</f>
        <v>1950</v>
      </c>
      <c r="L77" s="2"/>
      <c r="M77" s="2"/>
      <c r="N77" s="2"/>
      <c r="O77" s="2"/>
      <c r="P77" s="2"/>
      <c r="Q77" s="2"/>
      <c r="R77" s="2"/>
      <c r="S77" s="2"/>
      <c r="T77" s="2"/>
      <c r="U77" s="2"/>
    </row>
    <row r="78" spans="1:21">
      <c r="A78" s="134" t="s">
        <v>222</v>
      </c>
      <c r="B78" s="29"/>
      <c r="C78" s="29"/>
      <c r="D78" s="29"/>
      <c r="E78" s="67">
        <v>33814118</v>
      </c>
      <c r="F78" s="67">
        <v>33805246</v>
      </c>
      <c r="G78" s="193">
        <v>45808460</v>
      </c>
      <c r="H78" s="193">
        <v>56527917</v>
      </c>
      <c r="I78" s="193">
        <v>63037888</v>
      </c>
      <c r="J78" s="193">
        <v>57773088</v>
      </c>
      <c r="K78" s="194">
        <v>59257388</v>
      </c>
      <c r="L78" s="2"/>
      <c r="M78" s="2"/>
      <c r="N78" s="2"/>
      <c r="O78" s="2"/>
      <c r="P78" s="2"/>
      <c r="Q78" s="2"/>
      <c r="R78" s="2"/>
      <c r="S78" s="2"/>
      <c r="T78" s="2"/>
      <c r="U78" s="2"/>
    </row>
    <row r="79" spans="1:21" s="179" customFormat="1">
      <c r="A79" s="178" t="s">
        <v>464</v>
      </c>
      <c r="B79" s="180"/>
      <c r="C79" s="180"/>
      <c r="D79" s="180"/>
      <c r="E79" s="180"/>
      <c r="F79" s="180"/>
      <c r="G79" s="180">
        <f>G78/F78-1</f>
        <v>0.3550695652384841</v>
      </c>
      <c r="H79" s="180">
        <f>H78/G78-1</f>
        <v>0.23400605477678149</v>
      </c>
      <c r="I79" s="180">
        <f>I78/H78-1</f>
        <v>0.11516382250561263</v>
      </c>
      <c r="J79" s="180">
        <f>J78/I78-1</f>
        <v>-8.3518026492258146E-2</v>
      </c>
      <c r="K79" s="181">
        <f>K78/J78-1</f>
        <v>2.569189308350639E-2</v>
      </c>
      <c r="L79" s="182"/>
      <c r="M79" s="182"/>
      <c r="N79" s="182"/>
      <c r="O79" s="182"/>
      <c r="P79" s="182"/>
      <c r="Q79" s="182"/>
      <c r="R79" s="182"/>
      <c r="S79" s="182"/>
      <c r="T79" s="182"/>
      <c r="U79" s="182"/>
    </row>
    <row r="80" spans="1:21" s="57" customFormat="1">
      <c r="A80" s="177" t="s">
        <v>465</v>
      </c>
      <c r="B80" s="68"/>
      <c r="C80" s="68"/>
      <c r="D80" s="68"/>
      <c r="E80" s="68"/>
      <c r="F80" s="68"/>
      <c r="G80" s="193">
        <v>31895110</v>
      </c>
      <c r="H80" s="193">
        <v>40572867</v>
      </c>
      <c r="I80" s="193">
        <v>45601883</v>
      </c>
      <c r="J80" s="193">
        <v>42639573</v>
      </c>
      <c r="K80" s="194">
        <v>43173754</v>
      </c>
      <c r="L80" s="186"/>
      <c r="M80" s="186"/>
      <c r="N80" s="186"/>
      <c r="O80" s="186"/>
      <c r="P80" s="186"/>
      <c r="Q80" s="186"/>
      <c r="R80" s="186"/>
      <c r="S80" s="186"/>
      <c r="T80" s="186"/>
      <c r="U80" s="186"/>
    </row>
    <row r="81" spans="1:21" s="179" customFormat="1">
      <c r="A81" s="177" t="s">
        <v>247</v>
      </c>
      <c r="B81" s="68"/>
      <c r="C81" s="68"/>
      <c r="D81" s="68"/>
      <c r="E81" s="68"/>
      <c r="F81" s="68"/>
      <c r="G81" s="193">
        <f>G78-G80</f>
        <v>13913350</v>
      </c>
      <c r="H81" s="193">
        <f>H78-H80</f>
        <v>15955050</v>
      </c>
      <c r="I81" s="193">
        <f>I78-I80</f>
        <v>17436005</v>
      </c>
      <c r="J81" s="193">
        <f>J78-J80</f>
        <v>15133515</v>
      </c>
      <c r="K81" s="194">
        <f>K78-K80</f>
        <v>16083634</v>
      </c>
      <c r="L81" s="182"/>
      <c r="M81" s="182"/>
      <c r="N81" s="182"/>
      <c r="O81" s="182"/>
      <c r="P81" s="182"/>
      <c r="Q81" s="182"/>
      <c r="R81" s="182"/>
      <c r="S81" s="182"/>
      <c r="T81" s="182"/>
      <c r="U81" s="182"/>
    </row>
    <row r="82" spans="1:21" s="179" customFormat="1">
      <c r="A82" s="178" t="s">
        <v>250</v>
      </c>
      <c r="B82" s="180"/>
      <c r="C82" s="180"/>
      <c r="D82" s="180"/>
      <c r="E82" s="180"/>
      <c r="F82" s="180"/>
      <c r="G82" s="180">
        <f>G81/G78</f>
        <v>0.30372883087534486</v>
      </c>
      <c r="H82" s="180">
        <f>H81/H78</f>
        <v>0.28225080361620258</v>
      </c>
      <c r="I82" s="180">
        <f>I81/I78</f>
        <v>0.27659564038693685</v>
      </c>
      <c r="J82" s="180">
        <f>J81/J78</f>
        <v>0.26194748322956185</v>
      </c>
      <c r="K82" s="181">
        <f>K81/K78</f>
        <v>0.27141989451171894</v>
      </c>
      <c r="L82" s="182"/>
      <c r="M82" s="182"/>
      <c r="N82" s="182"/>
      <c r="O82" s="182"/>
      <c r="P82" s="182"/>
      <c r="Q82" s="182"/>
      <c r="R82" s="182"/>
      <c r="S82" s="182"/>
      <c r="T82" s="182"/>
      <c r="U82" s="182"/>
    </row>
    <row r="83" spans="1:21">
      <c r="A83" s="134" t="s">
        <v>248</v>
      </c>
      <c r="B83" s="29"/>
      <c r="C83" s="29"/>
      <c r="D83" s="29"/>
      <c r="E83" s="67">
        <f t="shared" ref="E83:J83" si="3">E112</f>
        <v>3314813</v>
      </c>
      <c r="F83" s="67">
        <f t="shared" si="3"/>
        <v>3829979</v>
      </c>
      <c r="G83" s="193">
        <f t="shared" si="3"/>
        <v>5587450</v>
      </c>
      <c r="H83" s="193">
        <f t="shared" si="3"/>
        <v>5501495</v>
      </c>
      <c r="I83" s="193">
        <f t="shared" si="3"/>
        <v>4931412</v>
      </c>
      <c r="J83" s="193">
        <f t="shared" si="3"/>
        <v>2714596</v>
      </c>
      <c r="K83" s="194">
        <f>K112</f>
        <v>3187786</v>
      </c>
      <c r="L83" s="2"/>
      <c r="M83" s="2"/>
      <c r="N83" s="2"/>
      <c r="O83" s="2"/>
      <c r="P83" s="2"/>
      <c r="Q83" s="2"/>
      <c r="R83" s="2"/>
      <c r="S83" s="2"/>
      <c r="T83" s="2"/>
      <c r="U83" s="2"/>
    </row>
    <row r="84" spans="1:21" s="187" customFormat="1">
      <c r="A84" s="190" t="s">
        <v>251</v>
      </c>
      <c r="B84" s="180" t="e">
        <f t="shared" ref="B84:K84" si="4">B83/B78</f>
        <v>#DIV/0!</v>
      </c>
      <c r="C84" s="180" t="e">
        <f t="shared" si="4"/>
        <v>#DIV/0!</v>
      </c>
      <c r="D84" s="180" t="e">
        <f t="shared" si="4"/>
        <v>#DIV/0!</v>
      </c>
      <c r="E84" s="180">
        <f t="shared" si="4"/>
        <v>9.8030443970178377E-2</v>
      </c>
      <c r="F84" s="180">
        <f t="shared" si="4"/>
        <v>0.11329540391452853</v>
      </c>
      <c r="G84" s="180">
        <f t="shared" si="4"/>
        <v>0.12197419428638291</v>
      </c>
      <c r="H84" s="180">
        <f t="shared" si="4"/>
        <v>9.73235047737563E-2</v>
      </c>
      <c r="I84" s="180">
        <f t="shared" si="4"/>
        <v>7.8229334079212801E-2</v>
      </c>
      <c r="J84" s="180">
        <f t="shared" si="4"/>
        <v>4.6987206223077428E-2</v>
      </c>
      <c r="K84" s="181">
        <f t="shared" si="4"/>
        <v>5.3795587480163658E-2</v>
      </c>
    </row>
    <row r="85" spans="1:21" s="3" customFormat="1">
      <c r="A85" s="191" t="s">
        <v>249</v>
      </c>
      <c r="B85" s="67"/>
      <c r="C85" s="67"/>
      <c r="D85" s="67"/>
      <c r="E85" s="67">
        <v>1492596</v>
      </c>
      <c r="F85" s="67">
        <v>1645860</v>
      </c>
      <c r="G85" s="193">
        <v>3423126</v>
      </c>
      <c r="H85" s="193">
        <v>3212126</v>
      </c>
      <c r="I85" s="193">
        <v>2894814</v>
      </c>
      <c r="J85" s="193">
        <v>1568028</v>
      </c>
      <c r="K85" s="194">
        <v>1647733</v>
      </c>
    </row>
    <row r="86" spans="1:21" s="187" customFormat="1">
      <c r="A86" s="183" t="s">
        <v>252</v>
      </c>
      <c r="B86" s="188"/>
      <c r="C86" s="188"/>
      <c r="D86" s="188"/>
      <c r="E86" s="184">
        <f t="shared" ref="E86:K86" si="5">E85/E78</f>
        <v>4.4141207527577685E-2</v>
      </c>
      <c r="F86" s="184">
        <f t="shared" si="5"/>
        <v>4.8686526345644694E-2</v>
      </c>
      <c r="G86" s="184">
        <f t="shared" si="5"/>
        <v>7.4726939085051097E-2</v>
      </c>
      <c r="H86" s="184">
        <f t="shared" si="5"/>
        <v>5.6823710663175507E-2</v>
      </c>
      <c r="I86" s="184">
        <f t="shared" si="5"/>
        <v>4.5921811339872297E-2</v>
      </c>
      <c r="J86" s="184">
        <f t="shared" si="5"/>
        <v>2.7141149180047293E-2</v>
      </c>
      <c r="K86" s="185">
        <f t="shared" si="5"/>
        <v>2.780637243072543E-2</v>
      </c>
    </row>
    <row r="87" spans="1:21">
      <c r="A87" s="177"/>
      <c r="B87" s="29"/>
      <c r="C87" s="29"/>
      <c r="D87" s="29"/>
      <c r="E87" s="68"/>
      <c r="F87" s="68"/>
      <c r="G87" s="68"/>
      <c r="H87" s="68"/>
      <c r="I87" s="68"/>
      <c r="J87" s="68"/>
      <c r="K87" s="173"/>
      <c r="L87" s="2"/>
      <c r="M87" s="2"/>
      <c r="N87" s="2"/>
      <c r="O87" s="2"/>
      <c r="P87" s="2"/>
      <c r="Q87" s="2"/>
      <c r="R87" s="2"/>
      <c r="S87" s="2"/>
      <c r="T87" s="2"/>
      <c r="U87" s="2"/>
    </row>
    <row r="88" spans="1:21">
      <c r="A88" s="134" t="s">
        <v>265</v>
      </c>
      <c r="B88" s="29"/>
      <c r="C88" s="29"/>
      <c r="D88" s="29"/>
      <c r="E88" s="68"/>
      <c r="F88" s="68"/>
      <c r="G88" s="193">
        <v>19921555</v>
      </c>
      <c r="H88" s="193">
        <v>22121816</v>
      </c>
      <c r="I88" s="193">
        <v>28033290</v>
      </c>
      <c r="J88" s="193">
        <v>24786344</v>
      </c>
      <c r="K88" s="194">
        <v>29724708</v>
      </c>
      <c r="L88" s="2"/>
      <c r="M88" s="2"/>
      <c r="N88" s="2"/>
      <c r="O88" s="2"/>
      <c r="P88" s="2"/>
      <c r="Q88" s="2"/>
      <c r="R88" s="2"/>
      <c r="S88" s="2"/>
      <c r="T88" s="2"/>
      <c r="U88" s="2"/>
    </row>
    <row r="89" spans="1:21">
      <c r="A89" s="174" t="s">
        <v>416</v>
      </c>
      <c r="B89" s="5"/>
      <c r="C89" s="5"/>
      <c r="D89" s="5"/>
      <c r="E89" s="162"/>
      <c r="F89" s="162"/>
      <c r="G89" s="195">
        <v>6416958</v>
      </c>
      <c r="H89" s="195">
        <v>9090219</v>
      </c>
      <c r="I89" s="195">
        <v>10088636</v>
      </c>
      <c r="J89" s="195">
        <v>5852690</v>
      </c>
      <c r="K89" s="196">
        <v>11496923</v>
      </c>
      <c r="L89" s="2"/>
      <c r="M89" s="2"/>
      <c r="N89" s="2"/>
      <c r="O89" s="2"/>
      <c r="P89" s="2"/>
      <c r="Q89" s="2"/>
      <c r="R89" s="2"/>
      <c r="S89" s="2"/>
      <c r="T89" s="2"/>
      <c r="U89" s="2"/>
    </row>
    <row r="90" spans="1:21">
      <c r="A90" s="134" t="s">
        <v>463</v>
      </c>
      <c r="B90" s="29"/>
      <c r="C90" s="29"/>
      <c r="D90" s="29"/>
      <c r="E90" s="68"/>
      <c r="F90" s="68"/>
      <c r="G90" s="193">
        <f>G88-G89</f>
        <v>13504597</v>
      </c>
      <c r="H90" s="193">
        <f>H88-H89</f>
        <v>13031597</v>
      </c>
      <c r="I90" s="193">
        <f>I88-I89</f>
        <v>17944654</v>
      </c>
      <c r="J90" s="193">
        <f>J88-J89</f>
        <v>18933654</v>
      </c>
      <c r="K90" s="194">
        <f>K88-K89</f>
        <v>18227785</v>
      </c>
      <c r="L90" s="2"/>
      <c r="M90" s="2"/>
      <c r="N90" s="2"/>
      <c r="O90" s="2"/>
      <c r="P90" s="2"/>
      <c r="Q90" s="2"/>
      <c r="R90" s="2"/>
      <c r="S90" s="2"/>
      <c r="T90" s="2"/>
      <c r="U90" s="2"/>
    </row>
    <row r="91" spans="1:21">
      <c r="A91" s="134"/>
      <c r="B91" s="29"/>
      <c r="C91" s="29"/>
      <c r="D91" s="29"/>
      <c r="E91" s="68"/>
      <c r="F91" s="68"/>
      <c r="G91" s="67"/>
      <c r="H91" s="67"/>
      <c r="I91" s="67"/>
      <c r="J91" s="67"/>
      <c r="K91" s="172"/>
      <c r="L91" s="2"/>
      <c r="M91" s="2"/>
      <c r="N91" s="2"/>
      <c r="O91" s="2"/>
      <c r="P91" s="2"/>
      <c r="Q91" s="2"/>
      <c r="R91" s="2"/>
      <c r="S91" s="2"/>
      <c r="T91" s="2"/>
      <c r="U91" s="2"/>
    </row>
    <row r="92" spans="1:21">
      <c r="A92" s="134" t="s">
        <v>382</v>
      </c>
      <c r="B92" s="29"/>
      <c r="C92" s="29"/>
      <c r="D92" s="29"/>
      <c r="E92" s="68"/>
      <c r="F92" s="68"/>
      <c r="G92" s="193">
        <v>24052979</v>
      </c>
      <c r="H92" s="193">
        <v>28811757</v>
      </c>
      <c r="I92" s="193">
        <v>37461782</v>
      </c>
      <c r="J92" s="193">
        <v>35460895</v>
      </c>
      <c r="K92" s="194">
        <v>41796579</v>
      </c>
      <c r="L92" s="2"/>
      <c r="M92" s="2"/>
      <c r="N92" s="2"/>
      <c r="O92" s="2"/>
      <c r="P92" s="2"/>
      <c r="Q92" s="2"/>
      <c r="R92" s="2"/>
      <c r="S92" s="2"/>
      <c r="T92" s="2"/>
      <c r="U92" s="2"/>
    </row>
    <row r="93" spans="1:21">
      <c r="A93" s="134" t="s">
        <v>418</v>
      </c>
      <c r="B93" s="29"/>
      <c r="C93" s="29"/>
      <c r="D93" s="29"/>
      <c r="E93" s="68"/>
      <c r="F93" s="68"/>
      <c r="G93" s="193">
        <f>G89+700000</f>
        <v>7116958</v>
      </c>
      <c r="H93" s="193">
        <f>H89+700000</f>
        <v>9790219</v>
      </c>
      <c r="I93" s="193">
        <f>I89+5600000+700000</f>
        <v>16388636</v>
      </c>
      <c r="J93" s="193">
        <f>J89+7115000+700000</f>
        <v>13667690</v>
      </c>
      <c r="K93" s="194">
        <f>K89+6724936+700000</f>
        <v>18921859</v>
      </c>
      <c r="L93" s="2"/>
      <c r="M93" s="2"/>
      <c r="N93" s="2"/>
      <c r="O93" s="2"/>
      <c r="P93" s="2"/>
      <c r="Q93" s="2"/>
      <c r="R93" s="2"/>
      <c r="S93" s="2"/>
      <c r="T93" s="2"/>
      <c r="U93" s="2"/>
    </row>
    <row r="94" spans="1:21">
      <c r="A94" s="174" t="s">
        <v>215</v>
      </c>
      <c r="B94" s="5"/>
      <c r="C94" s="5"/>
      <c r="D94" s="5"/>
      <c r="E94" s="162"/>
      <c r="F94" s="162"/>
      <c r="G94" s="195">
        <v>55360</v>
      </c>
      <c r="H94" s="195">
        <v>91981</v>
      </c>
      <c r="I94" s="195">
        <v>99893</v>
      </c>
      <c r="J94" s="195">
        <v>103042</v>
      </c>
      <c r="K94" s="196">
        <v>65126</v>
      </c>
      <c r="L94" s="2"/>
      <c r="M94" s="2"/>
      <c r="N94" s="2"/>
      <c r="O94" s="2"/>
      <c r="P94" s="2"/>
      <c r="Q94" s="2"/>
      <c r="R94" s="2"/>
      <c r="S94" s="2"/>
      <c r="T94" s="2"/>
      <c r="U94" s="2"/>
    </row>
    <row r="95" spans="1:21" ht="15.75" thickBot="1">
      <c r="A95" s="135" t="s">
        <v>417</v>
      </c>
      <c r="B95" s="175"/>
      <c r="C95" s="175"/>
      <c r="D95" s="175"/>
      <c r="E95" s="192"/>
      <c r="F95" s="192"/>
      <c r="G95" s="197">
        <f>16880661</f>
        <v>16880661</v>
      </c>
      <c r="H95" s="197">
        <v>18929557</v>
      </c>
      <c r="I95" s="197">
        <v>20973253</v>
      </c>
      <c r="J95" s="197">
        <v>21690163</v>
      </c>
      <c r="K95" s="198">
        <v>22809594</v>
      </c>
      <c r="L95" s="2"/>
      <c r="M95" s="2"/>
      <c r="N95" s="2"/>
      <c r="O95" s="2"/>
      <c r="P95" s="2"/>
      <c r="Q95" s="2"/>
      <c r="R95" s="2"/>
      <c r="S95" s="2"/>
      <c r="T95" s="2"/>
      <c r="U95" s="2"/>
    </row>
    <row r="96" spans="1:21" ht="61.5" customHeight="1">
      <c r="A96" s="252" t="s">
        <v>466</v>
      </c>
      <c r="B96" s="252"/>
      <c r="C96" s="252"/>
      <c r="D96" s="252"/>
      <c r="E96" s="252"/>
      <c r="F96" s="252"/>
      <c r="G96" s="252"/>
      <c r="H96" s="252"/>
      <c r="I96" s="252"/>
      <c r="J96" s="252"/>
      <c r="K96" s="252"/>
      <c r="L96" s="2"/>
      <c r="M96" s="2"/>
      <c r="N96" s="2"/>
      <c r="O96" s="2"/>
      <c r="P96" s="2"/>
      <c r="Q96" s="2"/>
      <c r="R96" s="2"/>
      <c r="S96" s="2"/>
      <c r="T96" s="2"/>
      <c r="U96" s="2"/>
    </row>
    <row r="97" spans="1:21">
      <c r="E97" s="57"/>
      <c r="F97" s="57"/>
      <c r="G97" s="3"/>
      <c r="H97" s="3"/>
      <c r="I97" s="3"/>
      <c r="J97" s="3"/>
      <c r="K97" s="3"/>
      <c r="L97" s="2"/>
      <c r="M97" s="2"/>
      <c r="N97" s="2"/>
      <c r="O97" s="2"/>
      <c r="P97" s="2"/>
      <c r="Q97" s="2"/>
      <c r="R97" s="2"/>
      <c r="S97" s="2"/>
      <c r="T97" s="2"/>
      <c r="U97" s="2"/>
    </row>
    <row r="98" spans="1:21" hidden="1" outlineLevel="1">
      <c r="E98" s="57"/>
      <c r="F98" s="57"/>
      <c r="G98" s="3">
        <f>G92-G93-G94</f>
        <v>16880661</v>
      </c>
      <c r="H98" s="3">
        <f>H92-H93-H94</f>
        <v>18929557</v>
      </c>
      <c r="I98" s="3">
        <f>I92-I93-I94</f>
        <v>20973253</v>
      </c>
      <c r="J98" s="3">
        <f>J92-J93-J94</f>
        <v>21690163</v>
      </c>
      <c r="K98" s="3">
        <f>K92-K93-K94</f>
        <v>22809594</v>
      </c>
      <c r="L98" s="2"/>
      <c r="M98" s="2"/>
      <c r="N98" s="2"/>
      <c r="O98" s="2"/>
      <c r="P98" s="2"/>
      <c r="Q98" s="2"/>
      <c r="R98" s="2"/>
      <c r="S98" s="2"/>
      <c r="T98" s="2"/>
      <c r="U98" s="2"/>
    </row>
    <row r="99" spans="1:21" hidden="1" outlineLevel="1">
      <c r="E99" s="57"/>
      <c r="F99" s="57"/>
      <c r="G99" s="3" t="b">
        <f>G98=G95</f>
        <v>1</v>
      </c>
      <c r="H99" s="3" t="b">
        <f>H98=H95</f>
        <v>1</v>
      </c>
      <c r="I99" s="3" t="b">
        <f>I98=I95</f>
        <v>1</v>
      </c>
      <c r="J99" s="3" t="b">
        <f>J98=J95</f>
        <v>1</v>
      </c>
      <c r="K99" s="3" t="b">
        <f>K98=K95</f>
        <v>1</v>
      </c>
      <c r="L99" s="2"/>
      <c r="M99" s="2"/>
      <c r="N99" s="2"/>
      <c r="O99" s="2"/>
      <c r="P99" s="2"/>
      <c r="Q99" s="2"/>
      <c r="R99" s="2"/>
      <c r="S99" s="2"/>
      <c r="T99" s="2"/>
      <c r="U99" s="2"/>
    </row>
    <row r="100" spans="1:21" hidden="1" outlineLevel="1">
      <c r="A100" s="57" t="s">
        <v>420</v>
      </c>
      <c r="E100" s="57"/>
      <c r="F100" s="57"/>
      <c r="G100" s="3">
        <v>1</v>
      </c>
      <c r="H100" s="3">
        <v>1</v>
      </c>
      <c r="I100" s="3">
        <v>1</v>
      </c>
      <c r="J100" s="3">
        <v>1</v>
      </c>
      <c r="K100" s="3">
        <v>1</v>
      </c>
      <c r="L100" s="2"/>
      <c r="M100" s="2"/>
      <c r="N100" s="2"/>
      <c r="O100" s="2"/>
      <c r="P100" s="2"/>
      <c r="Q100" s="2"/>
      <c r="R100" s="2"/>
      <c r="S100" s="2"/>
      <c r="T100" s="2"/>
      <c r="U100" s="2"/>
    </row>
    <row r="101" spans="1:21" hidden="1" outlineLevel="1">
      <c r="A101" s="2" t="s">
        <v>439</v>
      </c>
      <c r="E101" s="57"/>
      <c r="F101" s="57"/>
      <c r="G101" s="27" t="s">
        <v>447</v>
      </c>
      <c r="H101" s="27" t="s">
        <v>446</v>
      </c>
      <c r="I101" s="27" t="s">
        <v>445</v>
      </c>
      <c r="J101" s="27" t="s">
        <v>441</v>
      </c>
      <c r="K101" s="27" t="s">
        <v>441</v>
      </c>
      <c r="L101" s="2"/>
      <c r="M101" s="2"/>
      <c r="N101" s="2"/>
      <c r="O101" s="2"/>
      <c r="P101" s="2"/>
      <c r="Q101" s="2"/>
      <c r="R101" s="2"/>
      <c r="S101" s="2"/>
      <c r="T101" s="2"/>
      <c r="U101" s="2"/>
    </row>
    <row r="102" spans="1:21" hidden="1" outlineLevel="1">
      <c r="A102" s="2" t="s">
        <v>440</v>
      </c>
      <c r="E102" s="57"/>
      <c r="F102" s="57"/>
      <c r="G102" s="27"/>
      <c r="H102" s="27" t="s">
        <v>461</v>
      </c>
      <c r="I102" s="27"/>
      <c r="J102" s="27"/>
      <c r="K102" s="27"/>
      <c r="L102" s="2"/>
      <c r="M102" s="2"/>
      <c r="N102" s="2"/>
      <c r="O102" s="2"/>
      <c r="P102" s="2"/>
      <c r="Q102" s="2"/>
      <c r="R102" s="2"/>
      <c r="S102" s="2"/>
      <c r="T102" s="2"/>
      <c r="U102" s="2"/>
    </row>
    <row r="103" spans="1:21" hidden="1" outlineLevel="1">
      <c r="A103" s="2" t="s">
        <v>56</v>
      </c>
      <c r="E103" s="57"/>
      <c r="F103" s="57"/>
      <c r="G103" s="3">
        <v>258340</v>
      </c>
      <c r="H103" s="3"/>
      <c r="I103" s="3"/>
      <c r="J103" s="3"/>
      <c r="K103" s="3"/>
      <c r="L103" s="2"/>
      <c r="M103" s="2"/>
      <c r="N103" s="2"/>
      <c r="O103" s="2"/>
      <c r="P103" s="2"/>
      <c r="Q103" s="2"/>
      <c r="R103" s="2"/>
      <c r="S103" s="2"/>
      <c r="T103" s="2"/>
      <c r="U103" s="2"/>
    </row>
    <row r="104" spans="1:21" hidden="1" outlineLevel="1">
      <c r="A104" s="2" t="s">
        <v>460</v>
      </c>
      <c r="E104" s="57"/>
      <c r="F104" s="57"/>
      <c r="G104" s="3"/>
      <c r="H104" s="3">
        <v>394244</v>
      </c>
      <c r="I104" s="3">
        <v>515369</v>
      </c>
      <c r="J104" s="3">
        <v>519498</v>
      </c>
      <c r="K104" s="3">
        <v>585826</v>
      </c>
      <c r="L104" s="2"/>
      <c r="M104" s="2"/>
      <c r="N104" s="2"/>
      <c r="O104" s="2"/>
      <c r="P104" s="2"/>
      <c r="Q104" s="2"/>
      <c r="R104" s="2"/>
      <c r="S104" s="2"/>
      <c r="T104" s="2"/>
      <c r="U104" s="2"/>
    </row>
    <row r="105" spans="1:21" hidden="1" outlineLevel="1">
      <c r="A105" s="57"/>
      <c r="E105" s="57"/>
      <c r="F105" s="57"/>
      <c r="G105" s="27"/>
      <c r="H105" s="27"/>
      <c r="I105" s="27"/>
      <c r="J105" s="27"/>
      <c r="K105" s="27"/>
      <c r="L105" s="2"/>
      <c r="M105" s="2"/>
      <c r="N105" s="2"/>
      <c r="O105" s="2"/>
      <c r="P105" s="2"/>
      <c r="Q105" s="2"/>
      <c r="R105" s="2"/>
      <c r="S105" s="2"/>
      <c r="T105" s="2"/>
      <c r="U105" s="2"/>
    </row>
    <row r="106" spans="1:21" hidden="1" outlineLevel="1">
      <c r="A106" s="2" t="s">
        <v>398</v>
      </c>
      <c r="L106" s="2"/>
      <c r="M106" s="2"/>
      <c r="N106" s="2"/>
      <c r="O106" s="2"/>
      <c r="P106" s="2"/>
      <c r="Q106" s="2"/>
      <c r="R106" s="2"/>
      <c r="S106" s="2"/>
      <c r="T106" s="2"/>
      <c r="U106" s="2"/>
    </row>
    <row r="107" spans="1:21" hidden="1" outlineLevel="1">
      <c r="A107" s="2" t="s">
        <v>394</v>
      </c>
      <c r="L107" s="2"/>
      <c r="M107" s="2"/>
      <c r="N107" s="2"/>
      <c r="O107" s="2"/>
      <c r="P107" s="2"/>
      <c r="Q107" s="2"/>
      <c r="R107" s="2"/>
      <c r="S107" s="2"/>
      <c r="T107" s="2"/>
      <c r="U107" s="2"/>
    </row>
    <row r="108" spans="1:21" hidden="1" outlineLevel="1">
      <c r="A108" s="2" t="s">
        <v>395</v>
      </c>
      <c r="E108" s="3">
        <f t="shared" ref="E108:K108" si="6">E78</f>
        <v>33814118</v>
      </c>
      <c r="F108" s="3">
        <f t="shared" si="6"/>
        <v>33805246</v>
      </c>
      <c r="G108" s="3">
        <f t="shared" si="6"/>
        <v>45808460</v>
      </c>
      <c r="H108" s="3">
        <f t="shared" si="6"/>
        <v>56527917</v>
      </c>
      <c r="I108" s="3">
        <f t="shared" si="6"/>
        <v>63037888</v>
      </c>
      <c r="J108" s="3">
        <f t="shared" si="6"/>
        <v>57773088</v>
      </c>
      <c r="K108" s="3">
        <f t="shared" si="6"/>
        <v>59257388</v>
      </c>
      <c r="L108" s="2"/>
      <c r="M108" s="2"/>
      <c r="N108" s="2"/>
      <c r="O108" s="2"/>
      <c r="P108" s="2"/>
      <c r="Q108" s="2"/>
      <c r="R108" s="2"/>
      <c r="S108" s="2"/>
      <c r="T108" s="2"/>
      <c r="U108" s="2"/>
    </row>
    <row r="109" spans="1:21" hidden="1" outlineLevel="1">
      <c r="A109" s="2" t="s">
        <v>396</v>
      </c>
      <c r="E109" s="3">
        <v>24503308</v>
      </c>
      <c r="F109" s="3">
        <v>23731320</v>
      </c>
      <c r="G109" s="3">
        <v>31895110</v>
      </c>
      <c r="H109" s="3">
        <v>40572867</v>
      </c>
      <c r="I109" s="3">
        <v>45604883</v>
      </c>
      <c r="J109" s="3">
        <v>42639573</v>
      </c>
      <c r="K109" s="3">
        <v>43173754</v>
      </c>
      <c r="L109" s="2"/>
      <c r="M109" s="2"/>
      <c r="N109" s="2"/>
      <c r="O109" s="2"/>
      <c r="P109" s="2"/>
      <c r="Q109" s="2"/>
      <c r="R109" s="2"/>
      <c r="S109" s="2"/>
      <c r="T109" s="2"/>
      <c r="U109" s="2"/>
    </row>
    <row r="110" spans="1:21" hidden="1" outlineLevel="1">
      <c r="A110" s="2" t="s">
        <v>280</v>
      </c>
      <c r="E110" s="3">
        <v>197680</v>
      </c>
      <c r="F110" s="3">
        <v>178292</v>
      </c>
      <c r="G110" s="3">
        <v>239316</v>
      </c>
      <c r="H110" s="3">
        <v>340803</v>
      </c>
      <c r="I110" s="3">
        <v>620153</v>
      </c>
      <c r="J110" s="3">
        <v>700768</v>
      </c>
      <c r="K110" s="3">
        <v>714530</v>
      </c>
      <c r="L110" s="2"/>
      <c r="M110" s="2"/>
      <c r="N110" s="2"/>
      <c r="O110" s="2"/>
      <c r="P110" s="2"/>
      <c r="Q110" s="2"/>
      <c r="R110" s="2"/>
      <c r="S110" s="2"/>
      <c r="T110" s="2"/>
      <c r="U110" s="2"/>
    </row>
    <row r="111" spans="1:21" hidden="1" outlineLevel="1">
      <c r="A111" s="2" t="s">
        <v>255</v>
      </c>
      <c r="E111" s="3">
        <v>5798317</v>
      </c>
      <c r="F111" s="3">
        <v>6065655</v>
      </c>
      <c r="G111" s="3">
        <v>8086584</v>
      </c>
      <c r="H111" s="3">
        <v>10112752</v>
      </c>
      <c r="I111" s="3">
        <v>11881440</v>
      </c>
      <c r="J111" s="3">
        <v>11718151</v>
      </c>
      <c r="K111" s="3">
        <v>12181318</v>
      </c>
      <c r="L111" s="2"/>
      <c r="M111" s="2"/>
      <c r="N111" s="2"/>
      <c r="O111" s="2"/>
      <c r="P111" s="2"/>
      <c r="Q111" s="2"/>
      <c r="R111" s="2"/>
      <c r="S111" s="2"/>
      <c r="T111" s="2"/>
      <c r="U111" s="2"/>
    </row>
    <row r="112" spans="1:21" hidden="1" outlineLevel="1">
      <c r="A112" s="2" t="s">
        <v>393</v>
      </c>
      <c r="E112" s="3">
        <f t="shared" ref="E112:J112" si="7">E108-SUM(E109:E111)</f>
        <v>3314813</v>
      </c>
      <c r="F112" s="3">
        <f t="shared" si="7"/>
        <v>3829979</v>
      </c>
      <c r="G112" s="3">
        <f t="shared" si="7"/>
        <v>5587450</v>
      </c>
      <c r="H112" s="3">
        <f t="shared" si="7"/>
        <v>5501495</v>
      </c>
      <c r="I112" s="3">
        <f t="shared" si="7"/>
        <v>4931412</v>
      </c>
      <c r="J112" s="3">
        <f t="shared" si="7"/>
        <v>2714596</v>
      </c>
      <c r="K112" s="3">
        <f>K108-SUM(K109:K111)</f>
        <v>3187786</v>
      </c>
      <c r="L112" s="2"/>
      <c r="M112" s="2"/>
      <c r="N112" s="2"/>
      <c r="O112" s="2"/>
      <c r="P112" s="2"/>
      <c r="Q112" s="2"/>
      <c r="R112" s="2"/>
      <c r="S112" s="2"/>
      <c r="T112" s="2"/>
      <c r="U112" s="2"/>
    </row>
    <row r="113" spans="1:21" hidden="1" outlineLevel="1">
      <c r="E113" s="3"/>
      <c r="F113" s="3"/>
      <c r="G113" s="3"/>
      <c r="H113" s="3"/>
      <c r="I113" s="3"/>
      <c r="J113" s="3"/>
      <c r="K113" s="3"/>
      <c r="L113" s="2"/>
      <c r="M113" s="2"/>
      <c r="N113" s="2"/>
      <c r="O113" s="2"/>
      <c r="P113" s="2"/>
      <c r="Q113" s="2"/>
      <c r="R113" s="2"/>
      <c r="S113" s="2"/>
      <c r="T113" s="2"/>
      <c r="U113" s="2"/>
    </row>
    <row r="114" spans="1:21" hidden="1" outlineLevel="1">
      <c r="A114" s="2" t="s">
        <v>397</v>
      </c>
      <c r="E114" s="3">
        <v>8937</v>
      </c>
      <c r="F114" s="3">
        <v>14149</v>
      </c>
      <c r="G114" s="3">
        <v>23159</v>
      </c>
      <c r="H114" s="3">
        <v>18296</v>
      </c>
      <c r="I114" s="3">
        <v>10312</v>
      </c>
      <c r="J114" s="3">
        <v>4899</v>
      </c>
      <c r="K114" s="3">
        <v>11102</v>
      </c>
      <c r="L114" s="2"/>
      <c r="M114" s="2"/>
      <c r="N114" s="2"/>
      <c r="O114" s="2"/>
      <c r="P114" s="2"/>
      <c r="Q114" s="2"/>
      <c r="R114" s="2"/>
      <c r="S114" s="2"/>
      <c r="T114" s="2"/>
      <c r="U114" s="2"/>
    </row>
    <row r="115" spans="1:21" collapsed="1">
      <c r="G115" s="3"/>
      <c r="H115" s="3"/>
      <c r="I115" s="3"/>
      <c r="J115" s="3"/>
      <c r="K115" s="3"/>
      <c r="L115" s="2"/>
      <c r="M115" s="2"/>
      <c r="N115" s="2"/>
      <c r="O115" s="2"/>
      <c r="P115" s="2"/>
      <c r="Q115" s="2"/>
      <c r="R115" s="2"/>
      <c r="S115" s="2"/>
      <c r="T115" s="2"/>
      <c r="U115" s="2"/>
    </row>
    <row r="116" spans="1:21">
      <c r="L116" s="2"/>
      <c r="M116" s="2"/>
      <c r="N116" s="2"/>
      <c r="O116" s="2"/>
      <c r="P116" s="2"/>
      <c r="Q116" s="2"/>
      <c r="R116" s="2"/>
      <c r="S116" s="2"/>
      <c r="T116" s="2"/>
      <c r="U116" s="2"/>
    </row>
    <row r="117" spans="1:21">
      <c r="L117" s="2"/>
      <c r="M117" s="2"/>
      <c r="N117" s="2"/>
      <c r="O117" s="2"/>
      <c r="P117" s="2"/>
      <c r="Q117" s="2"/>
      <c r="R117" s="2"/>
      <c r="S117" s="2"/>
      <c r="T117" s="2"/>
      <c r="U117" s="2"/>
    </row>
    <row r="118" spans="1:21">
      <c r="L118" s="2"/>
      <c r="M118" s="2"/>
      <c r="N118" s="2"/>
      <c r="O118" s="2"/>
      <c r="P118" s="2"/>
      <c r="Q118" s="2"/>
      <c r="R118" s="2"/>
      <c r="S118" s="2"/>
      <c r="T118" s="2"/>
      <c r="U118" s="2"/>
    </row>
    <row r="119" spans="1:21">
      <c r="L119" s="2"/>
      <c r="M119" s="2"/>
      <c r="N119" s="2"/>
      <c r="O119" s="2"/>
      <c r="P119" s="2"/>
      <c r="Q119" s="2"/>
      <c r="R119" s="2"/>
      <c r="S119" s="2"/>
      <c r="T119" s="2"/>
      <c r="U119" s="2"/>
    </row>
    <row r="120" spans="1:21">
      <c r="L120" s="2"/>
      <c r="M120" s="2"/>
      <c r="N120" s="2"/>
      <c r="O120" s="2"/>
      <c r="P120" s="2"/>
      <c r="Q120" s="2"/>
      <c r="R120" s="2"/>
      <c r="S120" s="2"/>
      <c r="T120" s="2"/>
      <c r="U120" s="2"/>
    </row>
    <row r="121" spans="1:21">
      <c r="Q121" s="2"/>
      <c r="R121" s="2"/>
      <c r="S121" s="2"/>
      <c r="T121" s="2"/>
      <c r="U121" s="2"/>
    </row>
  </sheetData>
  <mergeCells count="1">
    <mergeCell ref="A96:K96"/>
  </mergeCell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AC7F5-07C4-4590-927B-54A28E5A0F9C}">
  <dimension ref="A1:K12"/>
  <sheetViews>
    <sheetView workbookViewId="0">
      <selection activeCell="G39" sqref="G39"/>
    </sheetView>
  </sheetViews>
  <sheetFormatPr defaultRowHeight="15"/>
  <cols>
    <col min="2" max="3" width="13.5703125" bestFit="1" customWidth="1"/>
    <col min="4" max="6" width="11" bestFit="1" customWidth="1"/>
    <col min="7" max="8" width="13.5703125" bestFit="1" customWidth="1"/>
  </cols>
  <sheetData>
    <row r="1" spans="1:11">
      <c r="B1">
        <v>1950</v>
      </c>
      <c r="C1">
        <f>B1-1</f>
        <v>1949</v>
      </c>
      <c r="D1">
        <f>C1-1</f>
        <v>1948</v>
      </c>
      <c r="E1">
        <f>D1-1</f>
        <v>1947</v>
      </c>
      <c r="F1">
        <f>E1-1</f>
        <v>1946</v>
      </c>
      <c r="G1">
        <v>1945</v>
      </c>
      <c r="H1">
        <v>1944</v>
      </c>
      <c r="I1">
        <v>1943</v>
      </c>
      <c r="J1">
        <v>1942</v>
      </c>
      <c r="K1">
        <v>1941</v>
      </c>
    </row>
    <row r="2" spans="1:11">
      <c r="A2" t="s">
        <v>254</v>
      </c>
      <c r="B2" s="1">
        <v>59257388</v>
      </c>
      <c r="C2" s="1">
        <v>57773088</v>
      </c>
      <c r="D2" s="1">
        <v>63037888</v>
      </c>
      <c r="E2" s="1">
        <v>56727917</v>
      </c>
      <c r="F2" s="1">
        <v>45808460</v>
      </c>
      <c r="G2" s="1">
        <v>33805246</v>
      </c>
      <c r="H2" s="1">
        <v>33814118</v>
      </c>
    </row>
    <row r="3" spans="1:11">
      <c r="A3" t="s">
        <v>225</v>
      </c>
      <c r="B3" s="1">
        <v>43173754</v>
      </c>
      <c r="C3" s="1">
        <v>42639573</v>
      </c>
      <c r="D3" s="1">
        <v>45601883</v>
      </c>
      <c r="E3" s="1">
        <v>40572867</v>
      </c>
      <c r="F3" s="1">
        <v>31895110</v>
      </c>
      <c r="G3" s="1">
        <v>23731320</v>
      </c>
      <c r="H3" s="1">
        <v>24503308</v>
      </c>
    </row>
    <row r="4" spans="1:11">
      <c r="A4" t="s">
        <v>138</v>
      </c>
      <c r="B4" s="1">
        <v>714530</v>
      </c>
      <c r="C4" s="1">
        <v>700768</v>
      </c>
      <c r="D4" s="1">
        <v>620153</v>
      </c>
      <c r="E4" s="1">
        <v>340803</v>
      </c>
      <c r="F4" s="1">
        <v>239316</v>
      </c>
      <c r="G4" s="1">
        <v>178292</v>
      </c>
      <c r="H4" s="1">
        <v>197680</v>
      </c>
    </row>
    <row r="5" spans="1:11">
      <c r="A5" t="s">
        <v>255</v>
      </c>
      <c r="B5" s="1">
        <v>12181318</v>
      </c>
      <c r="C5" s="1">
        <v>11718151</v>
      </c>
      <c r="D5" s="1">
        <v>11881440</v>
      </c>
      <c r="E5" s="1">
        <v>10112754</v>
      </c>
      <c r="F5" s="1">
        <v>8086584</v>
      </c>
      <c r="G5" s="1">
        <v>6065655</v>
      </c>
      <c r="H5" s="1">
        <v>5798317</v>
      </c>
    </row>
    <row r="6" spans="1:11">
      <c r="A6" t="s">
        <v>256</v>
      </c>
      <c r="B6" s="1">
        <v>11102</v>
      </c>
      <c r="C6" s="1">
        <v>4899</v>
      </c>
      <c r="D6" s="1">
        <v>10312</v>
      </c>
      <c r="E6" s="1">
        <v>18296</v>
      </c>
      <c r="F6" s="1">
        <v>23159</v>
      </c>
      <c r="G6" s="1">
        <v>14149</v>
      </c>
      <c r="H6" s="1">
        <v>8937</v>
      </c>
    </row>
    <row r="7" spans="1:11">
      <c r="B7" s="1"/>
      <c r="C7" s="1"/>
      <c r="D7" s="1"/>
      <c r="E7" s="1"/>
      <c r="F7" s="1"/>
    </row>
    <row r="8" spans="1:11">
      <c r="A8" t="s">
        <v>247</v>
      </c>
      <c r="B8" s="1">
        <f>B2-B3</f>
        <v>16083634</v>
      </c>
      <c r="C8" s="1">
        <f t="shared" ref="C8:H8" si="0">C2-C3</f>
        <v>15133515</v>
      </c>
      <c r="D8" s="1">
        <f t="shared" si="0"/>
        <v>17436005</v>
      </c>
      <c r="E8" s="1">
        <f t="shared" si="0"/>
        <v>16155050</v>
      </c>
      <c r="F8" s="1">
        <f t="shared" si="0"/>
        <v>13913350</v>
      </c>
      <c r="G8" s="1">
        <f t="shared" si="0"/>
        <v>10073926</v>
      </c>
      <c r="H8" s="1">
        <f t="shared" si="0"/>
        <v>9310810</v>
      </c>
    </row>
    <row r="9" spans="1:11">
      <c r="A9" t="s">
        <v>248</v>
      </c>
      <c r="B9" s="1">
        <f>B2-B3-B4-B5+B6</f>
        <v>3198888</v>
      </c>
      <c r="C9" s="1">
        <f t="shared" ref="C9:H9" si="1">C2-C3-C4-C5+C6</f>
        <v>2719495</v>
      </c>
      <c r="D9" s="1">
        <f t="shared" si="1"/>
        <v>4944724</v>
      </c>
      <c r="E9" s="1">
        <f t="shared" si="1"/>
        <v>5719789</v>
      </c>
      <c r="F9" s="1">
        <f t="shared" si="1"/>
        <v>5610609</v>
      </c>
      <c r="G9" s="1">
        <f t="shared" si="1"/>
        <v>3844128</v>
      </c>
      <c r="H9" s="1">
        <f t="shared" si="1"/>
        <v>3323750</v>
      </c>
    </row>
    <row r="10" spans="1:11">
      <c r="A10" t="s">
        <v>94</v>
      </c>
      <c r="B10" s="1">
        <f>B9+B4</f>
        <v>3913418</v>
      </c>
      <c r="C10" s="1">
        <f t="shared" ref="C10:H10" si="2">C9+C4</f>
        <v>3420263</v>
      </c>
      <c r="D10" s="1">
        <f t="shared" si="2"/>
        <v>5564877</v>
      </c>
      <c r="E10" s="1">
        <f t="shared" si="2"/>
        <v>6060592</v>
      </c>
      <c r="F10" s="1">
        <f t="shared" si="2"/>
        <v>5849925</v>
      </c>
      <c r="G10" s="1">
        <f t="shared" si="2"/>
        <v>4022420</v>
      </c>
      <c r="H10" s="1">
        <f t="shared" si="2"/>
        <v>3521430</v>
      </c>
    </row>
    <row r="11" spans="1:11">
      <c r="A11" t="s">
        <v>257</v>
      </c>
      <c r="B11" s="1">
        <v>2098111</v>
      </c>
      <c r="C11" s="1">
        <v>2419324</v>
      </c>
      <c r="D11" s="1">
        <v>3476655</v>
      </c>
      <c r="E11" s="1">
        <v>3293618</v>
      </c>
      <c r="F11" s="1">
        <v>1632412</v>
      </c>
    </row>
    <row r="12" spans="1:11">
      <c r="A12" t="s">
        <v>258</v>
      </c>
      <c r="B12" s="38">
        <f>B10-B11</f>
        <v>1815307</v>
      </c>
      <c r="C12" s="38">
        <f>C10-C11</f>
        <v>1000939</v>
      </c>
      <c r="D12" s="38">
        <f>D10-D11</f>
        <v>2088222</v>
      </c>
      <c r="E12" s="38">
        <f>E10-E11</f>
        <v>2766974</v>
      </c>
      <c r="F12" s="38">
        <f>F10-F11</f>
        <v>4217513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778FD-A461-490F-8AD4-664C9DD57207}">
  <dimension ref="A1:E11"/>
  <sheetViews>
    <sheetView showGridLines="0" workbookViewId="0">
      <selection activeCell="C1" sqref="C1:C1048576"/>
    </sheetView>
  </sheetViews>
  <sheetFormatPr defaultColWidth="8.7109375" defaultRowHeight="15"/>
  <cols>
    <col min="1" max="1" width="5" style="2" bestFit="1" customWidth="1"/>
    <col min="2" max="3" width="7" style="2" bestFit="1" customWidth="1"/>
    <col min="4" max="4" width="9.42578125" style="2" bestFit="1" customWidth="1"/>
    <col min="5" max="16384" width="8.7109375" style="2"/>
  </cols>
  <sheetData>
    <row r="1" spans="1:5">
      <c r="A1" s="130"/>
      <c r="B1" s="131" t="s">
        <v>241</v>
      </c>
      <c r="C1" s="132" t="s">
        <v>242</v>
      </c>
      <c r="D1" s="133" t="s">
        <v>243</v>
      </c>
    </row>
    <row r="2" spans="1:5">
      <c r="A2" s="134">
        <v>1951</v>
      </c>
      <c r="B2" s="62">
        <v>14.75</v>
      </c>
      <c r="C2" s="136">
        <v>12</v>
      </c>
      <c r="D2" s="137">
        <v>1</v>
      </c>
      <c r="E2" s="2" t="s">
        <v>244</v>
      </c>
    </row>
    <row r="3" spans="1:5">
      <c r="A3" s="134">
        <v>1952</v>
      </c>
      <c r="B3" s="62">
        <v>14</v>
      </c>
      <c r="C3" s="136">
        <v>11.5</v>
      </c>
      <c r="D3" s="137">
        <v>1</v>
      </c>
    </row>
    <row r="4" spans="1:5">
      <c r="A4" s="134">
        <v>1953</v>
      </c>
      <c r="B4" s="62">
        <v>13</v>
      </c>
      <c r="C4" s="136">
        <v>11.75</v>
      </c>
      <c r="D4" s="137">
        <v>1</v>
      </c>
    </row>
    <row r="5" spans="1:5">
      <c r="A5" s="134">
        <v>1954</v>
      </c>
      <c r="B5" s="62">
        <v>16.375</v>
      </c>
      <c r="C5" s="136">
        <v>12</v>
      </c>
      <c r="D5" s="137">
        <v>1</v>
      </c>
      <c r="E5" s="2" t="s">
        <v>245</v>
      </c>
    </row>
    <row r="6" spans="1:5">
      <c r="A6" s="134">
        <v>1955</v>
      </c>
      <c r="B6" s="62">
        <v>18.25</v>
      </c>
      <c r="C6" s="136">
        <v>15.25</v>
      </c>
      <c r="D6" s="137">
        <v>1</v>
      </c>
    </row>
    <row r="7" spans="1:5">
      <c r="A7" s="134">
        <v>1956</v>
      </c>
      <c r="B7" s="62">
        <v>19.5</v>
      </c>
      <c r="C7" s="136">
        <v>17</v>
      </c>
      <c r="D7" s="137">
        <v>1</v>
      </c>
    </row>
    <row r="8" spans="1:5">
      <c r="A8" s="134">
        <v>1957</v>
      </c>
      <c r="B8" s="62">
        <v>19.5</v>
      </c>
      <c r="C8" s="136">
        <v>12</v>
      </c>
      <c r="D8" s="137">
        <v>1</v>
      </c>
    </row>
    <row r="9" spans="1:5">
      <c r="A9" s="134">
        <v>1958</v>
      </c>
      <c r="B9" s="62">
        <v>12.75</v>
      </c>
      <c r="C9" s="136">
        <v>9</v>
      </c>
      <c r="D9" s="137">
        <v>1</v>
      </c>
      <c r="E9" s="2" t="s">
        <v>377</v>
      </c>
    </row>
    <row r="10" spans="1:5">
      <c r="A10" s="134">
        <v>1959</v>
      </c>
      <c r="B10" s="62">
        <v>14.5</v>
      </c>
      <c r="C10" s="136">
        <v>9.5</v>
      </c>
      <c r="D10" s="137">
        <v>0.5</v>
      </c>
      <c r="E10" s="2" t="s">
        <v>377</v>
      </c>
    </row>
    <row r="11" spans="1:5" ht="15.75" thickBot="1">
      <c r="A11" s="135">
        <v>1960</v>
      </c>
      <c r="B11" s="138">
        <v>15.75</v>
      </c>
      <c r="C11" s="139">
        <v>10</v>
      </c>
      <c r="D11" s="140">
        <v>0.25</v>
      </c>
      <c r="E11" s="2" t="s">
        <v>377</v>
      </c>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EC169-AA0A-44DC-BCD1-E61D27B3658E}">
  <dimension ref="A1:B8"/>
  <sheetViews>
    <sheetView showGridLines="0" workbookViewId="0">
      <selection activeCell="B8" sqref="A1:B8"/>
    </sheetView>
  </sheetViews>
  <sheetFormatPr defaultColWidth="8.7109375" defaultRowHeight="15"/>
  <cols>
    <col min="1" max="1" width="17.85546875" style="2" customWidth="1"/>
    <col min="2" max="2" width="13.28515625" style="2" bestFit="1" customWidth="1"/>
    <col min="3" max="16384" width="8.7109375" style="2"/>
  </cols>
  <sheetData>
    <row r="1" spans="1:2">
      <c r="A1" s="247" t="s">
        <v>167</v>
      </c>
      <c r="B1" s="248"/>
    </row>
    <row r="2" spans="1:2">
      <c r="A2" s="249" t="s">
        <v>168</v>
      </c>
      <c r="B2" s="250"/>
    </row>
    <row r="3" spans="1:2">
      <c r="A3" s="19" t="s">
        <v>92</v>
      </c>
      <c r="B3" s="24">
        <v>13</v>
      </c>
    </row>
    <row r="4" spans="1:2">
      <c r="A4" s="25" t="s">
        <v>164</v>
      </c>
      <c r="B4" s="26">
        <v>140000</v>
      </c>
    </row>
    <row r="5" spans="1:2">
      <c r="A5" s="20" t="s">
        <v>165</v>
      </c>
      <c r="B5" s="21">
        <f>B3*B4</f>
        <v>1820000</v>
      </c>
    </row>
    <row r="6" spans="1:2">
      <c r="A6" s="20" t="s">
        <v>93</v>
      </c>
      <c r="B6" s="21">
        <f>'1950 Balance Sheet'!B31</f>
        <v>1500000</v>
      </c>
    </row>
    <row r="7" spans="1:2">
      <c r="A7" s="22" t="s">
        <v>1</v>
      </c>
      <c r="B7" s="23">
        <f>-'1950 Balance Sheet'!B3</f>
        <v>-441188</v>
      </c>
    </row>
    <row r="8" spans="1:2">
      <c r="A8" s="33" t="s">
        <v>166</v>
      </c>
      <c r="B8" s="34">
        <f>SUM(B5:B7)</f>
        <v>2878812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01891-272A-4692-B590-D7FB3B120B23}">
  <dimension ref="A1:L350"/>
  <sheetViews>
    <sheetView topLeftCell="A76" workbookViewId="0"/>
  </sheetViews>
  <sheetFormatPr defaultRowHeight="15"/>
  <cols>
    <col min="1" max="1" width="47.85546875" bestFit="1" customWidth="1"/>
  </cols>
  <sheetData>
    <row r="1" spans="1:5">
      <c r="B1" t="s">
        <v>440</v>
      </c>
      <c r="C1" t="s">
        <v>481</v>
      </c>
    </row>
    <row r="2" spans="1:5">
      <c r="A2" t="s">
        <v>470</v>
      </c>
      <c r="B2" t="s">
        <v>482</v>
      </c>
      <c r="C2">
        <v>146</v>
      </c>
      <c r="D2" t="s">
        <v>485</v>
      </c>
    </row>
    <row r="3" spans="1:5">
      <c r="A3" t="s">
        <v>471</v>
      </c>
      <c r="B3" t="s">
        <v>483</v>
      </c>
      <c r="C3" t="s">
        <v>484</v>
      </c>
      <c r="D3" t="s">
        <v>485</v>
      </c>
    </row>
    <row r="4" spans="1:5">
      <c r="A4" t="s">
        <v>472</v>
      </c>
      <c r="B4" t="s">
        <v>486</v>
      </c>
      <c r="C4" t="s">
        <v>487</v>
      </c>
      <c r="D4" t="s">
        <v>485</v>
      </c>
    </row>
    <row r="5" spans="1:5" ht="15.75">
      <c r="A5" t="s">
        <v>472</v>
      </c>
      <c r="B5" s="221" t="s">
        <v>488</v>
      </c>
      <c r="C5" t="s">
        <v>489</v>
      </c>
      <c r="D5" t="s">
        <v>485</v>
      </c>
    </row>
    <row r="6" spans="1:5">
      <c r="A6" t="s">
        <v>472</v>
      </c>
      <c r="B6" t="s">
        <v>491</v>
      </c>
      <c r="C6" t="s">
        <v>490</v>
      </c>
      <c r="D6" t="s">
        <v>485</v>
      </c>
    </row>
    <row r="7" spans="1:5" ht="15.75">
      <c r="A7" t="s">
        <v>472</v>
      </c>
      <c r="B7" s="221" t="s">
        <v>492</v>
      </c>
      <c r="C7" t="s">
        <v>493</v>
      </c>
      <c r="D7" t="s">
        <v>485</v>
      </c>
    </row>
    <row r="8" spans="1:5">
      <c r="A8" t="s">
        <v>472</v>
      </c>
      <c r="B8" t="s">
        <v>495</v>
      </c>
      <c r="C8" t="s">
        <v>494</v>
      </c>
      <c r="D8" t="s">
        <v>485</v>
      </c>
    </row>
    <row r="9" spans="1:5" ht="15.75">
      <c r="A9" t="s">
        <v>472</v>
      </c>
      <c r="B9" s="221" t="s">
        <v>498</v>
      </c>
      <c r="C9" t="s">
        <v>497</v>
      </c>
      <c r="D9" t="s">
        <v>485</v>
      </c>
    </row>
    <row r="10" spans="1:5" ht="15.75">
      <c r="A10" t="s">
        <v>472</v>
      </c>
      <c r="B10" s="221" t="s">
        <v>499</v>
      </c>
      <c r="C10" t="s">
        <v>500</v>
      </c>
      <c r="D10" t="s">
        <v>485</v>
      </c>
    </row>
    <row r="11" spans="1:5" ht="15.75">
      <c r="A11" t="s">
        <v>472</v>
      </c>
      <c r="B11" s="221" t="s">
        <v>502</v>
      </c>
      <c r="C11" t="s">
        <v>501</v>
      </c>
      <c r="D11" t="s">
        <v>485</v>
      </c>
    </row>
    <row r="12" spans="1:5" ht="15.75">
      <c r="A12" t="s">
        <v>473</v>
      </c>
      <c r="B12" s="221" t="s">
        <v>503</v>
      </c>
      <c r="C12">
        <v>201</v>
      </c>
    </row>
    <row r="13" spans="1:5">
      <c r="A13" t="s">
        <v>473</v>
      </c>
      <c r="B13" t="s">
        <v>504</v>
      </c>
      <c r="C13">
        <v>288</v>
      </c>
      <c r="D13" t="s">
        <v>508</v>
      </c>
      <c r="E13" t="s">
        <v>507</v>
      </c>
    </row>
    <row r="14" spans="1:5">
      <c r="A14" t="s">
        <v>473</v>
      </c>
      <c r="B14" t="s">
        <v>505</v>
      </c>
      <c r="C14">
        <v>288</v>
      </c>
      <c r="D14" t="s">
        <v>508</v>
      </c>
      <c r="E14" t="s">
        <v>507</v>
      </c>
    </row>
    <row r="15" spans="1:5">
      <c r="A15" t="s">
        <v>473</v>
      </c>
      <c r="B15" t="s">
        <v>506</v>
      </c>
      <c r="C15">
        <v>288</v>
      </c>
      <c r="D15" t="s">
        <v>508</v>
      </c>
      <c r="E15" t="s">
        <v>507</v>
      </c>
    </row>
    <row r="16" spans="1:5">
      <c r="A16" t="s">
        <v>473</v>
      </c>
      <c r="B16" t="s">
        <v>509</v>
      </c>
      <c r="C16">
        <v>292</v>
      </c>
    </row>
    <row r="17" spans="1:3">
      <c r="A17" t="s">
        <v>473</v>
      </c>
      <c r="B17" t="s">
        <v>510</v>
      </c>
      <c r="C17">
        <v>292</v>
      </c>
    </row>
    <row r="18" spans="1:3">
      <c r="A18" t="s">
        <v>473</v>
      </c>
      <c r="B18" t="s">
        <v>511</v>
      </c>
      <c r="C18">
        <v>310</v>
      </c>
    </row>
    <row r="19" spans="1:3">
      <c r="A19" t="s">
        <v>473</v>
      </c>
      <c r="B19" t="s">
        <v>512</v>
      </c>
      <c r="C19">
        <v>311</v>
      </c>
    </row>
    <row r="20" spans="1:3">
      <c r="A20" t="s">
        <v>473</v>
      </c>
      <c r="B20" t="s">
        <v>513</v>
      </c>
      <c r="C20">
        <v>311</v>
      </c>
    </row>
    <row r="21" spans="1:3">
      <c r="A21" t="s">
        <v>473</v>
      </c>
      <c r="B21" t="s">
        <v>514</v>
      </c>
      <c r="C21">
        <v>320</v>
      </c>
    </row>
    <row r="22" spans="1:3">
      <c r="A22" t="s">
        <v>473</v>
      </c>
      <c r="B22" t="s">
        <v>515</v>
      </c>
      <c r="C22">
        <v>320</v>
      </c>
    </row>
    <row r="23" spans="1:3">
      <c r="A23" t="s">
        <v>473</v>
      </c>
      <c r="B23" t="s">
        <v>516</v>
      </c>
      <c r="C23">
        <v>320</v>
      </c>
    </row>
    <row r="24" spans="1:3">
      <c r="A24" t="s">
        <v>473</v>
      </c>
      <c r="B24" t="s">
        <v>517</v>
      </c>
      <c r="C24">
        <v>321</v>
      </c>
    </row>
    <row r="25" spans="1:3">
      <c r="A25" t="s">
        <v>473</v>
      </c>
      <c r="B25" t="s">
        <v>518</v>
      </c>
      <c r="C25">
        <v>321</v>
      </c>
    </row>
    <row r="26" spans="1:3">
      <c r="A26" t="s">
        <v>473</v>
      </c>
      <c r="B26" t="s">
        <v>519</v>
      </c>
      <c r="C26">
        <v>322</v>
      </c>
    </row>
    <row r="27" spans="1:3">
      <c r="A27" t="s">
        <v>473</v>
      </c>
      <c r="B27" s="222" t="s">
        <v>520</v>
      </c>
      <c r="C27">
        <v>335</v>
      </c>
    </row>
    <row r="28" spans="1:3">
      <c r="A28" t="s">
        <v>474</v>
      </c>
      <c r="B28" s="222" t="s">
        <v>521</v>
      </c>
      <c r="C28">
        <v>11</v>
      </c>
    </row>
    <row r="29" spans="1:3">
      <c r="A29" t="s">
        <v>474</v>
      </c>
      <c r="B29" s="222" t="s">
        <v>523</v>
      </c>
      <c r="C29">
        <v>18</v>
      </c>
    </row>
    <row r="30" spans="1:3">
      <c r="A30" t="s">
        <v>474</v>
      </c>
      <c r="B30" s="222" t="s">
        <v>524</v>
      </c>
      <c r="C30">
        <v>43</v>
      </c>
    </row>
    <row r="31" spans="1:3">
      <c r="A31" t="s">
        <v>474</v>
      </c>
      <c r="B31" t="s">
        <v>527</v>
      </c>
      <c r="C31">
        <v>65</v>
      </c>
    </row>
    <row r="32" spans="1:3">
      <c r="A32" t="s">
        <v>474</v>
      </c>
      <c r="B32" s="222" t="s">
        <v>529</v>
      </c>
      <c r="C32" t="s">
        <v>528</v>
      </c>
    </row>
    <row r="33" spans="1:3">
      <c r="A33" t="s">
        <v>474</v>
      </c>
      <c r="B33" s="222" t="s">
        <v>531</v>
      </c>
      <c r="C33">
        <v>141</v>
      </c>
    </row>
    <row r="34" spans="1:3">
      <c r="A34" t="s">
        <v>474</v>
      </c>
      <c r="B34" s="222" t="s">
        <v>532</v>
      </c>
      <c r="C34">
        <v>142</v>
      </c>
    </row>
    <row r="35" spans="1:3">
      <c r="A35" t="s">
        <v>474</v>
      </c>
      <c r="B35" s="222" t="s">
        <v>533</v>
      </c>
      <c r="C35">
        <v>150</v>
      </c>
    </row>
    <row r="36" spans="1:3">
      <c r="A36" t="s">
        <v>474</v>
      </c>
      <c r="B36" s="222" t="s">
        <v>534</v>
      </c>
      <c r="C36">
        <v>240</v>
      </c>
    </row>
    <row r="37" spans="1:3">
      <c r="A37" t="s">
        <v>474</v>
      </c>
      <c r="B37" s="222" t="s">
        <v>535</v>
      </c>
      <c r="C37">
        <v>241</v>
      </c>
    </row>
    <row r="38" spans="1:3">
      <c r="A38" t="s">
        <v>474</v>
      </c>
      <c r="B38" s="222" t="s">
        <v>536</v>
      </c>
      <c r="C38">
        <v>241</v>
      </c>
    </row>
    <row r="39" spans="1:3">
      <c r="A39" t="s">
        <v>474</v>
      </c>
      <c r="B39" s="222" t="s">
        <v>537</v>
      </c>
      <c r="C39">
        <v>242</v>
      </c>
    </row>
    <row r="40" spans="1:3" ht="15.75">
      <c r="A40" t="s">
        <v>475</v>
      </c>
      <c r="B40" s="223" t="s">
        <v>543</v>
      </c>
      <c r="C40" s="226" t="s">
        <v>545</v>
      </c>
    </row>
    <row r="41" spans="1:3" ht="15.75">
      <c r="A41" t="s">
        <v>475</v>
      </c>
      <c r="B41" s="221" t="s">
        <v>544</v>
      </c>
      <c r="C41" s="224" t="s">
        <v>566</v>
      </c>
    </row>
    <row r="42" spans="1:3" ht="15.75">
      <c r="A42" t="s">
        <v>475</v>
      </c>
      <c r="B42" s="223" t="s">
        <v>546</v>
      </c>
      <c r="C42" s="224" t="s">
        <v>567</v>
      </c>
    </row>
    <row r="43" spans="1:3" ht="15.75">
      <c r="A43" t="s">
        <v>475</v>
      </c>
      <c r="B43" s="223" t="s">
        <v>547</v>
      </c>
      <c r="C43" s="224" t="s">
        <v>568</v>
      </c>
    </row>
    <row r="44" spans="1:3" ht="18.75">
      <c r="A44" t="s">
        <v>475</v>
      </c>
      <c r="B44" s="223" t="s">
        <v>549</v>
      </c>
      <c r="C44" s="224" t="s">
        <v>569</v>
      </c>
    </row>
    <row r="45" spans="1:3" ht="15.75">
      <c r="A45" t="s">
        <v>475</v>
      </c>
      <c r="B45" s="223" t="s">
        <v>550</v>
      </c>
      <c r="C45" s="225">
        <v>147</v>
      </c>
    </row>
    <row r="46" spans="1:3" ht="15.75">
      <c r="A46" t="s">
        <v>475</v>
      </c>
      <c r="B46" s="223" t="s">
        <v>551</v>
      </c>
      <c r="C46" s="225" t="s">
        <v>570</v>
      </c>
    </row>
    <row r="47" spans="1:3" ht="15.75">
      <c r="A47" t="s">
        <v>475</v>
      </c>
      <c r="B47" s="223" t="s">
        <v>552</v>
      </c>
      <c r="C47" s="225" t="s">
        <v>571</v>
      </c>
    </row>
    <row r="48" spans="1:3" ht="15.75">
      <c r="A48" t="s">
        <v>475</v>
      </c>
      <c r="B48" s="223" t="s">
        <v>553</v>
      </c>
      <c r="C48" s="225" t="s">
        <v>572</v>
      </c>
    </row>
    <row r="49" spans="1:12" ht="15.75">
      <c r="A49" t="s">
        <v>475</v>
      </c>
      <c r="B49" s="223" t="s">
        <v>554</v>
      </c>
      <c r="C49" s="225" t="s">
        <v>573</v>
      </c>
    </row>
    <row r="50" spans="1:12" ht="15.75">
      <c r="A50" t="s">
        <v>475</v>
      </c>
      <c r="B50" s="223" t="s">
        <v>555</v>
      </c>
      <c r="C50" s="225" t="s">
        <v>573</v>
      </c>
    </row>
    <row r="51" spans="1:12" ht="15.75">
      <c r="A51" t="s">
        <v>475</v>
      </c>
      <c r="B51" s="223" t="s">
        <v>556</v>
      </c>
      <c r="C51" s="225" t="s">
        <v>574</v>
      </c>
    </row>
    <row r="52" spans="1:12" ht="18.75">
      <c r="A52" t="s">
        <v>475</v>
      </c>
      <c r="B52" s="223" t="s">
        <v>557</v>
      </c>
      <c r="C52" s="225" t="s">
        <v>575</v>
      </c>
    </row>
    <row r="53" spans="1:12" ht="15.75">
      <c r="A53" t="s">
        <v>475</v>
      </c>
      <c r="B53" s="223" t="s">
        <v>558</v>
      </c>
      <c r="C53" s="225" t="s">
        <v>575</v>
      </c>
      <c r="L53" t="s">
        <v>583</v>
      </c>
    </row>
    <row r="54" spans="1:12" ht="15.75">
      <c r="A54" t="s">
        <v>475</v>
      </c>
      <c r="B54" s="223" t="s">
        <v>559</v>
      </c>
      <c r="C54" s="225" t="s">
        <v>576</v>
      </c>
    </row>
    <row r="55" spans="1:12" ht="15.75">
      <c r="A55" t="s">
        <v>475</v>
      </c>
      <c r="B55" s="223" t="s">
        <v>560</v>
      </c>
      <c r="C55" s="225" t="s">
        <v>576</v>
      </c>
    </row>
    <row r="56" spans="1:12" ht="15.75">
      <c r="A56" t="s">
        <v>475</v>
      </c>
      <c r="B56" s="223" t="s">
        <v>561</v>
      </c>
      <c r="C56" s="225" t="s">
        <v>576</v>
      </c>
    </row>
    <row r="57" spans="1:12" ht="15.75">
      <c r="A57" t="s">
        <v>475</v>
      </c>
      <c r="B57" s="223" t="s">
        <v>562</v>
      </c>
      <c r="C57" s="225" t="s">
        <v>577</v>
      </c>
    </row>
    <row r="58" spans="1:12" ht="15.75">
      <c r="A58" t="s">
        <v>475</v>
      </c>
      <c r="B58" s="223" t="s">
        <v>563</v>
      </c>
      <c r="C58" s="225" t="s">
        <v>577</v>
      </c>
    </row>
    <row r="59" spans="1:12" ht="15.75">
      <c r="A59" t="s">
        <v>475</v>
      </c>
      <c r="B59" s="223" t="s">
        <v>564</v>
      </c>
      <c r="C59" s="225" t="s">
        <v>578</v>
      </c>
    </row>
    <row r="60" spans="1:12" ht="15.75">
      <c r="A60" t="s">
        <v>475</v>
      </c>
      <c r="B60" s="223" t="s">
        <v>565</v>
      </c>
      <c r="C60" s="224" t="s">
        <v>579</v>
      </c>
    </row>
    <row r="61" spans="1:12" ht="15.75">
      <c r="B61" s="223"/>
      <c r="C61" s="224"/>
    </row>
    <row r="62" spans="1:12">
      <c r="A62" s="228" t="s">
        <v>476</v>
      </c>
      <c r="B62" t="s">
        <v>586</v>
      </c>
      <c r="C62">
        <v>14</v>
      </c>
    </row>
    <row r="63" spans="1:12">
      <c r="A63" s="228" t="s">
        <v>476</v>
      </c>
      <c r="B63" t="s">
        <v>587</v>
      </c>
      <c r="C63">
        <v>14</v>
      </c>
    </row>
    <row r="64" spans="1:12">
      <c r="A64" s="228" t="s">
        <v>476</v>
      </c>
      <c r="B64" s="222" t="s">
        <v>588</v>
      </c>
    </row>
    <row r="65" spans="1:4">
      <c r="A65" s="228" t="s">
        <v>476</v>
      </c>
      <c r="B65" s="222" t="s">
        <v>589</v>
      </c>
      <c r="C65" t="s">
        <v>590</v>
      </c>
    </row>
    <row r="66" spans="1:4">
      <c r="A66" s="228" t="s">
        <v>476</v>
      </c>
      <c r="B66" t="s">
        <v>591</v>
      </c>
      <c r="C66">
        <v>276</v>
      </c>
    </row>
    <row r="67" spans="1:4">
      <c r="A67" s="228" t="s">
        <v>476</v>
      </c>
      <c r="B67" s="222" t="s">
        <v>592</v>
      </c>
      <c r="C67">
        <v>334</v>
      </c>
    </row>
    <row r="68" spans="1:4">
      <c r="A68" s="228" t="s">
        <v>476</v>
      </c>
      <c r="B68" t="s">
        <v>593</v>
      </c>
      <c r="C68">
        <v>9</v>
      </c>
    </row>
    <row r="69" spans="1:4">
      <c r="A69" s="228" t="s">
        <v>476</v>
      </c>
      <c r="B69" t="s">
        <v>594</v>
      </c>
      <c r="C69">
        <v>10</v>
      </c>
    </row>
    <row r="70" spans="1:4">
      <c r="A70" s="228" t="s">
        <v>476</v>
      </c>
      <c r="B70" t="s">
        <v>595</v>
      </c>
      <c r="C70">
        <v>10</v>
      </c>
    </row>
    <row r="71" spans="1:4">
      <c r="A71" s="228" t="s">
        <v>476</v>
      </c>
      <c r="B71" t="s">
        <v>596</v>
      </c>
      <c r="C71">
        <v>271</v>
      </c>
    </row>
    <row r="72" spans="1:4">
      <c r="A72" t="s">
        <v>477</v>
      </c>
    </row>
    <row r="73" spans="1:4" ht="15.75">
      <c r="A73" t="s">
        <v>478</v>
      </c>
      <c r="B73" s="223" t="s">
        <v>538</v>
      </c>
      <c r="C73">
        <v>13</v>
      </c>
    </row>
    <row r="74" spans="1:4" ht="15.75">
      <c r="A74" t="s">
        <v>478</v>
      </c>
      <c r="B74" s="223" t="s">
        <v>539</v>
      </c>
      <c r="C74" t="s">
        <v>540</v>
      </c>
    </row>
    <row r="75" spans="1:4">
      <c r="A75" t="s">
        <v>478</v>
      </c>
      <c r="B75" t="s">
        <v>541</v>
      </c>
      <c r="C75">
        <v>34</v>
      </c>
      <c r="D75" t="s">
        <v>542</v>
      </c>
    </row>
    <row r="76" spans="1:4">
      <c r="A76" t="s">
        <v>479</v>
      </c>
      <c r="B76" s="227" t="s">
        <v>584</v>
      </c>
      <c r="C76">
        <v>8</v>
      </c>
    </row>
    <row r="77" spans="1:4">
      <c r="A77" t="s">
        <v>479</v>
      </c>
      <c r="B77" s="227" t="s">
        <v>580</v>
      </c>
      <c r="C77">
        <v>95</v>
      </c>
      <c r="D77" s="222" t="s">
        <v>581</v>
      </c>
    </row>
    <row r="78" spans="1:4">
      <c r="A78" t="s">
        <v>479</v>
      </c>
      <c r="B78" s="227" t="s">
        <v>582</v>
      </c>
      <c r="C78">
        <v>15</v>
      </c>
    </row>
    <row r="79" spans="1:4">
      <c r="A79" s="228" t="s">
        <v>480</v>
      </c>
      <c r="B79" s="222" t="s">
        <v>597</v>
      </c>
      <c r="C79">
        <v>25</v>
      </c>
    </row>
    <row r="80" spans="1:4">
      <c r="A80" s="228" t="s">
        <v>480</v>
      </c>
      <c r="B80" t="s">
        <v>598</v>
      </c>
      <c r="C80">
        <v>161</v>
      </c>
    </row>
    <row r="81" spans="1:3">
      <c r="A81" s="228" t="s">
        <v>480</v>
      </c>
      <c r="B81" s="222" t="s">
        <v>599</v>
      </c>
      <c r="C81">
        <v>27</v>
      </c>
    </row>
    <row r="82" spans="1:3">
      <c r="A82" s="228" t="s">
        <v>480</v>
      </c>
      <c r="B82" s="222" t="s">
        <v>600</v>
      </c>
      <c r="C82">
        <v>43</v>
      </c>
    </row>
    <row r="83" spans="1:3">
      <c r="A83" s="228" t="s">
        <v>480</v>
      </c>
      <c r="B83" s="222" t="s">
        <v>601</v>
      </c>
      <c r="C83">
        <v>60</v>
      </c>
    </row>
    <row r="84" spans="1:3">
      <c r="A84" s="228" t="s">
        <v>480</v>
      </c>
      <c r="B84" s="222" t="s">
        <v>602</v>
      </c>
      <c r="C84">
        <v>60</v>
      </c>
    </row>
    <row r="85" spans="1:3">
      <c r="A85" s="228" t="s">
        <v>480</v>
      </c>
      <c r="B85" s="222" t="s">
        <v>603</v>
      </c>
      <c r="C85">
        <v>67</v>
      </c>
    </row>
    <row r="86" spans="1:3">
      <c r="A86" s="228" t="s">
        <v>480</v>
      </c>
      <c r="B86" s="222" t="s">
        <v>604</v>
      </c>
      <c r="C86">
        <v>67</v>
      </c>
    </row>
    <row r="87" spans="1:3">
      <c r="A87" s="228" t="s">
        <v>480</v>
      </c>
      <c r="B87" s="222" t="s">
        <v>605</v>
      </c>
      <c r="C87">
        <v>67</v>
      </c>
    </row>
    <row r="88" spans="1:3">
      <c r="A88" s="228" t="s">
        <v>480</v>
      </c>
      <c r="B88" s="222" t="s">
        <v>606</v>
      </c>
      <c r="C88">
        <v>114</v>
      </c>
    </row>
    <row r="89" spans="1:3">
      <c r="A89" s="228" t="s">
        <v>480</v>
      </c>
      <c r="B89" s="222" t="s">
        <v>607</v>
      </c>
      <c r="C89">
        <v>114</v>
      </c>
    </row>
    <row r="90" spans="1:3">
      <c r="A90" s="228" t="s">
        <v>480</v>
      </c>
      <c r="B90" s="222" t="s">
        <v>608</v>
      </c>
    </row>
    <row r="91" spans="1:3">
      <c r="A91" s="228" t="s">
        <v>480</v>
      </c>
      <c r="B91" s="222" t="s">
        <v>609</v>
      </c>
    </row>
    <row r="92" spans="1:3">
      <c r="A92" s="228" t="s">
        <v>480</v>
      </c>
      <c r="B92" s="222" t="s">
        <v>610</v>
      </c>
    </row>
    <row r="93" spans="1:3">
      <c r="A93" s="228" t="s">
        <v>480</v>
      </c>
      <c r="B93" s="222" t="s">
        <v>611</v>
      </c>
    </row>
    <row r="94" spans="1:3">
      <c r="A94" s="228" t="s">
        <v>480</v>
      </c>
      <c r="B94" s="222" t="s">
        <v>612</v>
      </c>
    </row>
    <row r="95" spans="1:3">
      <c r="A95" s="228" t="s">
        <v>480</v>
      </c>
      <c r="B95" s="222" t="s">
        <v>613</v>
      </c>
    </row>
    <row r="96" spans="1:3">
      <c r="A96" s="228" t="s">
        <v>480</v>
      </c>
      <c r="B96" s="222" t="s">
        <v>614</v>
      </c>
    </row>
    <row r="97" spans="1:3">
      <c r="A97" s="228" t="s">
        <v>480</v>
      </c>
      <c r="B97" s="222" t="s">
        <v>615</v>
      </c>
      <c r="C97">
        <v>243</v>
      </c>
    </row>
    <row r="98" spans="1:3">
      <c r="A98" s="228" t="s">
        <v>480</v>
      </c>
      <c r="B98" t="s">
        <v>618</v>
      </c>
      <c r="C98">
        <v>26</v>
      </c>
    </row>
    <row r="99" spans="1:3">
      <c r="A99" t="s">
        <v>525</v>
      </c>
    </row>
    <row r="100" spans="1:3">
      <c r="A100" t="s">
        <v>496</v>
      </c>
    </row>
    <row r="101" spans="1:3">
      <c r="A101" t="s">
        <v>526</v>
      </c>
    </row>
    <row r="102" spans="1:3">
      <c r="A102" t="s">
        <v>530</v>
      </c>
    </row>
    <row r="104" spans="1:3">
      <c r="A104" t="s">
        <v>585</v>
      </c>
    </row>
    <row r="105" spans="1:3">
      <c r="A105" t="s">
        <v>616</v>
      </c>
    </row>
    <row r="106" spans="1:3">
      <c r="A106" t="s">
        <v>617</v>
      </c>
    </row>
    <row r="117" spans="1:1">
      <c r="A117" t="s">
        <v>522</v>
      </c>
    </row>
    <row r="293" spans="1:1">
      <c r="A293" t="s">
        <v>548</v>
      </c>
    </row>
    <row r="311" spans="1:1">
      <c r="A311" s="1">
        <v>526</v>
      </c>
    </row>
    <row r="332" spans="1:1">
      <c r="A332" s="1">
        <v>526</v>
      </c>
    </row>
    <row r="350" spans="1:1">
      <c r="A350">
        <v>539</v>
      </c>
    </row>
  </sheetData>
  <pageMargins left="0.7" right="0.7" top="0.75" bottom="0.75" header="0.3" footer="0.3"/>
  <pageSetup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9144E-CC54-40DD-B080-0005E2828C7C}">
  <dimension ref="A1:AS9"/>
  <sheetViews>
    <sheetView workbookViewId="0">
      <selection activeCell="L2" sqref="L2"/>
    </sheetView>
  </sheetViews>
  <sheetFormatPr defaultRowHeight="15"/>
  <cols>
    <col min="1" max="1" width="13" bestFit="1" customWidth="1"/>
    <col min="2" max="2" width="11.140625" style="10" bestFit="1" customWidth="1"/>
    <col min="3" max="3" width="16.85546875" bestFit="1" customWidth="1"/>
    <col min="4" max="4" width="18.7109375" bestFit="1" customWidth="1"/>
    <col min="5" max="5" width="11" bestFit="1" customWidth="1"/>
    <col min="6" max="6" width="10.5703125" bestFit="1" customWidth="1"/>
    <col min="7" max="7" width="10.5703125" customWidth="1"/>
    <col min="8" max="8" width="14.85546875" bestFit="1" customWidth="1"/>
    <col min="9" max="9" width="11" bestFit="1" customWidth="1"/>
    <col min="10" max="11" width="16.5703125" customWidth="1"/>
    <col min="12" max="12" width="17.28515625" bestFit="1" customWidth="1"/>
    <col min="13" max="13" width="11.42578125" bestFit="1" customWidth="1"/>
    <col min="15" max="16" width="12.5703125" style="1" bestFit="1" customWidth="1"/>
    <col min="17" max="17" width="12.5703125" style="1" customWidth="1"/>
    <col min="18" max="19" width="12.5703125" style="1" bestFit="1" customWidth="1"/>
    <col min="20" max="21" width="11.140625" style="1" bestFit="1" customWidth="1"/>
    <col min="22" max="22" width="13.5703125" bestFit="1" customWidth="1"/>
    <col min="23" max="23" width="13.5703125" customWidth="1"/>
    <col min="26" max="26" width="12.5703125" bestFit="1" customWidth="1"/>
    <col min="27" max="27" width="11.140625" bestFit="1" customWidth="1"/>
    <col min="31" max="31" width="10" bestFit="1" customWidth="1"/>
    <col min="33" max="33" width="10" bestFit="1" customWidth="1"/>
    <col min="36" max="36" width="12.5703125" bestFit="1" customWidth="1"/>
    <col min="37" max="37" width="10" bestFit="1" customWidth="1"/>
    <col min="38" max="38" width="12.5703125" bestFit="1" customWidth="1"/>
    <col min="44" max="44" width="12.5703125" bestFit="1" customWidth="1"/>
    <col min="45" max="45" width="10.42578125" bestFit="1" customWidth="1"/>
  </cols>
  <sheetData>
    <row r="1" spans="1:45">
      <c r="A1" t="s">
        <v>263</v>
      </c>
      <c r="B1" s="10" t="s">
        <v>92</v>
      </c>
      <c r="C1" t="s">
        <v>164</v>
      </c>
      <c r="D1" t="s">
        <v>165</v>
      </c>
      <c r="E1" t="s">
        <v>93</v>
      </c>
      <c r="F1" t="s">
        <v>1</v>
      </c>
      <c r="G1" t="s">
        <v>421</v>
      </c>
      <c r="H1" t="s">
        <v>260</v>
      </c>
      <c r="I1" t="s">
        <v>261</v>
      </c>
      <c r="J1" t="s">
        <v>264</v>
      </c>
      <c r="K1" t="s">
        <v>341</v>
      </c>
      <c r="L1" t="s">
        <v>271</v>
      </c>
      <c r="M1" t="s">
        <v>270</v>
      </c>
      <c r="N1" t="s">
        <v>269</v>
      </c>
      <c r="O1" s="1" t="s">
        <v>265</v>
      </c>
      <c r="P1" s="1" t="s">
        <v>266</v>
      </c>
      <c r="Q1" s="1" t="s">
        <v>272</v>
      </c>
      <c r="R1" s="1" t="s">
        <v>68</v>
      </c>
      <c r="S1" s="1" t="s">
        <v>269</v>
      </c>
      <c r="T1" s="1" t="s">
        <v>270</v>
      </c>
      <c r="U1" s="1" t="s">
        <v>271</v>
      </c>
      <c r="V1" s="1" t="s">
        <v>339</v>
      </c>
      <c r="W1" s="1" t="s">
        <v>249</v>
      </c>
      <c r="X1" s="1" t="s">
        <v>352</v>
      </c>
      <c r="Y1" s="1" t="s">
        <v>350</v>
      </c>
      <c r="Z1" s="1" t="s">
        <v>353</v>
      </c>
      <c r="AA1" s="1" t="s">
        <v>354</v>
      </c>
      <c r="AB1" s="1" t="s">
        <v>349</v>
      </c>
      <c r="AC1" s="1"/>
      <c r="AD1" s="1" t="s">
        <v>265</v>
      </c>
      <c r="AE1" s="1" t="s">
        <v>266</v>
      </c>
      <c r="AF1" s="1" t="s">
        <v>272</v>
      </c>
      <c r="AG1" s="1" t="s">
        <v>68</v>
      </c>
      <c r="AH1" s="1" t="s">
        <v>288</v>
      </c>
      <c r="AI1" s="1" t="s">
        <v>290</v>
      </c>
      <c r="AJ1" s="1" t="s">
        <v>291</v>
      </c>
      <c r="AL1" s="1" t="s">
        <v>289</v>
      </c>
      <c r="AM1" s="1" t="s">
        <v>264</v>
      </c>
      <c r="AO1" s="1" t="s">
        <v>292</v>
      </c>
      <c r="AP1" s="1" t="s">
        <v>288</v>
      </c>
    </row>
    <row r="2" spans="1:45">
      <c r="A2" t="s">
        <v>75</v>
      </c>
      <c r="B2" s="10">
        <f>VLOOKUP(B1,'EV Calc'!$A$3:$B$7,2,FALSE)</f>
        <v>13</v>
      </c>
      <c r="C2" s="1">
        <f>VLOOKUP(C1,'EV Calc'!$A$3:$B$7,2,FALSE)</f>
        <v>140000</v>
      </c>
      <c r="D2" s="1">
        <f>VLOOKUP(D1,'EV Calc'!$A$3:$B$7,2,FALSE)</f>
        <v>1820000</v>
      </c>
      <c r="E2" s="1">
        <f>VLOOKUP(E1,'EV Calc'!$A$3:$B$7,2,FALSE)</f>
        <v>1500000</v>
      </c>
      <c r="F2" s="1">
        <f>VLOOKUP(F1,'EV Calc'!$A$3:$B$7,2,FALSE)</f>
        <v>-441188</v>
      </c>
      <c r="G2" s="1"/>
      <c r="H2" s="1">
        <v>0</v>
      </c>
      <c r="I2" s="1">
        <f>SUM(D2:H2)</f>
        <v>2878812</v>
      </c>
      <c r="J2">
        <f>D2/R2</f>
        <v>0.59426727987213457</v>
      </c>
      <c r="K2" s="11">
        <f>D2/V2</f>
        <v>0.44396231979581635</v>
      </c>
      <c r="L2" s="11">
        <f>IFERROR(I2/U2,"n/a")</f>
        <v>6.6134584282878777</v>
      </c>
      <c r="M2" s="11">
        <f>I2/T2</f>
        <v>5.9079215235593496</v>
      </c>
      <c r="N2" s="11">
        <f>I2/S2</f>
        <v>7.2407277922260844</v>
      </c>
      <c r="O2" s="1">
        <v>5705462</v>
      </c>
      <c r="P2" s="1">
        <f>195811+2447056</f>
        <v>2642867</v>
      </c>
      <c r="R2" s="1">
        <f>O2-P2-Q2</f>
        <v>3062595</v>
      </c>
      <c r="S2" s="1">
        <f>'Summary Financials'!K7</f>
        <v>397586</v>
      </c>
      <c r="T2" s="1">
        <f>'Timely Clothes Income Statement'!C35</f>
        <v>487280</v>
      </c>
      <c r="U2" s="1">
        <f>'Timely Clothes Income Statement'!C38</f>
        <v>435296</v>
      </c>
      <c r="V2">
        <f>'1950 Balance Sheet'!B48</f>
        <v>4099447</v>
      </c>
      <c r="W2">
        <f>'Timely Clothes Income Statement'!C20</f>
        <v>283216</v>
      </c>
      <c r="X2" s="11">
        <f>W2/C2</f>
        <v>2.0229714285714286</v>
      </c>
      <c r="Y2" s="11">
        <f>B2/X2</f>
        <v>6.42619061069996</v>
      </c>
      <c r="Z2" s="11"/>
      <c r="AA2" s="11">
        <v>1</v>
      </c>
      <c r="AB2" s="36">
        <f>AA2/B2</f>
        <v>7.6923076923076927E-2</v>
      </c>
      <c r="AC2" s="11"/>
      <c r="AD2" s="1">
        <v>5705462</v>
      </c>
      <c r="AE2" s="1">
        <f>195811+2447056</f>
        <v>2642867</v>
      </c>
      <c r="AF2" s="1"/>
      <c r="AG2" s="1">
        <f>AD2-AE2-AF2</f>
        <v>3062595</v>
      </c>
      <c r="AH2">
        <f>'Inventory to Sales'!B2</f>
        <v>3289994</v>
      </c>
      <c r="AI2">
        <v>0.37769000000000003</v>
      </c>
      <c r="AJ2">
        <f>AH2*(AI2)</f>
        <v>1242597.8338600001</v>
      </c>
      <c r="AK2" s="38">
        <f>AG2-AJ2</f>
        <v>1819997.1661399999</v>
      </c>
      <c r="AL2" s="11">
        <f>D2</f>
        <v>1820000</v>
      </c>
      <c r="AM2">
        <f>AL2/AK2</f>
        <v>1.0000015570683587</v>
      </c>
      <c r="AO2">
        <f>'1950 Balance Sheet'!B48</f>
        <v>4099447</v>
      </c>
      <c r="AP2">
        <f>AH2</f>
        <v>3289994</v>
      </c>
      <c r="AQ2">
        <v>0.69</v>
      </c>
      <c r="AR2">
        <f>AP2*(AQ2)</f>
        <v>2270095.86</v>
      </c>
      <c r="AS2">
        <f>AO2-AR2</f>
        <v>1829351.1400000001</v>
      </c>
    </row>
    <row r="3" spans="1:45">
      <c r="A3" t="s">
        <v>267</v>
      </c>
      <c r="B3" s="10">
        <v>14</v>
      </c>
      <c r="C3" s="1">
        <v>1688383</v>
      </c>
      <c r="D3" s="1">
        <f>C3*B3</f>
        <v>23637362</v>
      </c>
      <c r="E3" s="1">
        <f>363987+12555232</f>
        <v>12919219</v>
      </c>
      <c r="F3" s="1">
        <v>-4128392</v>
      </c>
      <c r="G3" s="1"/>
      <c r="H3" s="1">
        <v>0</v>
      </c>
      <c r="I3" s="1">
        <f>SUM(D3:H3)</f>
        <v>32428189</v>
      </c>
      <c r="J3">
        <f>D3/R3</f>
        <v>1.5132606846082135</v>
      </c>
      <c r="K3" s="11">
        <f>D3/V3</f>
        <v>0.59083151813229851</v>
      </c>
      <c r="L3" s="11" t="str">
        <f t="shared" ref="L3:L5" si="0">IFERROR(I3/U3,"n/a")</f>
        <v>n/a</v>
      </c>
      <c r="M3" s="11">
        <f>I3/T3</f>
        <v>5.1080745023288321</v>
      </c>
      <c r="N3" s="11">
        <f>I3/S3</f>
        <v>6.661378281831273</v>
      </c>
      <c r="O3" s="1">
        <v>36903158.170000002</v>
      </c>
      <c r="P3" s="1">
        <f>8727774.32+12555231.79</f>
        <v>21283006.109999999</v>
      </c>
      <c r="R3" s="1">
        <f>O3-P3-Q3</f>
        <v>15620152.060000002</v>
      </c>
      <c r="S3" s="1">
        <f>'Summary Financials'!K55</f>
        <v>4868090</v>
      </c>
      <c r="T3" s="1">
        <f>'Bond Stores Income Statemen (2)'!C20</f>
        <v>6348417.390000009</v>
      </c>
      <c r="U3" s="1" t="s">
        <v>275</v>
      </c>
      <c r="V3" s="11">
        <f>'Bond Stores Balance Sheet'!D43</f>
        <v>40006941.530000001</v>
      </c>
      <c r="W3" s="11">
        <f>'Bond Stores Income Statement'!C14</f>
        <v>3175254.2300000088</v>
      </c>
      <c r="X3" s="11">
        <f>W3/C3</f>
        <v>1.8806480697803809</v>
      </c>
      <c r="Y3" s="11">
        <f>B3/X3</f>
        <v>7.4442423465411567</v>
      </c>
      <c r="Z3" s="11">
        <f>'Bond Stores Income Statement'!C17</f>
        <v>1688383</v>
      </c>
      <c r="AA3" s="11">
        <f>Z3/C3</f>
        <v>1</v>
      </c>
      <c r="AB3" s="36">
        <f>AA3/B3</f>
        <v>7.1428571428571425E-2</v>
      </c>
      <c r="AC3" s="11"/>
      <c r="AJ3" s="11">
        <f>AG2-AL2</f>
        <v>1242595</v>
      </c>
      <c r="AR3" s="11">
        <f>AO2-AL2</f>
        <v>2279447</v>
      </c>
    </row>
    <row r="4" spans="1:45">
      <c r="A4" t="s">
        <v>259</v>
      </c>
      <c r="B4" s="10">
        <f>(75+68)/2</f>
        <v>71.5</v>
      </c>
      <c r="C4" s="1">
        <v>80000</v>
      </c>
      <c r="D4" s="1">
        <f>C4*B4</f>
        <v>5720000</v>
      </c>
      <c r="E4" s="1">
        <f>2100000+1178200</f>
        <v>3278200</v>
      </c>
      <c r="F4" s="1">
        <f>-869061</f>
        <v>-869061</v>
      </c>
      <c r="G4" s="1">
        <v>-888989.05</v>
      </c>
      <c r="H4" s="1">
        <v>119430</v>
      </c>
      <c r="I4" s="1">
        <f>SUM(D4:H4)</f>
        <v>7359579.9500000002</v>
      </c>
      <c r="J4">
        <f>D4/R4</f>
        <v>2.5364751332314603</v>
      </c>
      <c r="K4" s="11">
        <f>D4/V4</f>
        <v>1.6452171291700868</v>
      </c>
      <c r="L4" s="11" t="str">
        <f t="shared" si="0"/>
        <v>n/a</v>
      </c>
      <c r="M4" s="11">
        <f>I4/T4</f>
        <v>37.061010689287542</v>
      </c>
      <c r="N4" s="11">
        <f>I4/S4</f>
        <v>43.408133768383173</v>
      </c>
      <c r="O4" s="1">
        <v>6759411</v>
      </c>
      <c r="P4" s="1">
        <f>3056683+1178200+150000</f>
        <v>4384883</v>
      </c>
      <c r="Q4" s="1">
        <f>H4</f>
        <v>119430</v>
      </c>
      <c r="R4" s="1">
        <f>O4-P4-Q4</f>
        <v>2255098</v>
      </c>
      <c r="S4" s="1">
        <f>'Fashion Park Inc. IS'!B17</f>
        <v>169543.79999999993</v>
      </c>
      <c r="T4" s="1">
        <f>'Fashion Park Inc. IS'!B19</f>
        <v>198580.11999999994</v>
      </c>
      <c r="V4" s="11">
        <f>'Fashion Park Consolidated BS'!B46</f>
        <v>3476744.74</v>
      </c>
      <c r="W4" s="11">
        <f>'Fashion Park Inc. IS'!C9</f>
        <v>103893.60999999996</v>
      </c>
      <c r="X4" s="11">
        <f>W4/C4</f>
        <v>1.2986701249999995</v>
      </c>
      <c r="Y4" s="11">
        <f>B4/X4</f>
        <v>55.056321558178624</v>
      </c>
      <c r="Z4" s="11"/>
      <c r="AA4" s="11">
        <v>0.5</v>
      </c>
      <c r="AB4" s="36">
        <f>AA4/B4</f>
        <v>6.993006993006993E-3</v>
      </c>
      <c r="AC4" s="11"/>
      <c r="AJ4" s="39">
        <f>AJ3/AH2</f>
        <v>0.37768913864280601</v>
      </c>
      <c r="AR4" s="11">
        <f>AR3/AP2</f>
        <v>0.69284229697683342</v>
      </c>
    </row>
    <row r="5" spans="1:45">
      <c r="A5" t="s">
        <v>345</v>
      </c>
      <c r="B5" s="10">
        <f>23.625</f>
        <v>23.625</v>
      </c>
      <c r="C5" s="10">
        <f>375000-20367.5</f>
        <v>354632.5</v>
      </c>
      <c r="D5" s="1">
        <f>C5*B5</f>
        <v>8378192.8125</v>
      </c>
      <c r="E5" s="1">
        <f>5000000+7110000+249936</f>
        <v>12359936</v>
      </c>
      <c r="F5" s="1">
        <f>-1976382-25000</f>
        <v>-2001382</v>
      </c>
      <c r="G5" s="1"/>
      <c r="H5" s="1">
        <v>65126</v>
      </c>
      <c r="I5" s="1">
        <f>SUM(D5:H5)</f>
        <v>18801872.8125</v>
      </c>
      <c r="J5">
        <f>D5/R5</f>
        <v>0.73250530831180294</v>
      </c>
      <c r="K5" s="11">
        <f>D5/V5</f>
        <v>0.36731003684239183</v>
      </c>
      <c r="L5" s="11">
        <f t="shared" si="0"/>
        <v>10.357406660416117</v>
      </c>
      <c r="M5" s="11">
        <f>I5/T5</f>
        <v>4.8044632115710613</v>
      </c>
      <c r="N5" s="11">
        <f>I5/S5</f>
        <v>5.8776277295422661</v>
      </c>
      <c r="O5" s="1">
        <v>29724708</v>
      </c>
      <c r="P5" s="1">
        <f>11496923+6475000+249936</f>
        <v>18221859</v>
      </c>
      <c r="Q5" s="1">
        <f>H5</f>
        <v>65126</v>
      </c>
      <c r="R5" s="1">
        <f>O5-P5-Q5</f>
        <v>11437723</v>
      </c>
      <c r="S5" s="1">
        <f>IS!B28</f>
        <v>3198888</v>
      </c>
      <c r="T5" s="1">
        <f>IS!B30</f>
        <v>3913418</v>
      </c>
      <c r="U5" s="1">
        <f>IS!B32</f>
        <v>1815307</v>
      </c>
      <c r="V5">
        <f>BS!B54</f>
        <v>22809594</v>
      </c>
      <c r="W5">
        <f>IS!B16</f>
        <v>1647733</v>
      </c>
      <c r="X5" s="11">
        <f>W5/C5</f>
        <v>4.6463113222843369</v>
      </c>
      <c r="Y5" s="11">
        <f>B5/X5</f>
        <v>5.0846786539445405</v>
      </c>
      <c r="Z5" s="11"/>
      <c r="AA5" s="11">
        <v>2.2000000000000002</v>
      </c>
      <c r="AB5" s="36">
        <f>AA5/B5</f>
        <v>9.3121693121693133E-2</v>
      </c>
      <c r="AC5" s="11"/>
      <c r="AE5" t="s">
        <v>268</v>
      </c>
      <c r="AF5" t="s">
        <v>262</v>
      </c>
    </row>
    <row r="6" spans="1:45">
      <c r="B6" s="37"/>
    </row>
    <row r="7" spans="1:45">
      <c r="A7" t="s">
        <v>422</v>
      </c>
    </row>
    <row r="8" spans="1:45">
      <c r="A8" t="s">
        <v>423</v>
      </c>
    </row>
    <row r="9" spans="1:45">
      <c r="D9" s="11"/>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7A454-BE72-4F7A-909B-A61B6CE8BB72}">
  <dimension ref="A1:J13"/>
  <sheetViews>
    <sheetView showGridLines="0" workbookViewId="0">
      <selection activeCell="D25" sqref="D25"/>
    </sheetView>
  </sheetViews>
  <sheetFormatPr defaultRowHeight="15"/>
  <cols>
    <col min="1" max="1" width="20" customWidth="1"/>
    <col min="2" max="2" width="15.7109375" bestFit="1" customWidth="1"/>
    <col min="3" max="3" width="16.7109375" bestFit="1" customWidth="1"/>
    <col min="4" max="4" width="14" bestFit="1" customWidth="1"/>
    <col min="5" max="5" width="6.85546875" bestFit="1" customWidth="1"/>
    <col min="6" max="6" width="5.5703125" customWidth="1"/>
    <col min="7" max="7" width="12.42578125" bestFit="1" customWidth="1"/>
    <col min="8" max="8" width="9.42578125" bestFit="1" customWidth="1"/>
    <col min="9" max="9" width="16" bestFit="1" customWidth="1"/>
    <col min="10" max="10" width="6.42578125" bestFit="1" customWidth="1"/>
  </cols>
  <sheetData>
    <row r="1" spans="1:10">
      <c r="A1" s="164" t="s">
        <v>351</v>
      </c>
      <c r="B1" s="165"/>
      <c r="C1" s="165"/>
      <c r="D1" s="165"/>
      <c r="E1" s="165"/>
      <c r="F1" s="165"/>
      <c r="G1" s="165"/>
      <c r="H1" s="165"/>
      <c r="I1" s="165"/>
      <c r="J1" s="166"/>
    </row>
    <row r="2" spans="1:10" s="235" customFormat="1">
      <c r="A2" s="237"/>
      <c r="B2" s="238"/>
      <c r="C2" s="238"/>
      <c r="D2" s="238"/>
      <c r="E2" s="238"/>
      <c r="F2" s="238"/>
      <c r="G2" s="238"/>
      <c r="H2" s="239" t="s">
        <v>688</v>
      </c>
      <c r="I2" s="240"/>
      <c r="J2" s="241"/>
    </row>
    <row r="3" spans="1:10">
      <c r="A3" s="69" t="s">
        <v>263</v>
      </c>
      <c r="B3" s="69" t="s">
        <v>289</v>
      </c>
      <c r="C3" s="69" t="s">
        <v>166</v>
      </c>
      <c r="D3" s="70" t="s">
        <v>349</v>
      </c>
      <c r="E3" s="70" t="s">
        <v>350</v>
      </c>
      <c r="F3" s="70" t="s">
        <v>341</v>
      </c>
      <c r="G3" s="70" t="s">
        <v>264</v>
      </c>
      <c r="H3" s="71" t="s">
        <v>94</v>
      </c>
      <c r="I3" s="70" t="s">
        <v>258</v>
      </c>
      <c r="J3" s="72" t="s">
        <v>95</v>
      </c>
    </row>
    <row r="4" spans="1:10">
      <c r="A4" s="20" t="s">
        <v>75</v>
      </c>
      <c r="B4" s="82">
        <f>INDEX(Multiples!D:D,MATCH($A4,Multiples!$A:$A,0))</f>
        <v>1820000</v>
      </c>
      <c r="C4" s="244">
        <f>INDEX(Multiples!I:I,MATCH($A4,Multiples!$A:$A,0))</f>
        <v>2878812</v>
      </c>
      <c r="D4" s="229">
        <f>INDEX(Multiples!AB:AB,MATCH($A4,Multiples!$A:$A,0))</f>
        <v>7.6923076923076927E-2</v>
      </c>
      <c r="E4" s="230">
        <f>INDEX(Multiples!$Y:$Y,MATCH($A4,Multiples!$A:$A,0))</f>
        <v>6.42619061069996</v>
      </c>
      <c r="F4" s="230">
        <f>INDEX(Multiples!$K:$K,MATCH($A4,Multiples!$A:$A,0))</f>
        <v>0.44396231979581635</v>
      </c>
      <c r="G4" s="230">
        <f>INDEX(Multiples!$J:$J,MATCH($A4,Multiples!$A:$A,0))</f>
        <v>0.59426727987213457</v>
      </c>
      <c r="H4" s="230">
        <f>INDEX(Multiples!$M:$M,MATCH($A4,Multiples!$A:$A,0))</f>
        <v>5.9079215235593496</v>
      </c>
      <c r="I4" s="230">
        <f>INDEX(Multiples!$L:$L,MATCH($A4,Multiples!$A:$A,0))</f>
        <v>6.6134584282878777</v>
      </c>
      <c r="J4" s="231">
        <f>INDEX(Multiples!$N:$N,MATCH($A4,Multiples!$A:$A,0))</f>
        <v>7.2407277922260844</v>
      </c>
    </row>
    <row r="5" spans="1:10">
      <c r="A5" s="20" t="s">
        <v>267</v>
      </c>
      <c r="B5" s="82">
        <f>INDEX(Multiples!D:D,MATCH($A5,Multiples!$A:$A,0))</f>
        <v>23637362</v>
      </c>
      <c r="C5" s="244">
        <f>INDEX(Multiples!I:I,MATCH($A5,Multiples!$A:$A,0))</f>
        <v>32428189</v>
      </c>
      <c r="D5" s="229">
        <f>INDEX(Multiples!AB:AB,MATCH($A5,Multiples!$A:$A,0))</f>
        <v>7.1428571428571425E-2</v>
      </c>
      <c r="E5" s="230">
        <f>INDEX(Multiples!$Y:$Y,MATCH($A5,Multiples!$A:$A,0))</f>
        <v>7.4442423465411567</v>
      </c>
      <c r="F5" s="230">
        <f>INDEX(Multiples!$K:$K,MATCH($A5,Multiples!$A:$A,0))</f>
        <v>0.59083151813229851</v>
      </c>
      <c r="G5" s="230">
        <f>INDEX(Multiples!$J:$J,MATCH($A5,Multiples!$A:$A,0))</f>
        <v>1.5132606846082135</v>
      </c>
      <c r="H5" s="230">
        <f>INDEX(Multiples!$M:$M,MATCH($A5,Multiples!$A:$A,0))</f>
        <v>5.1080745023288321</v>
      </c>
      <c r="I5" s="236" t="str">
        <f>INDEX(Multiples!$L:$L,MATCH($A5,Multiples!$A:$A,0))</f>
        <v>n/a</v>
      </c>
      <c r="J5" s="231">
        <f>INDEX(Multiples!$N:$N,MATCH($A5,Multiples!$A:$A,0))</f>
        <v>6.661378281831273</v>
      </c>
    </row>
    <row r="6" spans="1:10">
      <c r="A6" s="20" t="s">
        <v>259</v>
      </c>
      <c r="B6" s="82">
        <f>INDEX(Multiples!D:D,MATCH($A6,Multiples!$A:$A,0))</f>
        <v>5720000</v>
      </c>
      <c r="C6" s="244">
        <f>INDEX(Multiples!I:I,MATCH($A6,Multiples!$A:$A,0))</f>
        <v>7359579.9500000002</v>
      </c>
      <c r="D6" s="229">
        <f>INDEX(Multiples!AB:AB,MATCH($A6,Multiples!$A:$A,0))</f>
        <v>6.993006993006993E-3</v>
      </c>
      <c r="E6" s="230">
        <f>INDEX(Multiples!$Y:$Y,MATCH($A6,Multiples!$A:$A,0))</f>
        <v>55.056321558178624</v>
      </c>
      <c r="F6" s="230">
        <f>INDEX(Multiples!$K:$K,MATCH($A6,Multiples!$A:$A,0))</f>
        <v>1.6452171291700868</v>
      </c>
      <c r="G6" s="230">
        <f>INDEX(Multiples!$J:$J,MATCH($A6,Multiples!$A:$A,0))</f>
        <v>2.5364751332314603</v>
      </c>
      <c r="H6" s="230">
        <f>INDEX(Multiples!$M:$M,MATCH($A6,Multiples!$A:$A,0))</f>
        <v>37.061010689287542</v>
      </c>
      <c r="I6" s="236" t="str">
        <f>INDEX(Multiples!$L:$L,MATCH($A6,Multiples!$A:$A,0))</f>
        <v>n/a</v>
      </c>
      <c r="J6" s="231">
        <f>INDEX(Multiples!$N:$N,MATCH($A6,Multiples!$A:$A,0))</f>
        <v>43.408133768383173</v>
      </c>
    </row>
    <row r="7" spans="1:10">
      <c r="A7" s="22" t="s">
        <v>345</v>
      </c>
      <c r="B7" s="245">
        <f>INDEX(Multiples!D:D,MATCH($A7,Multiples!$A:$A,0))</f>
        <v>8378192.8125</v>
      </c>
      <c r="C7" s="246">
        <f>INDEX(Multiples!I:I,MATCH($A7,Multiples!$A:$A,0))</f>
        <v>18801872.8125</v>
      </c>
      <c r="D7" s="232">
        <f>INDEX(Multiples!AB:AB,MATCH($A7,Multiples!$A:$A,0))</f>
        <v>9.3121693121693133E-2</v>
      </c>
      <c r="E7" s="233">
        <f>INDEX(Multiples!$Y:$Y,MATCH($A7,Multiples!$A:$A,0))</f>
        <v>5.0846786539445405</v>
      </c>
      <c r="F7" s="233">
        <f>INDEX(Multiples!$K:$K,MATCH($A7,Multiples!$A:$A,0))</f>
        <v>0.36731003684239183</v>
      </c>
      <c r="G7" s="233">
        <f>INDEX(Multiples!$J:$J,MATCH($A7,Multiples!$A:$A,0))</f>
        <v>0.73250530831180294</v>
      </c>
      <c r="H7" s="233">
        <f>INDEX(Multiples!$M:$M,MATCH($A7,Multiples!$A:$A,0))</f>
        <v>4.8044632115710613</v>
      </c>
      <c r="I7" s="233">
        <f>INDEX(Multiples!$L:$L,MATCH($A7,Multiples!$A:$A,0))</f>
        <v>10.357406660416117</v>
      </c>
      <c r="J7" s="234">
        <f>INDEX(Multiples!$N:$N,MATCH($A7,Multiples!$A:$A,0))</f>
        <v>5.8776277295422661</v>
      </c>
    </row>
    <row r="8" spans="1:10" ht="27.6" customHeight="1">
      <c r="A8" s="253" t="s">
        <v>342</v>
      </c>
      <c r="B8" s="253"/>
      <c r="C8" s="253"/>
      <c r="D8" s="253"/>
      <c r="E8" s="253"/>
      <c r="F8" s="253"/>
      <c r="G8" s="253"/>
      <c r="H8" s="253"/>
      <c r="I8" s="253"/>
      <c r="J8" s="253"/>
    </row>
    <row r="9" spans="1:10" ht="33.950000000000003" customHeight="1">
      <c r="A9" s="253" t="s">
        <v>343</v>
      </c>
      <c r="B9" s="253"/>
      <c r="C9" s="253"/>
      <c r="D9" s="253"/>
      <c r="E9" s="253"/>
      <c r="F9" s="253"/>
      <c r="G9" s="253"/>
      <c r="H9" s="253"/>
      <c r="I9" s="253"/>
      <c r="J9" s="253"/>
    </row>
    <row r="10" spans="1:10" ht="29.1" customHeight="1">
      <c r="A10" s="253" t="s">
        <v>344</v>
      </c>
      <c r="B10" s="253"/>
      <c r="C10" s="253"/>
      <c r="D10" s="253"/>
      <c r="E10" s="253"/>
      <c r="F10" s="253"/>
      <c r="G10" s="253"/>
      <c r="H10" s="253"/>
      <c r="I10" s="253"/>
      <c r="J10" s="253"/>
    </row>
    <row r="11" spans="1:10" ht="26.1" customHeight="1">
      <c r="A11" s="253" t="s">
        <v>346</v>
      </c>
      <c r="B11" s="253"/>
      <c r="C11" s="253"/>
      <c r="D11" s="253"/>
      <c r="E11" s="253"/>
      <c r="F11" s="253"/>
      <c r="G11" s="253"/>
      <c r="H11" s="253"/>
      <c r="I11" s="253"/>
      <c r="J11" s="253"/>
    </row>
    <row r="12" spans="1:10">
      <c r="A12" s="2" t="s">
        <v>347</v>
      </c>
      <c r="B12" s="2"/>
      <c r="C12" s="2"/>
      <c r="D12" s="2"/>
      <c r="E12" s="2"/>
      <c r="F12" s="2"/>
      <c r="G12" s="2"/>
      <c r="H12" s="2"/>
      <c r="I12" s="2"/>
      <c r="J12" s="2"/>
    </row>
    <row r="13" spans="1:10" ht="34.5" customHeight="1">
      <c r="A13" s="253" t="s">
        <v>348</v>
      </c>
      <c r="B13" s="253"/>
      <c r="C13" s="253"/>
      <c r="D13" s="253"/>
      <c r="E13" s="253"/>
      <c r="F13" s="253"/>
      <c r="G13" s="253"/>
      <c r="H13" s="253"/>
      <c r="I13" s="253"/>
      <c r="J13" s="253"/>
    </row>
  </sheetData>
  <mergeCells count="5">
    <mergeCell ref="A11:J11"/>
    <mergeCell ref="A13:J13"/>
    <mergeCell ref="A10:J10"/>
    <mergeCell ref="A9:J9"/>
    <mergeCell ref="A8:J8"/>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1DBFF-AB62-432B-BB40-7E3E1F93961F}">
  <dimension ref="A1:Y22"/>
  <sheetViews>
    <sheetView showGridLines="0" workbookViewId="0">
      <selection activeCell="J11" sqref="J11"/>
    </sheetView>
  </sheetViews>
  <sheetFormatPr defaultColWidth="8.7109375" defaultRowHeight="15"/>
  <cols>
    <col min="1" max="1" width="4.85546875" style="2" bestFit="1" customWidth="1"/>
    <col min="2" max="2" width="15.5703125" style="3" customWidth="1"/>
    <col min="3" max="3" width="8.85546875" style="3" customWidth="1"/>
    <col min="4" max="4" width="9.85546875" style="57" bestFit="1" customWidth="1"/>
    <col min="5" max="5" width="9" style="2" bestFit="1" customWidth="1"/>
    <col min="6" max="6" width="12.5703125" style="4" bestFit="1" customWidth="1"/>
    <col min="7" max="8" width="11.42578125" style="4" customWidth="1"/>
    <col min="9" max="9" width="17.140625" style="4" bestFit="1" customWidth="1"/>
    <col min="10" max="10" width="26.42578125" style="105" bestFit="1" customWidth="1"/>
    <col min="11" max="11" width="33.85546875" style="105" customWidth="1"/>
    <col min="12" max="12" width="12.42578125" style="3" bestFit="1" customWidth="1"/>
    <col min="13" max="13" width="10.140625" style="3" bestFit="1" customWidth="1"/>
    <col min="14" max="14" width="8.42578125" style="3" bestFit="1" customWidth="1"/>
    <col min="15" max="15" width="10.42578125" style="3" bestFit="1" customWidth="1"/>
    <col min="16" max="16" width="14.7109375" style="3" bestFit="1" customWidth="1"/>
    <col min="17" max="19" width="14.7109375" style="3" customWidth="1"/>
    <col min="20" max="20" width="14.85546875" style="3" customWidth="1"/>
    <col min="21" max="21" width="13.42578125" style="3" bestFit="1" customWidth="1"/>
    <col min="22" max="22" width="12.5703125" style="3" bestFit="1" customWidth="1"/>
    <col min="23" max="23" width="14.140625" style="3" bestFit="1" customWidth="1"/>
    <col min="24" max="24" width="12.5703125" style="3" bestFit="1" customWidth="1"/>
    <col min="25" max="16384" width="8.7109375" style="2"/>
  </cols>
  <sheetData>
    <row r="1" spans="1:25">
      <c r="A1" s="73" t="s">
        <v>75</v>
      </c>
      <c r="B1" s="74"/>
      <c r="C1" s="74"/>
      <c r="D1" s="75"/>
      <c r="E1" s="76"/>
      <c r="F1" s="78"/>
      <c r="G1" s="78"/>
      <c r="H1" s="78"/>
      <c r="I1" s="79"/>
      <c r="J1" s="110"/>
      <c r="K1" s="101"/>
    </row>
    <row r="2" spans="1:25">
      <c r="A2" s="111"/>
      <c r="B2" s="88" t="s">
        <v>315</v>
      </c>
      <c r="C2" s="89" t="s">
        <v>316</v>
      </c>
      <c r="D2" s="90" t="s">
        <v>246</v>
      </c>
      <c r="E2" s="91" t="s">
        <v>318</v>
      </c>
      <c r="F2" s="91" t="s">
        <v>320</v>
      </c>
      <c r="G2" s="91" t="s">
        <v>357</v>
      </c>
      <c r="H2" s="91" t="s">
        <v>360</v>
      </c>
      <c r="I2" s="92" t="s">
        <v>357</v>
      </c>
      <c r="J2" s="92" t="s">
        <v>362</v>
      </c>
      <c r="K2" s="102"/>
      <c r="U2" s="64" t="s">
        <v>39</v>
      </c>
      <c r="V2" s="65"/>
      <c r="W2" s="58" t="s">
        <v>325</v>
      </c>
      <c r="X2" s="58"/>
    </row>
    <row r="3" spans="1:25">
      <c r="A3" s="93" t="s">
        <v>293</v>
      </c>
      <c r="B3" s="94" t="s">
        <v>314</v>
      </c>
      <c r="C3" s="94" t="s">
        <v>317</v>
      </c>
      <c r="D3" s="95" t="s">
        <v>313</v>
      </c>
      <c r="E3" s="96" t="s">
        <v>319</v>
      </c>
      <c r="F3" s="96" t="s">
        <v>321</v>
      </c>
      <c r="G3" s="96" t="s">
        <v>358</v>
      </c>
      <c r="H3" s="96" t="s">
        <v>361</v>
      </c>
      <c r="I3" s="97" t="s">
        <v>359</v>
      </c>
      <c r="J3" s="97" t="s">
        <v>363</v>
      </c>
      <c r="K3" s="102"/>
      <c r="L3" s="3" t="s">
        <v>322</v>
      </c>
      <c r="M3" s="3" t="s">
        <v>323</v>
      </c>
      <c r="N3" s="3" t="s">
        <v>1</v>
      </c>
      <c r="O3" s="3" t="s">
        <v>327</v>
      </c>
      <c r="P3" s="3" t="s">
        <v>328</v>
      </c>
      <c r="Q3" s="3" t="s">
        <v>329</v>
      </c>
      <c r="T3" s="3" t="s">
        <v>324</v>
      </c>
      <c r="U3" s="59" t="s">
        <v>40</v>
      </c>
      <c r="V3" s="21" t="s">
        <v>42</v>
      </c>
      <c r="W3" s="3" t="s">
        <v>45</v>
      </c>
      <c r="X3" s="3" t="s">
        <v>42</v>
      </c>
    </row>
    <row r="4" spans="1:25">
      <c r="A4" s="242">
        <f t="shared" ref="A4:A9" si="0">A5-1</f>
        <v>1951</v>
      </c>
      <c r="B4" s="61">
        <v>12845441</v>
      </c>
      <c r="C4" s="61">
        <v>312942</v>
      </c>
      <c r="D4" s="60">
        <f t="shared" ref="D4:D11" si="1">C4/B4</f>
        <v>2.4362106369100134E-2</v>
      </c>
      <c r="E4" s="62">
        <f>C4/140000</f>
        <v>2.2353000000000001</v>
      </c>
      <c r="F4" s="81">
        <v>4468200</v>
      </c>
      <c r="G4" s="81">
        <f t="shared" ref="G4:G12" si="2">O4</f>
        <v>6268200</v>
      </c>
      <c r="H4" s="107">
        <f>R4</f>
        <v>0.11252225519287834</v>
      </c>
      <c r="I4" s="80">
        <f t="shared" ref="I4:I12" si="3">P4</f>
        <v>5802968</v>
      </c>
      <c r="J4" s="112">
        <f>Q4/I4</f>
        <v>0.1215433205904289</v>
      </c>
      <c r="K4" s="103"/>
      <c r="L4" s="2"/>
      <c r="M4" s="3">
        <v>1800000</v>
      </c>
      <c r="N4" s="3">
        <v>-465232</v>
      </c>
      <c r="O4" s="3">
        <f t="shared" ref="O4:O13" si="4">SUM(F4,L4:M4)</f>
        <v>6268200</v>
      </c>
      <c r="P4" s="3">
        <f>O4+N4</f>
        <v>5802968</v>
      </c>
      <c r="Q4" s="3">
        <f>T4-SUM(U4:V4)+SUM(W4:X4)</f>
        <v>705312</v>
      </c>
      <c r="R4" s="57">
        <f t="shared" ref="R4:R13" si="5">Q4/O4</f>
        <v>0.11252225519287834</v>
      </c>
      <c r="S4" s="57">
        <f t="shared" ref="S4:S13" si="6">Q4/P4</f>
        <v>0.1215433205904289</v>
      </c>
      <c r="T4" s="3">
        <v>667833</v>
      </c>
      <c r="U4" s="59">
        <v>7377</v>
      </c>
      <c r="V4" s="21">
        <v>5894</v>
      </c>
      <c r="W4" s="3">
        <v>50181</v>
      </c>
      <c r="X4" s="3">
        <v>569</v>
      </c>
    </row>
    <row r="5" spans="1:25">
      <c r="A5" s="242">
        <f t="shared" si="0"/>
        <v>1952</v>
      </c>
      <c r="B5" s="82">
        <v>10973952</v>
      </c>
      <c r="C5" s="82">
        <v>224127</v>
      </c>
      <c r="D5" s="60">
        <f t="shared" si="1"/>
        <v>2.0423544772202394E-2</v>
      </c>
      <c r="E5" s="98">
        <f t="shared" ref="E5:E18" si="7">C5/140000</f>
        <v>1.6009071428571429</v>
      </c>
      <c r="F5" s="84">
        <v>4552327</v>
      </c>
      <c r="G5" s="84">
        <f t="shared" si="2"/>
        <v>5802327</v>
      </c>
      <c r="H5" s="108">
        <f t="shared" ref="H5:H13" si="8">R5</f>
        <v>8.3338288241941547E-2</v>
      </c>
      <c r="I5" s="85">
        <f t="shared" si="3"/>
        <v>5306358</v>
      </c>
      <c r="J5" s="112">
        <f t="shared" ref="J5:J12" si="9">Q5/I5</f>
        <v>9.1127662325082473E-2</v>
      </c>
      <c r="K5" s="103"/>
      <c r="L5" s="2"/>
      <c r="M5" s="3">
        <v>1250000</v>
      </c>
      <c r="N5" s="3">
        <v>-495969</v>
      </c>
      <c r="O5" s="3">
        <f t="shared" si="4"/>
        <v>5802327</v>
      </c>
      <c r="P5" s="3">
        <f t="shared" ref="P5:P21" si="10">O5+N5</f>
        <v>5306358</v>
      </c>
      <c r="Q5" s="3">
        <f t="shared" ref="Q5:Q19" si="11">T5-SUM(U5:V5)+SUM(W5:X5)</f>
        <v>483556</v>
      </c>
      <c r="R5" s="57">
        <f t="shared" si="5"/>
        <v>8.3338288241941547E-2</v>
      </c>
      <c r="S5" s="57">
        <f t="shared" si="6"/>
        <v>9.1127662325082473E-2</v>
      </c>
      <c r="T5" s="3">
        <v>472978</v>
      </c>
      <c r="U5" s="59">
        <v>17197</v>
      </c>
      <c r="V5" s="21">
        <v>2836</v>
      </c>
      <c r="W5" s="3">
        <v>30611</v>
      </c>
    </row>
    <row r="6" spans="1:25">
      <c r="A6" s="242">
        <f t="shared" si="0"/>
        <v>1953</v>
      </c>
      <c r="B6" s="82">
        <v>12547923</v>
      </c>
      <c r="C6" s="82">
        <v>211113</v>
      </c>
      <c r="D6" s="60">
        <f t="shared" si="1"/>
        <v>1.6824537415475054E-2</v>
      </c>
      <c r="E6" s="98">
        <f t="shared" si="7"/>
        <v>1.5079499999999999</v>
      </c>
      <c r="F6" s="84">
        <v>4623440</v>
      </c>
      <c r="G6" s="84">
        <f t="shared" si="2"/>
        <v>6623440</v>
      </c>
      <c r="H6" s="108">
        <f t="shared" si="8"/>
        <v>6.9289523268875386E-2</v>
      </c>
      <c r="I6" s="85">
        <f t="shared" si="3"/>
        <v>6283956</v>
      </c>
      <c r="J6" s="112">
        <f t="shared" si="9"/>
        <v>7.303281563397325E-2</v>
      </c>
      <c r="K6" s="103"/>
      <c r="M6" s="3">
        <v>2000000</v>
      </c>
      <c r="N6" s="3">
        <v>-339484</v>
      </c>
      <c r="O6" s="3">
        <f t="shared" si="4"/>
        <v>6623440</v>
      </c>
      <c r="P6" s="3">
        <f t="shared" si="10"/>
        <v>6283956</v>
      </c>
      <c r="Q6" s="3">
        <f t="shared" si="11"/>
        <v>458935</v>
      </c>
      <c r="R6" s="57">
        <f t="shared" si="5"/>
        <v>6.9289523268875386E-2</v>
      </c>
      <c r="S6" s="57">
        <f t="shared" si="6"/>
        <v>7.303281563397325E-2</v>
      </c>
      <c r="T6" s="3">
        <v>443626</v>
      </c>
      <c r="U6" s="59">
        <v>23291</v>
      </c>
      <c r="V6" s="21">
        <v>1524</v>
      </c>
      <c r="W6" s="3">
        <v>39774</v>
      </c>
      <c r="X6" s="3">
        <v>350</v>
      </c>
    </row>
    <row r="7" spans="1:25">
      <c r="A7" s="242">
        <f t="shared" si="0"/>
        <v>1954</v>
      </c>
      <c r="B7" s="82">
        <v>12065569</v>
      </c>
      <c r="C7" s="82">
        <v>207400</v>
      </c>
      <c r="D7" s="60">
        <f t="shared" si="1"/>
        <v>1.7189408970269035E-2</v>
      </c>
      <c r="E7" s="98">
        <f t="shared" si="7"/>
        <v>1.4814285714285715</v>
      </c>
      <c r="F7" s="84">
        <v>4690840</v>
      </c>
      <c r="G7" s="84">
        <f t="shared" si="2"/>
        <v>6140840</v>
      </c>
      <c r="H7" s="108">
        <f t="shared" si="8"/>
        <v>7.6977091082001806E-2</v>
      </c>
      <c r="I7" s="85">
        <f t="shared" si="3"/>
        <v>5715617</v>
      </c>
      <c r="J7" s="112">
        <f t="shared" si="9"/>
        <v>8.2703932051430312E-2</v>
      </c>
      <c r="K7" s="103"/>
      <c r="M7" s="3">
        <v>1450000</v>
      </c>
      <c r="N7" s="3">
        <v>-425223</v>
      </c>
      <c r="O7" s="3">
        <f t="shared" si="4"/>
        <v>6140840</v>
      </c>
      <c r="P7" s="3">
        <f t="shared" si="10"/>
        <v>5715617</v>
      </c>
      <c r="Q7" s="3">
        <f t="shared" si="11"/>
        <v>472704</v>
      </c>
      <c r="R7" s="57">
        <f t="shared" si="5"/>
        <v>7.6977091082001806E-2</v>
      </c>
      <c r="S7" s="57">
        <f t="shared" si="6"/>
        <v>8.2703932051430312E-2</v>
      </c>
      <c r="T7" s="3">
        <v>443184</v>
      </c>
      <c r="U7" s="59">
        <v>16907</v>
      </c>
      <c r="V7" s="21">
        <v>6689</v>
      </c>
      <c r="W7" s="3">
        <v>53116</v>
      </c>
    </row>
    <row r="8" spans="1:25">
      <c r="A8" s="242">
        <f t="shared" si="0"/>
        <v>1955</v>
      </c>
      <c r="B8" s="82">
        <v>11969832</v>
      </c>
      <c r="C8" s="82">
        <v>221670</v>
      </c>
      <c r="D8" s="60">
        <f t="shared" si="1"/>
        <v>1.8519056909069402E-2</v>
      </c>
      <c r="E8" s="98">
        <f t="shared" si="7"/>
        <v>1.5833571428571429</v>
      </c>
      <c r="F8" s="84">
        <v>4772510</v>
      </c>
      <c r="G8" s="84">
        <f t="shared" si="2"/>
        <v>6022510</v>
      </c>
      <c r="H8" s="108">
        <f t="shared" si="8"/>
        <v>7.4548983729375295E-2</v>
      </c>
      <c r="I8" s="85">
        <f t="shared" si="3"/>
        <v>5601003</v>
      </c>
      <c r="J8" s="112">
        <f t="shared" si="9"/>
        <v>8.0159214340717183E-2</v>
      </c>
      <c r="K8" s="103"/>
      <c r="M8" s="3">
        <v>1250000</v>
      </c>
      <c r="N8" s="3">
        <v>-421507</v>
      </c>
      <c r="O8" s="3">
        <f t="shared" si="4"/>
        <v>6022510</v>
      </c>
      <c r="P8" s="3">
        <f t="shared" si="10"/>
        <v>5601003</v>
      </c>
      <c r="Q8" s="3">
        <f t="shared" si="11"/>
        <v>448972</v>
      </c>
      <c r="R8" s="57">
        <f t="shared" si="5"/>
        <v>7.4548983729375295E-2</v>
      </c>
      <c r="S8" s="57">
        <f t="shared" si="6"/>
        <v>8.0159214340717183E-2</v>
      </c>
      <c r="T8" s="3">
        <v>454996</v>
      </c>
      <c r="U8" s="59">
        <v>26329</v>
      </c>
      <c r="V8" s="21">
        <v>7946</v>
      </c>
      <c r="W8" s="3">
        <v>28251</v>
      </c>
    </row>
    <row r="9" spans="1:25">
      <c r="A9" s="242">
        <f t="shared" si="0"/>
        <v>1956</v>
      </c>
      <c r="B9" s="82">
        <v>12993657</v>
      </c>
      <c r="C9" s="82">
        <v>218298</v>
      </c>
      <c r="D9" s="60">
        <f t="shared" si="1"/>
        <v>1.6800351125168228E-2</v>
      </c>
      <c r="E9" s="98">
        <f t="shared" si="7"/>
        <v>1.5592714285714286</v>
      </c>
      <c r="F9" s="84">
        <v>4850808</v>
      </c>
      <c r="G9" s="84">
        <f t="shared" si="2"/>
        <v>8885355</v>
      </c>
      <c r="H9" s="108">
        <f t="shared" si="8"/>
        <v>5.2752872563898684E-2</v>
      </c>
      <c r="I9" s="85">
        <f t="shared" si="3"/>
        <v>8314341</v>
      </c>
      <c r="J9" s="112">
        <f t="shared" si="9"/>
        <v>5.6375845060961535E-2</v>
      </c>
      <c r="K9" s="103"/>
      <c r="L9" s="3">
        <f>1250000+634547-16083</f>
        <v>1868464</v>
      </c>
      <c r="M9" s="3">
        <f>16083+2150000</f>
        <v>2166083</v>
      </c>
      <c r="N9" s="3">
        <v>-571014</v>
      </c>
      <c r="O9" s="3">
        <f t="shared" si="4"/>
        <v>8885355</v>
      </c>
      <c r="P9" s="3">
        <f t="shared" si="10"/>
        <v>8314341</v>
      </c>
      <c r="Q9" s="3">
        <f t="shared" si="11"/>
        <v>468728</v>
      </c>
      <c r="R9" s="57">
        <f t="shared" si="5"/>
        <v>5.2752872563898684E-2</v>
      </c>
      <c r="S9" s="57">
        <f t="shared" si="6"/>
        <v>5.6375845060961535E-2</v>
      </c>
      <c r="T9" s="3">
        <v>451290</v>
      </c>
      <c r="U9" s="59">
        <v>24310</v>
      </c>
      <c r="V9" s="21">
        <v>20771</v>
      </c>
      <c r="W9" s="3">
        <v>62519</v>
      </c>
    </row>
    <row r="10" spans="1:25">
      <c r="A10" s="242">
        <v>1957</v>
      </c>
      <c r="B10" s="82">
        <v>15134010</v>
      </c>
      <c r="C10" s="82">
        <v>172132</v>
      </c>
      <c r="D10" s="60">
        <f t="shared" si="1"/>
        <v>1.1373852666940222E-2</v>
      </c>
      <c r="E10" s="98">
        <f t="shared" si="7"/>
        <v>1.2295142857142858</v>
      </c>
      <c r="F10" s="84">
        <v>4882940</v>
      </c>
      <c r="G10" s="84">
        <f t="shared" si="2"/>
        <v>10016404</v>
      </c>
      <c r="H10" s="108">
        <f t="shared" si="8"/>
        <v>5.0976078840270424E-2</v>
      </c>
      <c r="I10" s="85">
        <f t="shared" si="3"/>
        <v>9336884</v>
      </c>
      <c r="J10" s="112">
        <f t="shared" si="9"/>
        <v>5.4686017305130917E-2</v>
      </c>
      <c r="K10" s="103"/>
      <c r="L10" s="3">
        <f>1250000+618464-16738</f>
        <v>1851726</v>
      </c>
      <c r="M10" s="3">
        <f>16738+3200000+65000</f>
        <v>3281738</v>
      </c>
      <c r="N10" s="3">
        <v>-679520</v>
      </c>
      <c r="O10" s="3">
        <f t="shared" si="4"/>
        <v>10016404</v>
      </c>
      <c r="P10" s="3">
        <f t="shared" si="10"/>
        <v>9336884</v>
      </c>
      <c r="Q10" s="3">
        <f t="shared" si="11"/>
        <v>510597</v>
      </c>
      <c r="R10" s="57">
        <f t="shared" si="5"/>
        <v>5.0976078840270424E-2</v>
      </c>
      <c r="S10" s="57">
        <f t="shared" si="6"/>
        <v>5.4686017305130917E-2</v>
      </c>
      <c r="T10" s="3">
        <f>385271</f>
        <v>385271</v>
      </c>
      <c r="U10" s="59">
        <v>25941</v>
      </c>
      <c r="V10" s="21">
        <v>35437</v>
      </c>
      <c r="W10" s="3">
        <v>186704</v>
      </c>
    </row>
    <row r="11" spans="1:25">
      <c r="A11" s="242">
        <v>1958</v>
      </c>
      <c r="B11" s="82">
        <v>13811093</v>
      </c>
      <c r="C11" s="82">
        <v>48590</v>
      </c>
      <c r="D11" s="60">
        <f t="shared" si="1"/>
        <v>3.5181864317328109E-3</v>
      </c>
      <c r="E11" s="98">
        <f t="shared" si="7"/>
        <v>0.34707142857142859</v>
      </c>
      <c r="F11" s="84">
        <v>4791530</v>
      </c>
      <c r="G11" s="84">
        <f t="shared" si="2"/>
        <v>9593256</v>
      </c>
      <c r="H11" s="108">
        <f t="shared" si="8"/>
        <v>2.3263947089497038E-2</v>
      </c>
      <c r="I11" s="85">
        <f t="shared" si="3"/>
        <v>9041074</v>
      </c>
      <c r="J11" s="112">
        <f t="shared" si="9"/>
        <v>2.4684788554988048E-2</v>
      </c>
      <c r="K11" s="103"/>
      <c r="L11" s="3">
        <v>601726</v>
      </c>
      <c r="M11" s="3">
        <v>4200000</v>
      </c>
      <c r="N11" s="3">
        <v>-552182</v>
      </c>
      <c r="O11" s="3">
        <f t="shared" si="4"/>
        <v>9593256</v>
      </c>
      <c r="P11" s="3">
        <f t="shared" si="10"/>
        <v>9041074</v>
      </c>
      <c r="Q11" s="3">
        <f t="shared" si="11"/>
        <v>223177</v>
      </c>
      <c r="R11" s="57">
        <f t="shared" si="5"/>
        <v>2.3263947089497038E-2</v>
      </c>
      <c r="S11" s="57">
        <f t="shared" si="6"/>
        <v>2.4684788554988048E-2</v>
      </c>
      <c r="T11" s="3">
        <v>55394</v>
      </c>
      <c r="U11" s="59">
        <v>40619</v>
      </c>
      <c r="V11" s="21">
        <v>5718</v>
      </c>
      <c r="W11" s="3">
        <v>214120</v>
      </c>
      <c r="Y11" s="2" t="s">
        <v>326</v>
      </c>
    </row>
    <row r="12" spans="1:25">
      <c r="A12" s="242">
        <v>1959</v>
      </c>
      <c r="B12" s="82">
        <v>14354707</v>
      </c>
      <c r="C12" s="82">
        <v>122740</v>
      </c>
      <c r="D12" s="60">
        <f t="shared" ref="D12:D19" si="12">C12/B12</f>
        <v>8.5505054195811874E-3</v>
      </c>
      <c r="E12" s="98">
        <f t="shared" si="7"/>
        <v>0.87671428571428567</v>
      </c>
      <c r="F12" s="84">
        <v>4844720</v>
      </c>
      <c r="G12" s="84">
        <f t="shared" si="2"/>
        <v>8644720</v>
      </c>
      <c r="H12" s="108">
        <f t="shared" si="8"/>
        <v>4.1341766997658687E-2</v>
      </c>
      <c r="I12" s="85">
        <f t="shared" si="3"/>
        <v>8112182</v>
      </c>
      <c r="J12" s="112">
        <f t="shared" si="9"/>
        <v>4.4055717684834982E-2</v>
      </c>
      <c r="K12" s="103"/>
      <c r="M12" s="3">
        <v>3800000</v>
      </c>
      <c r="N12" s="3">
        <v>-532538</v>
      </c>
      <c r="O12" s="3">
        <f t="shared" si="4"/>
        <v>8644720</v>
      </c>
      <c r="P12" s="3">
        <f t="shared" si="10"/>
        <v>8112182</v>
      </c>
      <c r="Q12" s="3">
        <f t="shared" si="11"/>
        <v>357388</v>
      </c>
      <c r="R12" s="57">
        <f t="shared" si="5"/>
        <v>4.1341766997658687E-2</v>
      </c>
      <c r="S12" s="57">
        <f t="shared" si="6"/>
        <v>4.4055717684834982E-2</v>
      </c>
      <c r="T12" s="3">
        <v>266463</v>
      </c>
      <c r="U12" s="59">
        <v>62736</v>
      </c>
      <c r="V12" s="21">
        <v>13806</v>
      </c>
      <c r="W12" s="3">
        <v>167467</v>
      </c>
    </row>
    <row r="13" spans="1:25">
      <c r="A13" s="243">
        <v>1960</v>
      </c>
      <c r="B13" s="83">
        <v>14120907</v>
      </c>
      <c r="C13" s="83">
        <v>-60609</v>
      </c>
      <c r="D13" s="77">
        <f t="shared" si="12"/>
        <v>-4.2921463897467775E-3</v>
      </c>
      <c r="E13" s="99">
        <f t="shared" si="7"/>
        <v>-0.43292142857142857</v>
      </c>
      <c r="F13" s="86">
        <v>4748661</v>
      </c>
      <c r="G13" s="86">
        <f>O13</f>
        <v>9032547</v>
      </c>
      <c r="H13" s="109">
        <f t="shared" si="8"/>
        <v>4.4161408736649805E-3</v>
      </c>
      <c r="I13" s="87">
        <f>P13</f>
        <v>8501907</v>
      </c>
      <c r="J13" s="113">
        <f>Q13/I13</f>
        <v>4.691770916807253E-3</v>
      </c>
      <c r="K13" s="103"/>
      <c r="L13" s="3">
        <f>26886+840000</f>
        <v>866886</v>
      </c>
      <c r="M13" s="3">
        <f>3400000+17000</f>
        <v>3417000</v>
      </c>
      <c r="N13" s="3">
        <v>-530640</v>
      </c>
      <c r="O13" s="3">
        <f t="shared" si="4"/>
        <v>9032547</v>
      </c>
      <c r="P13" s="3">
        <f t="shared" si="10"/>
        <v>8501907</v>
      </c>
      <c r="Q13" s="3">
        <f t="shared" si="11"/>
        <v>39889</v>
      </c>
      <c r="R13" s="57">
        <f t="shared" si="5"/>
        <v>4.4161408736649805E-3</v>
      </c>
      <c r="S13" s="57">
        <f t="shared" si="6"/>
        <v>4.691770916807253E-3</v>
      </c>
      <c r="T13" s="3">
        <v>-111828</v>
      </c>
      <c r="U13" s="59">
        <v>59885</v>
      </c>
      <c r="V13" s="21">
        <v>9825</v>
      </c>
      <c r="W13" s="3">
        <v>221427</v>
      </c>
    </row>
    <row r="14" spans="1:25">
      <c r="A14" s="117" t="s">
        <v>364</v>
      </c>
      <c r="B14" s="114"/>
      <c r="C14" s="114"/>
      <c r="D14" s="68"/>
      <c r="E14" s="115"/>
      <c r="F14" s="100"/>
      <c r="G14" s="100"/>
      <c r="H14" s="116"/>
      <c r="I14" s="100"/>
      <c r="J14" s="106"/>
      <c r="K14" s="103"/>
      <c r="R14" s="57"/>
      <c r="S14" s="57"/>
      <c r="U14" s="67"/>
      <c r="V14" s="67"/>
    </row>
    <row r="15" spans="1:25">
      <c r="A15" s="117" t="s">
        <v>365</v>
      </c>
      <c r="B15" s="114"/>
      <c r="C15" s="114"/>
      <c r="D15" s="68"/>
      <c r="E15" s="115"/>
      <c r="F15" s="100"/>
      <c r="G15" s="100"/>
      <c r="H15" s="116"/>
      <c r="I15" s="100"/>
      <c r="J15" s="106"/>
      <c r="K15" s="103"/>
      <c r="R15" s="57"/>
      <c r="S15" s="57"/>
      <c r="U15" s="67"/>
      <c r="V15" s="67"/>
    </row>
    <row r="16" spans="1:25">
      <c r="A16" s="117"/>
      <c r="B16" s="114"/>
      <c r="C16" s="114"/>
      <c r="D16" s="68"/>
      <c r="E16" s="115"/>
      <c r="F16" s="100"/>
      <c r="G16" s="100"/>
      <c r="H16" s="116"/>
      <c r="I16" s="100"/>
      <c r="J16" s="106"/>
      <c r="K16" s="103"/>
      <c r="R16" s="57"/>
      <c r="S16" s="57"/>
      <c r="U16" s="67"/>
      <c r="V16" s="67"/>
    </row>
    <row r="17" spans="1:24">
      <c r="A17" s="117"/>
      <c r="B17" s="114"/>
      <c r="C17" s="114"/>
      <c r="D17" s="68"/>
      <c r="E17" s="115"/>
      <c r="F17" s="100"/>
      <c r="G17" s="100"/>
      <c r="H17" s="116"/>
      <c r="I17" s="100"/>
      <c r="J17" s="106"/>
      <c r="K17" s="103"/>
      <c r="R17" s="57"/>
      <c r="S17" s="57"/>
      <c r="U17" s="67"/>
      <c r="V17" s="67"/>
    </row>
    <row r="18" spans="1:24" s="29" customFormat="1">
      <c r="A18" s="29">
        <v>1961</v>
      </c>
      <c r="B18" s="67">
        <v>12732076</v>
      </c>
      <c r="C18" s="67">
        <v>-171059</v>
      </c>
      <c r="D18" s="68">
        <f t="shared" si="12"/>
        <v>-1.3435279525507073E-2</v>
      </c>
      <c r="E18" s="29">
        <f t="shared" si="7"/>
        <v>-1.2218500000000001</v>
      </c>
      <c r="F18" s="63">
        <v>4570837</v>
      </c>
      <c r="G18" s="63"/>
      <c r="H18" s="63"/>
      <c r="I18" s="63"/>
      <c r="J18" s="104"/>
      <c r="K18" s="104"/>
      <c r="L18" s="67">
        <f>9886+840000</f>
        <v>849886</v>
      </c>
      <c r="M18" s="67">
        <f>3150000+17000</f>
        <v>3167000</v>
      </c>
      <c r="N18" s="67">
        <v>-283318</v>
      </c>
      <c r="O18" s="3">
        <f>SUM(F18,L18:M18)</f>
        <v>8587723</v>
      </c>
      <c r="P18" s="3">
        <f t="shared" si="10"/>
        <v>8304405</v>
      </c>
      <c r="Q18" s="3">
        <f t="shared" si="11"/>
        <v>-232952</v>
      </c>
      <c r="R18" s="57">
        <f>Q18/O18</f>
        <v>-2.7126166039589308E-2</v>
      </c>
      <c r="S18" s="57">
        <f>Q18/P18</f>
        <v>-2.8051618388072356E-2</v>
      </c>
      <c r="T18" s="67">
        <v>-348883</v>
      </c>
      <c r="U18" s="67">
        <v>67254</v>
      </c>
      <c r="V18" s="67">
        <v>50472</v>
      </c>
      <c r="W18" s="67">
        <v>228876</v>
      </c>
      <c r="X18" s="67">
        <v>4781</v>
      </c>
    </row>
    <row r="19" spans="1:24">
      <c r="A19" s="2">
        <v>1962</v>
      </c>
      <c r="C19" s="3">
        <v>73803</v>
      </c>
      <c r="D19" s="57" t="e">
        <f t="shared" si="12"/>
        <v>#DIV/0!</v>
      </c>
      <c r="E19" s="8">
        <f>C19/140000</f>
        <v>0.52716428571428575</v>
      </c>
      <c r="F19" s="4">
        <v>4632745</v>
      </c>
      <c r="L19" s="3">
        <v>840000</v>
      </c>
      <c r="M19" s="3">
        <v>3300000</v>
      </c>
      <c r="N19" s="3">
        <v>-305611</v>
      </c>
      <c r="O19" s="3">
        <f>SUM(F19,L19:M19)</f>
        <v>8772745</v>
      </c>
      <c r="P19" s="3">
        <f t="shared" si="10"/>
        <v>8467134</v>
      </c>
      <c r="Q19" s="3">
        <f t="shared" si="11"/>
        <v>262796</v>
      </c>
      <c r="R19" s="57">
        <f>Q19/O19</f>
        <v>2.9955960192619299E-2</v>
      </c>
      <c r="S19" s="57">
        <f>Q19/P19</f>
        <v>3.1037184482966728E-2</v>
      </c>
      <c r="T19" s="3">
        <v>135711</v>
      </c>
      <c r="U19" s="3">
        <v>56119</v>
      </c>
      <c r="V19" s="3">
        <v>55317</v>
      </c>
      <c r="W19" s="3">
        <v>238282</v>
      </c>
      <c r="X19" s="3">
        <v>239</v>
      </c>
    </row>
    <row r="20" spans="1:24">
      <c r="A20" s="2">
        <v>1963</v>
      </c>
      <c r="F20" s="4">
        <v>4669428</v>
      </c>
      <c r="L20" s="3">
        <v>840000</v>
      </c>
      <c r="M20" s="3">
        <v>3500000</v>
      </c>
      <c r="N20" s="3">
        <v>-245288</v>
      </c>
      <c r="O20" s="3">
        <f>SUM(F20,L20:M20)</f>
        <v>9009428</v>
      </c>
      <c r="P20" s="3">
        <f t="shared" si="10"/>
        <v>8764140</v>
      </c>
    </row>
    <row r="21" spans="1:24">
      <c r="A21" s="2">
        <v>1964</v>
      </c>
      <c r="F21" s="4">
        <v>4713347</v>
      </c>
      <c r="L21" s="3">
        <v>1021250</v>
      </c>
      <c r="M21" s="3">
        <f>450000+1123393</f>
        <v>1573393</v>
      </c>
      <c r="N21" s="3">
        <v>-288712</v>
      </c>
      <c r="O21" s="3">
        <f>SUM(F21,L21:M21)</f>
        <v>7307990</v>
      </c>
      <c r="P21" s="3">
        <f t="shared" si="10"/>
        <v>7019278</v>
      </c>
    </row>
    <row r="22" spans="1:24">
      <c r="A22" s="2">
        <v>1965</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4AE90-0AF9-4B01-A3A0-A8A4B45463CD}">
  <sheetPr>
    <tabColor rgb="FF00B0F0"/>
  </sheetPr>
  <dimension ref="A1"/>
  <sheetViews>
    <sheetView workbookViewId="0">
      <selection activeCell="L20" sqref="L20"/>
    </sheetView>
  </sheetViews>
  <sheetFormatPr defaultRowHeight="1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3B2BE-3A96-4254-8BE1-65878806A594}">
  <dimension ref="A1:E52"/>
  <sheetViews>
    <sheetView workbookViewId="0"/>
  </sheetViews>
  <sheetFormatPr defaultRowHeight="15"/>
  <cols>
    <col min="1" max="1" width="98.140625" bestFit="1" customWidth="1"/>
    <col min="2" max="2" width="13.5703125" bestFit="1" customWidth="1"/>
    <col min="3" max="3" width="14.28515625" bestFit="1" customWidth="1"/>
  </cols>
  <sheetData>
    <row r="1" spans="1:5">
      <c r="C1" s="17">
        <v>18628</v>
      </c>
    </row>
    <row r="2" spans="1:5">
      <c r="A2" t="s">
        <v>133</v>
      </c>
      <c r="B2" s="9"/>
      <c r="C2" s="9">
        <v>76213726.430000007</v>
      </c>
      <c r="D2" s="9"/>
      <c r="E2" s="9"/>
    </row>
    <row r="3" spans="1:5">
      <c r="A3" t="s">
        <v>134</v>
      </c>
      <c r="B3" s="9"/>
      <c r="C3" s="9">
        <v>70036844.829999998</v>
      </c>
      <c r="D3" s="9"/>
      <c r="E3" s="9"/>
    </row>
    <row r="4" spans="1:5">
      <c r="B4" s="9"/>
      <c r="C4" s="9">
        <f>C2-C3</f>
        <v>6176881.6000000089</v>
      </c>
      <c r="D4" s="9"/>
      <c r="E4" s="9"/>
    </row>
    <row r="5" spans="1:5">
      <c r="A5" t="s">
        <v>135</v>
      </c>
      <c r="B5" s="9"/>
      <c r="C5" s="9"/>
      <c r="D5" s="9"/>
      <c r="E5" s="9"/>
    </row>
    <row r="6" spans="1:5">
      <c r="A6" t="s">
        <v>136</v>
      </c>
      <c r="B6" s="9">
        <v>271127.62</v>
      </c>
      <c r="C6" s="9"/>
      <c r="D6" s="9"/>
      <c r="E6" s="9"/>
    </row>
    <row r="7" spans="1:5">
      <c r="A7" t="s">
        <v>39</v>
      </c>
      <c r="B7" s="9">
        <v>455402.8</v>
      </c>
      <c r="C7" s="9">
        <f>SUM(B6:B7)</f>
        <v>726530.41999999993</v>
      </c>
      <c r="D7" s="9"/>
      <c r="E7" s="9"/>
    </row>
    <row r="8" spans="1:5">
      <c r="B8" s="9"/>
      <c r="C8" s="9">
        <f>C4+C7</f>
        <v>6903412.0200000089</v>
      </c>
      <c r="D8" s="9"/>
      <c r="E8" s="9"/>
    </row>
    <row r="9" spans="1:5">
      <c r="A9" t="s">
        <v>137</v>
      </c>
      <c r="B9" s="9"/>
      <c r="C9" s="9"/>
      <c r="D9" s="9"/>
      <c r="E9" s="9"/>
    </row>
    <row r="10" spans="1:5">
      <c r="A10" t="s">
        <v>138</v>
      </c>
      <c r="B10" s="9">
        <v>1308790.96</v>
      </c>
      <c r="C10" s="9"/>
      <c r="D10" s="9"/>
      <c r="E10" s="9"/>
    </row>
    <row r="11" spans="1:5">
      <c r="A11" t="s">
        <v>139</v>
      </c>
      <c r="B11" s="9">
        <v>99591.83</v>
      </c>
      <c r="C11" s="9">
        <f>SUM(B10:B11)</f>
        <v>1408382.79</v>
      </c>
      <c r="D11" s="9"/>
      <c r="E11" s="9"/>
    </row>
    <row r="12" spans="1:5">
      <c r="A12" t="s">
        <v>140</v>
      </c>
      <c r="B12" s="9"/>
      <c r="C12" s="9">
        <f>C8-C11</f>
        <v>5495029.2300000088</v>
      </c>
      <c r="D12" s="9"/>
      <c r="E12" s="9"/>
    </row>
    <row r="13" spans="1:5">
      <c r="A13" t="s">
        <v>141</v>
      </c>
      <c r="B13" s="9"/>
      <c r="C13" s="9">
        <v>2319775</v>
      </c>
      <c r="D13" s="9"/>
      <c r="E13" s="9"/>
    </row>
    <row r="14" spans="1:5">
      <c r="A14" t="s">
        <v>140</v>
      </c>
      <c r="B14" s="9"/>
      <c r="C14" s="9">
        <f>C12-C13</f>
        <v>3175254.2300000088</v>
      </c>
      <c r="D14" s="9"/>
      <c r="E14" s="9"/>
    </row>
    <row r="15" spans="1:5">
      <c r="A15" t="s">
        <v>142</v>
      </c>
      <c r="B15" s="9"/>
      <c r="C15" s="9">
        <v>26923934.530000001</v>
      </c>
      <c r="D15" s="9"/>
      <c r="E15" s="9"/>
    </row>
    <row r="16" spans="1:5">
      <c r="B16" s="9"/>
      <c r="C16" s="9">
        <f>SUM(C14:C15)</f>
        <v>30099188.760000009</v>
      </c>
      <c r="D16" s="9"/>
      <c r="E16" s="9"/>
    </row>
    <row r="17" spans="1:5">
      <c r="A17" t="s">
        <v>143</v>
      </c>
      <c r="B17" s="9"/>
      <c r="C17" s="9">
        <v>1688383</v>
      </c>
      <c r="D17" s="9"/>
      <c r="E17" s="9"/>
    </row>
    <row r="18" spans="1:5">
      <c r="A18" t="s">
        <v>144</v>
      </c>
      <c r="B18" s="9"/>
      <c r="C18" s="9">
        <f>C16-C17</f>
        <v>28410805.760000009</v>
      </c>
      <c r="D18" s="9"/>
      <c r="E18" s="9"/>
    </row>
    <row r="19" spans="1:5">
      <c r="B19" s="9"/>
      <c r="C19" s="9"/>
      <c r="D19" s="9"/>
      <c r="E19" s="9"/>
    </row>
    <row r="20" spans="1:5">
      <c r="A20" t="s">
        <v>94</v>
      </c>
      <c r="B20" s="9"/>
      <c r="C20" s="9">
        <f>C12+B10-B7</f>
        <v>6348417.390000009</v>
      </c>
      <c r="D20" s="9"/>
      <c r="E20" s="9"/>
    </row>
    <row r="21" spans="1:5">
      <c r="A21" t="s">
        <v>273</v>
      </c>
      <c r="B21" s="9"/>
      <c r="C21" s="9"/>
      <c r="D21" s="9"/>
      <c r="E21" s="9"/>
    </row>
    <row r="22" spans="1:5">
      <c r="B22" s="9"/>
      <c r="C22" s="9"/>
      <c r="D22" s="9"/>
      <c r="E22" s="9"/>
    </row>
    <row r="23" spans="1:5">
      <c r="B23" s="9">
        <v>1950</v>
      </c>
      <c r="C23" s="9">
        <v>1949</v>
      </c>
      <c r="D23" s="9"/>
      <c r="E23" s="9"/>
    </row>
    <row r="24" spans="1:5">
      <c r="A24" t="s">
        <v>65</v>
      </c>
      <c r="B24" s="9"/>
      <c r="C24" s="9">
        <v>5816965.2699999996</v>
      </c>
      <c r="D24" s="9"/>
      <c r="E24" s="9"/>
    </row>
    <row r="25" spans="1:5">
      <c r="A25" t="s">
        <v>274</v>
      </c>
      <c r="B25" s="9"/>
      <c r="C25" s="9">
        <v>10765646.51</v>
      </c>
      <c r="D25" s="9"/>
      <c r="E25" s="9"/>
    </row>
    <row r="26" spans="1:5">
      <c r="A26" t="s">
        <v>16</v>
      </c>
      <c r="B26" s="9">
        <v>16441077.67</v>
      </c>
      <c r="C26" s="9"/>
      <c r="D26" s="9"/>
      <c r="E26" s="9"/>
    </row>
    <row r="27" spans="1:5">
      <c r="A27" t="s">
        <v>110</v>
      </c>
      <c r="B27" s="9">
        <v>6034371.2400000002</v>
      </c>
      <c r="C27" s="9">
        <v>6432188.75</v>
      </c>
      <c r="D27" s="9"/>
      <c r="E27" s="9"/>
    </row>
    <row r="28" spans="1:5">
      <c r="A28" t="s">
        <v>111</v>
      </c>
      <c r="B28" s="9">
        <v>6057552.5999999996</v>
      </c>
      <c r="C28" s="9">
        <v>5920828.8600000003</v>
      </c>
      <c r="D28" s="9"/>
      <c r="E28" s="9"/>
    </row>
    <row r="29" spans="1:5">
      <c r="B29" s="9">
        <f>SUM(B26:B28)</f>
        <v>28533001.509999998</v>
      </c>
      <c r="C29" s="9">
        <f>SUM(C24:C28)</f>
        <v>28935629.390000001</v>
      </c>
      <c r="D29" s="9"/>
      <c r="E29" s="9"/>
    </row>
    <row r="30" spans="1:5">
      <c r="B30" s="9">
        <f>B29-C29</f>
        <v>-402627.88000000268</v>
      </c>
      <c r="C30" s="9"/>
      <c r="D30" s="9"/>
      <c r="E30" s="9"/>
    </row>
    <row r="31" spans="1:5">
      <c r="B31" s="9"/>
      <c r="C31" s="9"/>
      <c r="D31" s="9"/>
      <c r="E31" s="9"/>
    </row>
    <row r="32" spans="1:5">
      <c r="B32" s="9"/>
      <c r="C32" s="9"/>
      <c r="D32" s="9"/>
      <c r="E32" s="9"/>
    </row>
    <row r="33" spans="2:5">
      <c r="B33" s="9"/>
      <c r="C33" s="9"/>
      <c r="D33" s="9"/>
      <c r="E33" s="9"/>
    </row>
    <row r="34" spans="2:5">
      <c r="B34" s="9"/>
      <c r="C34" s="9"/>
      <c r="D34" s="9"/>
      <c r="E34" s="9"/>
    </row>
    <row r="35" spans="2:5">
      <c r="B35" s="9"/>
      <c r="C35" s="9"/>
      <c r="D35" s="9"/>
      <c r="E35" s="9"/>
    </row>
    <row r="36" spans="2:5">
      <c r="B36" s="9"/>
      <c r="C36" s="9"/>
      <c r="D36" s="9"/>
      <c r="E36" s="9"/>
    </row>
    <row r="37" spans="2:5">
      <c r="B37" s="9"/>
      <c r="C37" s="9"/>
      <c r="D37" s="9"/>
      <c r="E37" s="9"/>
    </row>
    <row r="38" spans="2:5">
      <c r="B38" s="9"/>
      <c r="C38" s="9"/>
      <c r="D38" s="9"/>
      <c r="E38" s="9"/>
    </row>
    <row r="39" spans="2:5">
      <c r="B39" s="9"/>
      <c r="C39" s="9"/>
      <c r="D39" s="9"/>
      <c r="E39" s="9"/>
    </row>
    <row r="40" spans="2:5">
      <c r="B40" s="9"/>
      <c r="C40" s="9"/>
      <c r="D40" s="9"/>
      <c r="E40" s="9"/>
    </row>
    <row r="41" spans="2:5">
      <c r="B41" s="9"/>
      <c r="C41" s="9"/>
      <c r="D41" s="9"/>
      <c r="E41" s="9"/>
    </row>
    <row r="42" spans="2:5">
      <c r="B42" s="9"/>
      <c r="C42" s="9"/>
      <c r="D42" s="9"/>
      <c r="E42" s="9"/>
    </row>
    <row r="43" spans="2:5">
      <c r="B43" s="9"/>
      <c r="C43" s="9"/>
      <c r="D43" s="9"/>
      <c r="E43" s="9"/>
    </row>
    <row r="44" spans="2:5">
      <c r="B44" s="9"/>
      <c r="C44" s="9"/>
      <c r="D44" s="9"/>
      <c r="E44" s="9"/>
    </row>
    <row r="45" spans="2:5">
      <c r="B45" s="9"/>
      <c r="C45" s="9"/>
      <c r="D45" s="9"/>
      <c r="E45" s="9"/>
    </row>
    <row r="46" spans="2:5">
      <c r="B46" s="9"/>
      <c r="C46" s="9"/>
      <c r="D46" s="9"/>
      <c r="E46" s="9"/>
    </row>
    <row r="47" spans="2:5">
      <c r="B47" s="9"/>
      <c r="C47" s="9"/>
      <c r="D47" s="9"/>
      <c r="E47" s="9"/>
    </row>
    <row r="48" spans="2:5">
      <c r="B48" s="9"/>
      <c r="C48" s="9"/>
      <c r="D48" s="9"/>
      <c r="E48" s="9"/>
    </row>
    <row r="49" spans="2:5">
      <c r="B49" s="9"/>
      <c r="C49" s="9"/>
      <c r="D49" s="9"/>
      <c r="E49" s="9"/>
    </row>
    <row r="50" spans="2:5">
      <c r="B50" s="9"/>
      <c r="C50" s="9"/>
      <c r="D50" s="9"/>
      <c r="E50" s="9"/>
    </row>
    <row r="51" spans="2:5">
      <c r="B51" s="9"/>
      <c r="C51" s="9"/>
      <c r="D51" s="9"/>
      <c r="E51" s="9"/>
    </row>
    <row r="52" spans="2:5">
      <c r="B52" s="9"/>
      <c r="C52" s="9"/>
      <c r="D52" s="9"/>
      <c r="E52" s="9"/>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13CBB-EB58-466B-904C-4DA5231CD9E7}">
  <dimension ref="A1:D59"/>
  <sheetViews>
    <sheetView topLeftCell="A7" workbookViewId="0">
      <selection activeCell="D45" sqref="D45"/>
    </sheetView>
  </sheetViews>
  <sheetFormatPr defaultRowHeight="15"/>
  <cols>
    <col min="2" max="2" width="13.28515625" bestFit="1" customWidth="1"/>
    <col min="3" max="3" width="14.28515625" bestFit="1" customWidth="1"/>
    <col min="4" max="4" width="16.28515625" bestFit="1" customWidth="1"/>
  </cols>
  <sheetData>
    <row r="1" spans="1:4">
      <c r="A1" t="s">
        <v>97</v>
      </c>
      <c r="C1">
        <v>1950</v>
      </c>
    </row>
    <row r="2" spans="1:4">
      <c r="A2" t="s">
        <v>98</v>
      </c>
      <c r="C2" s="10"/>
      <c r="D2" s="10"/>
    </row>
    <row r="3" spans="1:4">
      <c r="A3" t="s">
        <v>99</v>
      </c>
      <c r="C3" s="10"/>
      <c r="D3" s="10">
        <v>4128392.15</v>
      </c>
    </row>
    <row r="4" spans="1:4">
      <c r="A4" t="s">
        <v>100</v>
      </c>
      <c r="C4" s="10">
        <v>10674934.199999999</v>
      </c>
      <c r="D4" s="10"/>
    </row>
    <row r="5" spans="1:4">
      <c r="A5" t="s">
        <v>101</v>
      </c>
      <c r="C5" s="10">
        <v>325082.53999999998</v>
      </c>
      <c r="D5" s="10">
        <f>C4-C5</f>
        <v>10349851.66</v>
      </c>
    </row>
    <row r="6" spans="1:4">
      <c r="A6" t="s">
        <v>102</v>
      </c>
      <c r="C6" s="10"/>
      <c r="D6" s="10">
        <v>228657.21</v>
      </c>
    </row>
    <row r="7" spans="1:4">
      <c r="A7" t="s">
        <v>103</v>
      </c>
      <c r="C7" s="10"/>
      <c r="D7" s="10"/>
    </row>
    <row r="8" spans="1:4">
      <c r="A8" t="s">
        <v>104</v>
      </c>
      <c r="C8" s="10">
        <v>3146279.93</v>
      </c>
      <c r="D8" s="10"/>
    </row>
    <row r="9" spans="1:4">
      <c r="A9" t="s">
        <v>105</v>
      </c>
      <c r="C9" s="10">
        <v>1903034.97</v>
      </c>
      <c r="D9" s="10"/>
    </row>
    <row r="10" spans="1:4">
      <c r="A10" t="s">
        <v>106</v>
      </c>
      <c r="C10" s="10">
        <v>17146942.25</v>
      </c>
      <c r="D10" s="10">
        <f>SUM(C8:C10)</f>
        <v>22196257.149999999</v>
      </c>
    </row>
    <row r="11" spans="1:4">
      <c r="A11" t="s">
        <v>10</v>
      </c>
      <c r="C11" s="10"/>
      <c r="D11" s="10">
        <f>SUM(D3:D10)</f>
        <v>36903158.170000002</v>
      </c>
    </row>
    <row r="12" spans="1:4">
      <c r="A12" t="s">
        <v>107</v>
      </c>
      <c r="C12" s="10"/>
      <c r="D12" s="10">
        <v>251116.08</v>
      </c>
    </row>
    <row r="13" spans="1:4">
      <c r="A13" t="s">
        <v>108</v>
      </c>
      <c r="C13" s="10"/>
      <c r="D13" s="10"/>
    </row>
    <row r="14" spans="1:4">
      <c r="A14" t="s">
        <v>16</v>
      </c>
      <c r="B14" s="10">
        <v>16441077.67</v>
      </c>
      <c r="C14" s="10"/>
    </row>
    <row r="15" spans="1:4">
      <c r="A15" t="s">
        <v>109</v>
      </c>
      <c r="B15" s="10">
        <v>1774355.3</v>
      </c>
      <c r="C15" s="10">
        <f>B14-B15</f>
        <v>14666722.369999999</v>
      </c>
    </row>
    <row r="16" spans="1:4">
      <c r="A16" t="s">
        <v>110</v>
      </c>
      <c r="B16" s="10">
        <v>6034371.2400000002</v>
      </c>
      <c r="C16" s="10"/>
    </row>
    <row r="17" spans="1:4">
      <c r="A17" t="s">
        <v>109</v>
      </c>
      <c r="B17" s="10">
        <v>2025686.94</v>
      </c>
      <c r="C17" s="10">
        <f>B16-B17</f>
        <v>4008684.3000000003</v>
      </c>
    </row>
    <row r="18" spans="1:4">
      <c r="A18" t="s">
        <v>111</v>
      </c>
      <c r="B18" s="10">
        <v>6057552.5999999996</v>
      </c>
      <c r="C18" s="10"/>
    </row>
    <row r="19" spans="1:4">
      <c r="A19" t="s">
        <v>112</v>
      </c>
      <c r="B19" s="10">
        <v>1054552.76</v>
      </c>
      <c r="C19" s="10">
        <f>B18-B19</f>
        <v>5002999.84</v>
      </c>
      <c r="D19" s="11">
        <f>SUM(C15:C19)</f>
        <v>23678406.509999998</v>
      </c>
    </row>
    <row r="20" spans="1:4">
      <c r="A20" t="s">
        <v>113</v>
      </c>
      <c r="C20" s="10"/>
      <c r="D20" s="10"/>
    </row>
    <row r="21" spans="1:4">
      <c r="A21" t="s">
        <v>114</v>
      </c>
      <c r="C21" s="10">
        <v>1564199.7</v>
      </c>
      <c r="D21" s="10"/>
    </row>
    <row r="22" spans="1:4">
      <c r="A22" t="s">
        <v>115</v>
      </c>
      <c r="C22" s="10">
        <v>581450.18000000005</v>
      </c>
      <c r="D22" s="10">
        <f>SUM(C21:C22)</f>
        <v>2145649.88</v>
      </c>
    </row>
    <row r="23" spans="1:4">
      <c r="C23" s="10"/>
      <c r="D23" s="10">
        <f>SUM(D11:D22)</f>
        <v>62978330.640000001</v>
      </c>
    </row>
    <row r="24" spans="1:4">
      <c r="A24" t="s">
        <v>116</v>
      </c>
      <c r="C24" s="10"/>
      <c r="D24" s="10"/>
    </row>
    <row r="25" spans="1:4">
      <c r="A25" t="s">
        <v>23</v>
      </c>
      <c r="C25" s="10"/>
      <c r="D25" s="10">
        <v>2710888.01</v>
      </c>
    </row>
    <row r="26" spans="1:4">
      <c r="A26" t="s">
        <v>117</v>
      </c>
      <c r="C26" s="10"/>
      <c r="D26" s="10">
        <v>580542.09</v>
      </c>
    </row>
    <row r="27" spans="1:4">
      <c r="A27" t="s">
        <v>118</v>
      </c>
      <c r="C27" s="10"/>
      <c r="D27" s="10">
        <v>2746335.8</v>
      </c>
    </row>
    <row r="28" spans="1:4">
      <c r="A28" t="s">
        <v>119</v>
      </c>
      <c r="C28" s="10"/>
      <c r="D28" s="10">
        <v>2326021.59</v>
      </c>
    </row>
    <row r="29" spans="1:4">
      <c r="A29" t="s">
        <v>120</v>
      </c>
      <c r="C29" s="10"/>
      <c r="D29" s="10">
        <v>363986.83</v>
      </c>
    </row>
    <row r="30" spans="1:4">
      <c r="A30" t="s">
        <v>29</v>
      </c>
      <c r="C30" s="10"/>
      <c r="D30" s="10">
        <f>SUM(D25:D29)</f>
        <v>8727774.3199999984</v>
      </c>
    </row>
    <row r="31" spans="1:4">
      <c r="A31" t="s">
        <v>121</v>
      </c>
      <c r="C31" s="10">
        <v>12919218.619999999</v>
      </c>
    </row>
    <row r="32" spans="1:4">
      <c r="A32" t="s">
        <v>122</v>
      </c>
      <c r="C32" s="10">
        <v>363986.83</v>
      </c>
      <c r="D32" s="10">
        <f>C31-C32</f>
        <v>12555231.789999999</v>
      </c>
    </row>
    <row r="33" spans="1:4">
      <c r="A33" t="s">
        <v>123</v>
      </c>
      <c r="C33" s="10"/>
      <c r="D33" s="10"/>
    </row>
    <row r="34" spans="1:4">
      <c r="A34" t="s">
        <v>124</v>
      </c>
      <c r="C34" s="10"/>
      <c r="D34" s="10"/>
    </row>
    <row r="35" spans="1:4">
      <c r="B35" t="s">
        <v>70</v>
      </c>
      <c r="C35" s="10"/>
      <c r="D35" s="10"/>
    </row>
    <row r="36" spans="1:4">
      <c r="A36" t="s">
        <v>125</v>
      </c>
      <c r="B36" s="12">
        <v>100000</v>
      </c>
      <c r="C36" s="10"/>
      <c r="D36" s="10"/>
    </row>
    <row r="37" spans="1:4">
      <c r="A37" t="s">
        <v>126</v>
      </c>
      <c r="B37" s="13">
        <v>60000</v>
      </c>
      <c r="C37" s="10"/>
      <c r="D37" s="10"/>
    </row>
    <row r="38" spans="1:4" ht="15.75" thickBot="1">
      <c r="A38" t="s">
        <v>127</v>
      </c>
      <c r="B38" s="14">
        <f>B36-B37</f>
        <v>40000</v>
      </c>
      <c r="C38" s="10"/>
      <c r="D38" s="10"/>
    </row>
    <row r="39" spans="1:4" ht="15.75" thickTop="1">
      <c r="A39" t="s">
        <v>128</v>
      </c>
      <c r="C39" s="10"/>
      <c r="D39" s="10"/>
    </row>
    <row r="40" spans="1:4" ht="15.75" thickBot="1">
      <c r="A40" t="s">
        <v>129</v>
      </c>
      <c r="B40" s="15">
        <v>2500000</v>
      </c>
      <c r="C40" s="10"/>
      <c r="D40" s="10"/>
    </row>
    <row r="41" spans="1:4" ht="15.75" thickTop="1">
      <c r="A41" t="s">
        <v>130</v>
      </c>
      <c r="B41" s="16">
        <v>1688383</v>
      </c>
      <c r="C41" s="10"/>
      <c r="D41" s="10">
        <f>B41</f>
        <v>1688383</v>
      </c>
    </row>
    <row r="42" spans="1:4">
      <c r="A42" t="s">
        <v>131</v>
      </c>
      <c r="C42" s="10">
        <v>11596135.77</v>
      </c>
      <c r="D42" s="10"/>
    </row>
    <row r="43" spans="1:4">
      <c r="A43" t="s">
        <v>132</v>
      </c>
      <c r="C43" s="10">
        <v>28410805.760000002</v>
      </c>
      <c r="D43" s="10">
        <f>SUM(C42:C43)</f>
        <v>40006941.530000001</v>
      </c>
    </row>
    <row r="44" spans="1:4">
      <c r="C44" s="10"/>
      <c r="D44" s="10">
        <f>D43+D41+SUM(D30:D32)</f>
        <v>62978330.640000001</v>
      </c>
    </row>
    <row r="45" spans="1:4">
      <c r="C45" s="10"/>
      <c r="D45" s="10"/>
    </row>
    <row r="46" spans="1:4">
      <c r="C46" s="10"/>
      <c r="D46" s="10"/>
    </row>
    <row r="47" spans="1:4">
      <c r="C47" s="10"/>
      <c r="D47" s="10"/>
    </row>
    <row r="48" spans="1:4">
      <c r="C48" s="10"/>
      <c r="D48" s="10"/>
    </row>
    <row r="49" spans="3:4">
      <c r="C49" s="10"/>
      <c r="D49" s="10"/>
    </row>
    <row r="50" spans="3:4">
      <c r="C50" s="10"/>
      <c r="D50" s="10"/>
    </row>
    <row r="51" spans="3:4">
      <c r="C51" s="10"/>
      <c r="D51" s="10"/>
    </row>
    <row r="52" spans="3:4">
      <c r="C52" s="10"/>
      <c r="D52" s="10"/>
    </row>
    <row r="53" spans="3:4">
      <c r="C53" s="10"/>
      <c r="D53" s="10"/>
    </row>
    <row r="54" spans="3:4">
      <c r="C54" s="10"/>
      <c r="D54" s="10"/>
    </row>
    <row r="55" spans="3:4">
      <c r="C55" s="10"/>
      <c r="D55" s="10"/>
    </row>
    <row r="56" spans="3:4">
      <c r="C56" s="10"/>
      <c r="D56" s="10"/>
    </row>
    <row r="57" spans="3:4">
      <c r="C57" s="10"/>
      <c r="D57" s="10"/>
    </row>
    <row r="58" spans="3:4">
      <c r="C58" s="10"/>
      <c r="D58" s="10"/>
    </row>
    <row r="59" spans="3:4">
      <c r="C59" s="10"/>
      <c r="D59" s="10"/>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9D28-D2FE-46F1-B354-5B8387AF9F8D}">
  <dimension ref="A1:E50"/>
  <sheetViews>
    <sheetView workbookViewId="0">
      <selection activeCell="C14" sqref="C14"/>
    </sheetView>
  </sheetViews>
  <sheetFormatPr defaultRowHeight="15"/>
  <cols>
    <col min="1" max="1" width="101" bestFit="1" customWidth="1"/>
    <col min="2" max="2" width="12.5703125" bestFit="1" customWidth="1"/>
    <col min="3" max="3" width="13.5703125" bestFit="1" customWidth="1"/>
  </cols>
  <sheetData>
    <row r="1" spans="1:5">
      <c r="C1" s="17">
        <v>18628</v>
      </c>
    </row>
    <row r="2" spans="1:5">
      <c r="A2" t="s">
        <v>133</v>
      </c>
      <c r="B2" s="9"/>
      <c r="C2" s="9">
        <v>76213726.430000007</v>
      </c>
      <c r="D2" s="9"/>
      <c r="E2" s="9"/>
    </row>
    <row r="3" spans="1:5">
      <c r="A3" t="s">
        <v>134</v>
      </c>
      <c r="B3" s="9"/>
      <c r="C3" s="9">
        <v>70036844.829999998</v>
      </c>
      <c r="D3" s="9"/>
      <c r="E3" s="9"/>
    </row>
    <row r="4" spans="1:5">
      <c r="B4" s="9"/>
      <c r="C4" s="9">
        <f>C2-C3</f>
        <v>6176881.6000000089</v>
      </c>
      <c r="D4" s="9"/>
      <c r="E4" s="9"/>
    </row>
    <row r="5" spans="1:5">
      <c r="A5" t="s">
        <v>135</v>
      </c>
      <c r="B5" s="9"/>
      <c r="C5" s="9"/>
      <c r="D5" s="9"/>
      <c r="E5" s="9"/>
    </row>
    <row r="6" spans="1:5">
      <c r="A6" t="s">
        <v>136</v>
      </c>
      <c r="B6" s="9">
        <v>271127.62</v>
      </c>
      <c r="C6" s="9"/>
      <c r="D6" s="9"/>
      <c r="E6" s="9"/>
    </row>
    <row r="7" spans="1:5">
      <c r="A7" t="s">
        <v>39</v>
      </c>
      <c r="B7" s="9">
        <v>455402.8</v>
      </c>
      <c r="C7" s="9">
        <f>SUM(B6:B7)</f>
        <v>726530.41999999993</v>
      </c>
      <c r="D7" s="9"/>
      <c r="E7" s="9"/>
    </row>
    <row r="8" spans="1:5">
      <c r="B8" s="9"/>
      <c r="C8" s="9">
        <f>C4+C7</f>
        <v>6903412.0200000089</v>
      </c>
      <c r="D8" s="9"/>
      <c r="E8" s="9"/>
    </row>
    <row r="9" spans="1:5">
      <c r="A9" t="s">
        <v>137</v>
      </c>
      <c r="B9" s="9"/>
      <c r="C9" s="9"/>
      <c r="D9" s="9"/>
      <c r="E9" s="9"/>
    </row>
    <row r="10" spans="1:5">
      <c r="A10" t="s">
        <v>138</v>
      </c>
      <c r="B10" s="9">
        <v>1308790.96</v>
      </c>
      <c r="C10" s="9"/>
      <c r="D10" s="9"/>
      <c r="E10" s="9"/>
    </row>
    <row r="11" spans="1:5">
      <c r="A11" t="s">
        <v>139</v>
      </c>
      <c r="B11" s="9">
        <v>99591.83</v>
      </c>
      <c r="C11" s="9">
        <f>SUM(B10:B11)</f>
        <v>1408382.79</v>
      </c>
      <c r="D11" s="9"/>
      <c r="E11" s="9"/>
    </row>
    <row r="12" spans="1:5">
      <c r="A12" t="s">
        <v>140</v>
      </c>
      <c r="B12" s="9"/>
      <c r="C12" s="9">
        <f>C8-C11</f>
        <v>5495029.2300000088</v>
      </c>
      <c r="D12" s="9"/>
      <c r="E12" s="9"/>
    </row>
    <row r="13" spans="1:5">
      <c r="A13" t="s">
        <v>141</v>
      </c>
      <c r="B13" s="9"/>
      <c r="C13" s="9">
        <v>2319775</v>
      </c>
      <c r="D13" s="9"/>
      <c r="E13" s="9"/>
    </row>
    <row r="14" spans="1:5">
      <c r="A14" t="s">
        <v>186</v>
      </c>
      <c r="B14" s="9"/>
      <c r="C14" s="9">
        <f>C12-C13</f>
        <v>3175254.2300000088</v>
      </c>
      <c r="D14" s="9"/>
      <c r="E14" s="9"/>
    </row>
    <row r="15" spans="1:5">
      <c r="A15" t="s">
        <v>142</v>
      </c>
      <c r="B15" s="9"/>
      <c r="C15" s="9">
        <v>26923934.530000001</v>
      </c>
      <c r="D15" s="9"/>
      <c r="E15" s="9"/>
    </row>
    <row r="16" spans="1:5">
      <c r="B16" s="9"/>
      <c r="C16" s="9">
        <f>SUM(C14:C15)</f>
        <v>30099188.760000009</v>
      </c>
      <c r="D16" s="9"/>
      <c r="E16" s="9"/>
    </row>
    <row r="17" spans="1:5">
      <c r="A17" t="s">
        <v>143</v>
      </c>
      <c r="B17" s="9"/>
      <c r="C17" s="9">
        <v>1688383</v>
      </c>
      <c r="D17" s="9"/>
      <c r="E17" s="9"/>
    </row>
    <row r="18" spans="1:5">
      <c r="A18" t="s">
        <v>144</v>
      </c>
      <c r="B18" s="9"/>
      <c r="C18" s="9">
        <f>C16-C17</f>
        <v>28410805.760000009</v>
      </c>
      <c r="D18" s="9"/>
      <c r="E18" s="9"/>
    </row>
    <row r="19" spans="1:5">
      <c r="B19" s="9"/>
      <c r="C19" s="9"/>
      <c r="D19" s="9"/>
      <c r="E19" s="9"/>
    </row>
    <row r="20" spans="1:5">
      <c r="B20" s="9"/>
      <c r="C20" s="9"/>
      <c r="D20" s="9"/>
      <c r="E20" s="9"/>
    </row>
    <row r="21" spans="1:5">
      <c r="B21" s="9"/>
      <c r="C21" s="9"/>
      <c r="D21" s="9"/>
      <c r="E21" s="9"/>
    </row>
    <row r="22" spans="1:5">
      <c r="B22" s="9"/>
      <c r="C22" s="9"/>
      <c r="D22" s="9"/>
      <c r="E22" s="9"/>
    </row>
    <row r="23" spans="1:5">
      <c r="B23" s="9"/>
      <c r="C23" s="9"/>
      <c r="D23" s="9"/>
      <c r="E23" s="9"/>
    </row>
    <row r="24" spans="1:5">
      <c r="B24" s="9"/>
      <c r="C24" s="9"/>
      <c r="D24" s="9"/>
      <c r="E24" s="9"/>
    </row>
    <row r="25" spans="1:5">
      <c r="B25" s="9"/>
      <c r="C25" s="9"/>
      <c r="D25" s="9"/>
      <c r="E25" s="9"/>
    </row>
    <row r="26" spans="1:5">
      <c r="B26" s="9"/>
      <c r="C26" s="9"/>
      <c r="D26" s="9"/>
      <c r="E26" s="9"/>
    </row>
    <row r="27" spans="1:5">
      <c r="B27" s="9"/>
      <c r="C27" s="9"/>
      <c r="D27" s="9"/>
      <c r="E27" s="9"/>
    </row>
    <row r="28" spans="1:5">
      <c r="B28" s="9"/>
      <c r="C28" s="9"/>
      <c r="D28" s="9"/>
      <c r="E28" s="9"/>
    </row>
    <row r="29" spans="1:5">
      <c r="B29" s="9"/>
      <c r="C29" s="9"/>
      <c r="D29" s="9"/>
      <c r="E29" s="9"/>
    </row>
    <row r="30" spans="1:5">
      <c r="B30" s="9"/>
      <c r="C30" s="9"/>
      <c r="D30" s="9"/>
      <c r="E30" s="9"/>
    </row>
    <row r="31" spans="1:5">
      <c r="B31" s="9"/>
      <c r="C31" s="9"/>
      <c r="D31" s="9"/>
      <c r="E31" s="9"/>
    </row>
    <row r="32" spans="1:5">
      <c r="B32" s="9"/>
      <c r="C32" s="9"/>
      <c r="D32" s="9"/>
      <c r="E32" s="9"/>
    </row>
    <row r="33" spans="2:5">
      <c r="B33" s="9"/>
      <c r="C33" s="9"/>
      <c r="D33" s="9"/>
      <c r="E33" s="9"/>
    </row>
    <row r="34" spans="2:5">
      <c r="B34" s="9"/>
      <c r="C34" s="9"/>
      <c r="D34" s="9"/>
      <c r="E34" s="9"/>
    </row>
    <row r="35" spans="2:5">
      <c r="B35" s="9"/>
      <c r="C35" s="9"/>
      <c r="D35" s="9"/>
      <c r="E35" s="9"/>
    </row>
    <row r="36" spans="2:5">
      <c r="B36" s="9"/>
      <c r="C36" s="9"/>
      <c r="D36" s="9"/>
      <c r="E36" s="9"/>
    </row>
    <row r="37" spans="2:5">
      <c r="B37" s="9"/>
      <c r="C37" s="9"/>
      <c r="D37" s="9"/>
      <c r="E37" s="9"/>
    </row>
    <row r="38" spans="2:5">
      <c r="B38" s="9"/>
      <c r="C38" s="9"/>
      <c r="D38" s="9"/>
      <c r="E38" s="9"/>
    </row>
    <row r="39" spans="2:5">
      <c r="B39" s="9"/>
      <c r="C39" s="9"/>
      <c r="D39" s="9"/>
      <c r="E39" s="9"/>
    </row>
    <row r="40" spans="2:5">
      <c r="B40" s="9"/>
      <c r="C40" s="9"/>
      <c r="D40" s="9"/>
      <c r="E40" s="9"/>
    </row>
    <row r="41" spans="2:5">
      <c r="B41" s="9"/>
      <c r="C41" s="9"/>
      <c r="D41" s="9"/>
      <c r="E41" s="9"/>
    </row>
    <row r="42" spans="2:5">
      <c r="B42" s="9"/>
      <c r="C42" s="9"/>
      <c r="D42" s="9"/>
      <c r="E42" s="9"/>
    </row>
    <row r="43" spans="2:5">
      <c r="B43" s="9"/>
      <c r="C43" s="9"/>
      <c r="D43" s="9"/>
      <c r="E43" s="9"/>
    </row>
    <row r="44" spans="2:5">
      <c r="B44" s="9"/>
      <c r="C44" s="9"/>
      <c r="D44" s="9"/>
      <c r="E44" s="9"/>
    </row>
    <row r="45" spans="2:5">
      <c r="B45" s="9"/>
      <c r="C45" s="9"/>
      <c r="D45" s="9"/>
      <c r="E45" s="9"/>
    </row>
    <row r="46" spans="2:5">
      <c r="B46" s="9"/>
      <c r="C46" s="9"/>
      <c r="D46" s="9"/>
      <c r="E46" s="9"/>
    </row>
    <row r="47" spans="2:5">
      <c r="B47" s="9"/>
      <c r="C47" s="9"/>
      <c r="D47" s="9"/>
      <c r="E47" s="9"/>
    </row>
    <row r="48" spans="2:5">
      <c r="B48" s="9"/>
      <c r="C48" s="9"/>
      <c r="D48" s="9"/>
      <c r="E48" s="9"/>
    </row>
    <row r="49" spans="2:5">
      <c r="B49" s="9"/>
      <c r="C49" s="9"/>
      <c r="D49" s="9"/>
      <c r="E49" s="9"/>
    </row>
    <row r="50" spans="2:5">
      <c r="B50" s="9"/>
      <c r="C50" s="9"/>
      <c r="D50" s="9"/>
      <c r="E50" s="9"/>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CB500-546C-48DE-B9A2-FBE1CB4BD7F8}">
  <sheetPr>
    <tabColor rgb="FF00B0F0"/>
  </sheetPr>
  <dimension ref="A1"/>
  <sheetViews>
    <sheetView workbookViewId="0">
      <selection activeCell="J15" sqref="J15"/>
    </sheetView>
  </sheetViews>
  <sheetFormatPr defaultRowHeight="1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4B9E9-921A-4693-B773-AD4600090536}">
  <dimension ref="A2:C46"/>
  <sheetViews>
    <sheetView topLeftCell="A13" workbookViewId="0">
      <selection activeCell="C28" sqref="C28"/>
    </sheetView>
  </sheetViews>
  <sheetFormatPr defaultRowHeight="15"/>
  <cols>
    <col min="2" max="2" width="12.5703125" style="9" bestFit="1" customWidth="1"/>
    <col min="3" max="3" width="13.5703125" style="9" bestFit="1" customWidth="1"/>
  </cols>
  <sheetData>
    <row r="2" spans="1:3">
      <c r="A2" t="s">
        <v>98</v>
      </c>
    </row>
    <row r="3" spans="1:3">
      <c r="A3" t="s">
        <v>99</v>
      </c>
      <c r="C3" s="9">
        <v>869060.99</v>
      </c>
    </row>
    <row r="4" spans="1:3">
      <c r="A4" t="s">
        <v>171</v>
      </c>
      <c r="B4" s="9">
        <v>1861192.44</v>
      </c>
    </row>
    <row r="5" spans="1:3">
      <c r="A5" t="s">
        <v>161</v>
      </c>
      <c r="B5" s="9">
        <v>116488.38</v>
      </c>
      <c r="C5" s="9">
        <f>B4-B5</f>
        <v>1744704.06</v>
      </c>
    </row>
    <row r="6" spans="1:3">
      <c r="A6" t="s">
        <v>147</v>
      </c>
      <c r="C6" s="9">
        <v>154384.54</v>
      </c>
    </row>
    <row r="7" spans="1:3">
      <c r="A7" t="s">
        <v>172</v>
      </c>
    </row>
    <row r="8" spans="1:3">
      <c r="A8" t="s">
        <v>148</v>
      </c>
      <c r="B8" s="9">
        <v>1147377.1299999999</v>
      </c>
    </row>
    <row r="9" spans="1:3">
      <c r="A9" t="s">
        <v>6</v>
      </c>
      <c r="B9" s="9">
        <v>721409.03</v>
      </c>
    </row>
    <row r="10" spans="1:3">
      <c r="A10" t="s">
        <v>149</v>
      </c>
      <c r="B10" s="9">
        <v>2320300.13</v>
      </c>
    </row>
    <row r="11" spans="1:3">
      <c r="B11" s="9">
        <f>SUM(B8:B10)</f>
        <v>4189086.29</v>
      </c>
    </row>
    <row r="12" spans="1:3">
      <c r="A12" t="s">
        <v>146</v>
      </c>
      <c r="B12" s="9">
        <v>197825.3</v>
      </c>
      <c r="C12" s="9">
        <f>B11-B12</f>
        <v>3991260.99</v>
      </c>
    </row>
    <row r="13" spans="1:3">
      <c r="A13" t="s">
        <v>10</v>
      </c>
      <c r="C13" s="9">
        <f>SUM(C3:C12)</f>
        <v>6759410.5800000001</v>
      </c>
    </row>
    <row r="15" spans="1:3">
      <c r="A15" t="s">
        <v>173</v>
      </c>
    </row>
    <row r="16" spans="1:3">
      <c r="A16" t="s">
        <v>162</v>
      </c>
      <c r="C16" s="9">
        <v>14830.34</v>
      </c>
    </row>
    <row r="17" spans="1:3">
      <c r="A17" t="s">
        <v>174</v>
      </c>
    </row>
    <row r="18" spans="1:3">
      <c r="A18" t="s">
        <v>16</v>
      </c>
      <c r="B18" s="9">
        <v>965736.17</v>
      </c>
    </row>
    <row r="19" spans="1:3">
      <c r="A19" t="s">
        <v>151</v>
      </c>
      <c r="B19" s="9">
        <v>1170961.04</v>
      </c>
    </row>
    <row r="20" spans="1:3">
      <c r="B20" s="9">
        <f>SUM(B18:B19)</f>
        <v>2136697.21</v>
      </c>
    </row>
    <row r="21" spans="1:3">
      <c r="A21" t="s">
        <v>152</v>
      </c>
      <c r="B21" s="9">
        <v>458534.31</v>
      </c>
    </row>
    <row r="22" spans="1:3">
      <c r="B22" s="9">
        <f>B20-B21</f>
        <v>1678162.9</v>
      </c>
    </row>
    <row r="23" spans="1:3">
      <c r="A23" t="s">
        <v>109</v>
      </c>
      <c r="B23" s="9">
        <v>902257.38</v>
      </c>
    </row>
    <row r="24" spans="1:3">
      <c r="B24" s="9">
        <f>B22-B23</f>
        <v>775905.5199999999</v>
      </c>
    </row>
    <row r="25" spans="1:3">
      <c r="A25" t="s">
        <v>175</v>
      </c>
      <c r="B25" s="9">
        <v>315651.99</v>
      </c>
      <c r="C25" s="9">
        <f>SUM(B24:B25)</f>
        <v>1091557.5099999998</v>
      </c>
    </row>
    <row r="26" spans="1:3">
      <c r="A26" t="s">
        <v>56</v>
      </c>
      <c r="B26" s="9">
        <v>115259.64</v>
      </c>
      <c r="C26" s="9">
        <v>115259.64</v>
      </c>
    </row>
    <row r="27" spans="1:3">
      <c r="A27" t="s">
        <v>153</v>
      </c>
      <c r="C27" s="9">
        <v>2</v>
      </c>
    </row>
    <row r="28" spans="1:3">
      <c r="C28" s="9">
        <f>SUM(C13:C27)</f>
        <v>7981060.0699999994</v>
      </c>
    </row>
    <row r="30" spans="1:3">
      <c r="A30" t="s">
        <v>21</v>
      </c>
    </row>
    <row r="31" spans="1:3">
      <c r="A31" t="s">
        <v>340</v>
      </c>
      <c r="C31" s="9">
        <v>2100000</v>
      </c>
    </row>
    <row r="32" spans="1:3">
      <c r="A32" t="s">
        <v>176</v>
      </c>
      <c r="C32" s="9">
        <v>956683.21</v>
      </c>
    </row>
    <row r="33" spans="1:3">
      <c r="A33" t="s">
        <v>29</v>
      </c>
      <c r="C33" s="9">
        <f>SUM(C31:C32)</f>
        <v>3056683.21</v>
      </c>
    </row>
    <row r="34" spans="1:3">
      <c r="A34" t="s">
        <v>177</v>
      </c>
      <c r="C34" s="9">
        <v>1178200</v>
      </c>
    </row>
    <row r="35" spans="1:3">
      <c r="A35" t="s">
        <v>178</v>
      </c>
      <c r="C35" s="9">
        <f>C34+C33</f>
        <v>4234883.21</v>
      </c>
    </row>
    <row r="36" spans="1:3">
      <c r="A36" t="s">
        <v>179</v>
      </c>
      <c r="C36" s="9">
        <v>150000</v>
      </c>
    </row>
    <row r="37" spans="1:3">
      <c r="A37" t="s">
        <v>180</v>
      </c>
      <c r="C37" s="9">
        <v>119430.12</v>
      </c>
    </row>
    <row r="38" spans="1:3">
      <c r="A38" t="s">
        <v>181</v>
      </c>
    </row>
    <row r="39" spans="1:3">
      <c r="A39" t="s">
        <v>182</v>
      </c>
    </row>
    <row r="40" spans="1:3">
      <c r="A40" t="s">
        <v>184</v>
      </c>
    </row>
    <row r="41" spans="1:3">
      <c r="A41" t="s">
        <v>183</v>
      </c>
      <c r="B41" s="9">
        <v>119586</v>
      </c>
    </row>
    <row r="42" spans="1:3">
      <c r="A42" t="s">
        <v>163</v>
      </c>
      <c r="B42" s="9">
        <v>3357160.74</v>
      </c>
      <c r="C42" s="9">
        <f>SUM(B41:B42)</f>
        <v>3476746.74</v>
      </c>
    </row>
    <row r="44" spans="1:3">
      <c r="A44" t="s">
        <v>321</v>
      </c>
      <c r="B44" s="9">
        <f>C42</f>
        <v>3476746.74</v>
      </c>
    </row>
    <row r="45" spans="1:3">
      <c r="A45" t="s">
        <v>356</v>
      </c>
      <c r="B45" s="9">
        <f>-C27</f>
        <v>-2</v>
      </c>
    </row>
    <row r="46" spans="1:3">
      <c r="A46" t="s">
        <v>339</v>
      </c>
      <c r="B46" s="9">
        <f>SUM(B44:B45)</f>
        <v>3476744.74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CC5C1-21F5-4CD0-B3EF-2EA7BDEC2FF8}">
  <dimension ref="A1:C19"/>
  <sheetViews>
    <sheetView workbookViewId="0">
      <selection activeCell="B17" sqref="B17"/>
    </sheetView>
  </sheetViews>
  <sheetFormatPr defaultRowHeight="15"/>
  <cols>
    <col min="1" max="1" width="115.42578125" bestFit="1" customWidth="1"/>
    <col min="2" max="2" width="11.140625" style="9" bestFit="1" customWidth="1"/>
    <col min="3" max="3" width="11.140625" bestFit="1" customWidth="1"/>
  </cols>
  <sheetData>
    <row r="1" spans="1:3">
      <c r="A1" t="s">
        <v>277</v>
      </c>
      <c r="C1" s="9">
        <v>958945.83</v>
      </c>
    </row>
    <row r="2" spans="1:3">
      <c r="A2" t="s">
        <v>155</v>
      </c>
      <c r="C2" s="9">
        <v>789402.03</v>
      </c>
    </row>
    <row r="3" spans="1:3">
      <c r="C3" s="9">
        <f>C1-C2</f>
        <v>169543.79999999993</v>
      </c>
    </row>
    <row r="4" spans="1:3">
      <c r="A4" t="s">
        <v>355</v>
      </c>
      <c r="C4" s="9">
        <v>83176.710000000006</v>
      </c>
    </row>
    <row r="5" spans="1:3">
      <c r="C5" s="9">
        <f>C4+C3</f>
        <v>252720.50999999995</v>
      </c>
    </row>
    <row r="6" spans="1:3">
      <c r="A6" t="s">
        <v>185</v>
      </c>
      <c r="C6" s="9">
        <v>103826.9</v>
      </c>
    </row>
    <row r="7" spans="1:3">
      <c r="A7" t="s">
        <v>156</v>
      </c>
      <c r="C7" s="9">
        <f>C5-C6</f>
        <v>148893.60999999996</v>
      </c>
    </row>
    <row r="8" spans="1:3">
      <c r="A8" t="s">
        <v>157</v>
      </c>
      <c r="C8" s="9">
        <v>45000</v>
      </c>
    </row>
    <row r="9" spans="1:3">
      <c r="A9" t="s">
        <v>186</v>
      </c>
      <c r="C9" s="9">
        <f>C7-C8</f>
        <v>103893.60999999996</v>
      </c>
    </row>
    <row r="11" spans="1:3">
      <c r="A11" t="s">
        <v>158</v>
      </c>
    </row>
    <row r="12" spans="1:3">
      <c r="A12" t="s">
        <v>159</v>
      </c>
      <c r="B12" s="9">
        <v>77364.160000000003</v>
      </c>
    </row>
    <row r="13" spans="1:3">
      <c r="A13" t="s">
        <v>187</v>
      </c>
      <c r="B13" s="9">
        <v>7724.75</v>
      </c>
      <c r="C13" s="11">
        <f>SUM(B12:B13)</f>
        <v>85088.91</v>
      </c>
    </row>
    <row r="14" spans="1:3">
      <c r="A14" t="s">
        <v>160</v>
      </c>
      <c r="C14" s="11">
        <f>C13+C9</f>
        <v>188982.51999999996</v>
      </c>
    </row>
    <row r="17" spans="1:2">
      <c r="A17" t="s">
        <v>276</v>
      </c>
      <c r="B17" s="9">
        <f>C3</f>
        <v>169543.79999999993</v>
      </c>
    </row>
    <row r="18" spans="1:2">
      <c r="A18" t="s">
        <v>278</v>
      </c>
      <c r="B18" s="9">
        <v>29036.32</v>
      </c>
    </row>
    <row r="19" spans="1:2">
      <c r="A19" t="s">
        <v>94</v>
      </c>
      <c r="B19" s="9">
        <f>SUM(B17:B18)</f>
        <v>198580.11999999994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2B0C6-3C5D-4277-B75B-3868AFC4B85C}">
  <dimension ref="A1:C36"/>
  <sheetViews>
    <sheetView topLeftCell="A13" workbookViewId="0"/>
  </sheetViews>
  <sheetFormatPr defaultRowHeight="15"/>
  <sheetData>
    <row r="1" spans="1:3">
      <c r="A1" t="s">
        <v>619</v>
      </c>
      <c r="B1" t="s">
        <v>620</v>
      </c>
      <c r="C1" t="s">
        <v>621</v>
      </c>
    </row>
    <row r="2" spans="1:3">
      <c r="A2" t="s">
        <v>622</v>
      </c>
      <c r="B2">
        <v>11</v>
      </c>
      <c r="C2" t="s">
        <v>623</v>
      </c>
    </row>
    <row r="3" spans="1:3">
      <c r="A3" t="s">
        <v>622</v>
      </c>
      <c r="B3">
        <v>11</v>
      </c>
      <c r="C3" t="s">
        <v>625</v>
      </c>
    </row>
    <row r="4" spans="1:3">
      <c r="A4" t="s">
        <v>622</v>
      </c>
      <c r="B4">
        <v>12</v>
      </c>
      <c r="C4" t="s">
        <v>626</v>
      </c>
    </row>
    <row r="5" spans="1:3">
      <c r="A5" t="s">
        <v>622</v>
      </c>
      <c r="B5">
        <v>12</v>
      </c>
      <c r="C5" t="s">
        <v>627</v>
      </c>
    </row>
    <row r="6" spans="1:3">
      <c r="A6" t="s">
        <v>622</v>
      </c>
      <c r="B6">
        <v>12</v>
      </c>
      <c r="C6" t="s">
        <v>628</v>
      </c>
    </row>
    <row r="7" spans="1:3">
      <c r="A7" t="s">
        <v>622</v>
      </c>
      <c r="B7">
        <v>12</v>
      </c>
      <c r="C7" t="s">
        <v>629</v>
      </c>
    </row>
    <row r="8" spans="1:3">
      <c r="A8" t="s">
        <v>622</v>
      </c>
      <c r="B8">
        <v>12</v>
      </c>
      <c r="C8" t="s">
        <v>630</v>
      </c>
    </row>
    <row r="9" spans="1:3">
      <c r="A9" t="s">
        <v>622</v>
      </c>
      <c r="B9">
        <v>12</v>
      </c>
      <c r="C9" t="s">
        <v>631</v>
      </c>
    </row>
    <row r="10" spans="1:3">
      <c r="A10" t="s">
        <v>622</v>
      </c>
      <c r="B10">
        <v>13</v>
      </c>
      <c r="C10" t="s">
        <v>632</v>
      </c>
    </row>
    <row r="11" spans="1:3">
      <c r="A11" t="s">
        <v>622</v>
      </c>
      <c r="B11" t="s">
        <v>633</v>
      </c>
      <c r="C11" t="s">
        <v>624</v>
      </c>
    </row>
    <row r="12" spans="1:3">
      <c r="A12" t="s">
        <v>622</v>
      </c>
      <c r="B12">
        <v>23</v>
      </c>
      <c r="C12" t="s">
        <v>634</v>
      </c>
    </row>
    <row r="13" spans="1:3">
      <c r="A13" t="s">
        <v>622</v>
      </c>
      <c r="B13">
        <v>48</v>
      </c>
      <c r="C13" t="s">
        <v>635</v>
      </c>
    </row>
    <row r="14" spans="1:3">
      <c r="A14" t="s">
        <v>636</v>
      </c>
      <c r="B14">
        <v>37</v>
      </c>
      <c r="C14" t="s">
        <v>637</v>
      </c>
    </row>
    <row r="15" spans="1:3">
      <c r="A15" t="s">
        <v>636</v>
      </c>
      <c r="B15">
        <v>41</v>
      </c>
      <c r="C15" t="s">
        <v>638</v>
      </c>
    </row>
    <row r="16" spans="1:3">
      <c r="A16" t="s">
        <v>639</v>
      </c>
      <c r="B16" t="s">
        <v>640</v>
      </c>
    </row>
    <row r="17" spans="1:3">
      <c r="A17" t="s">
        <v>641</v>
      </c>
      <c r="B17" t="s">
        <v>640</v>
      </c>
    </row>
    <row r="18" spans="1:3">
      <c r="A18" t="s">
        <v>642</v>
      </c>
      <c r="B18">
        <v>1</v>
      </c>
      <c r="C18" t="s">
        <v>643</v>
      </c>
    </row>
    <row r="19" spans="1:3">
      <c r="A19" t="s">
        <v>642</v>
      </c>
      <c r="B19">
        <v>4</v>
      </c>
      <c r="C19" t="s">
        <v>644</v>
      </c>
    </row>
    <row r="20" spans="1:3">
      <c r="A20" t="s">
        <v>645</v>
      </c>
      <c r="B20" t="s">
        <v>640</v>
      </c>
    </row>
    <row r="21" spans="1:3">
      <c r="A21" t="s">
        <v>646</v>
      </c>
      <c r="B21">
        <v>27</v>
      </c>
      <c r="C21" t="s">
        <v>647</v>
      </c>
    </row>
    <row r="22" spans="1:3">
      <c r="A22" t="s">
        <v>646</v>
      </c>
      <c r="B22">
        <v>28</v>
      </c>
      <c r="C22" t="s">
        <v>648</v>
      </c>
    </row>
    <row r="23" spans="1:3">
      <c r="A23" t="s">
        <v>646</v>
      </c>
      <c r="B23">
        <v>50</v>
      </c>
      <c r="C23" t="s">
        <v>649</v>
      </c>
    </row>
    <row r="24" spans="1:3">
      <c r="A24" t="s">
        <v>650</v>
      </c>
      <c r="B24" t="s">
        <v>640</v>
      </c>
    </row>
    <row r="25" spans="1:3">
      <c r="A25" t="s">
        <v>651</v>
      </c>
      <c r="B25" t="s">
        <v>640</v>
      </c>
    </row>
    <row r="26" spans="1:3">
      <c r="A26" t="s">
        <v>652</v>
      </c>
      <c r="B26" t="s">
        <v>640</v>
      </c>
    </row>
    <row r="27" spans="1:3">
      <c r="A27" t="s">
        <v>653</v>
      </c>
      <c r="B27">
        <v>1</v>
      </c>
      <c r="C27" t="s">
        <v>654</v>
      </c>
    </row>
    <row r="28" spans="1:3">
      <c r="A28" t="s">
        <v>653</v>
      </c>
      <c r="B28">
        <v>1</v>
      </c>
      <c r="C28" t="s">
        <v>655</v>
      </c>
    </row>
    <row r="29" spans="1:3">
      <c r="A29" t="s">
        <v>653</v>
      </c>
      <c r="B29">
        <v>2</v>
      </c>
      <c r="C29" t="s">
        <v>656</v>
      </c>
    </row>
    <row r="30" spans="1:3">
      <c r="A30" t="s">
        <v>653</v>
      </c>
      <c r="B30">
        <v>2</v>
      </c>
      <c r="C30" t="s">
        <v>657</v>
      </c>
    </row>
    <row r="31" spans="1:3">
      <c r="A31" t="s">
        <v>653</v>
      </c>
      <c r="B31">
        <v>2</v>
      </c>
      <c r="C31" t="s">
        <v>658</v>
      </c>
    </row>
    <row r="32" spans="1:3">
      <c r="A32" t="s">
        <v>653</v>
      </c>
      <c r="B32">
        <v>3</v>
      </c>
      <c r="C32" t="s">
        <v>659</v>
      </c>
    </row>
    <row r="33" spans="1:3">
      <c r="A33" t="s">
        <v>653</v>
      </c>
      <c r="B33">
        <v>3</v>
      </c>
      <c r="C33" t="s">
        <v>660</v>
      </c>
    </row>
    <row r="34" spans="1:3">
      <c r="A34" t="s">
        <v>653</v>
      </c>
      <c r="B34">
        <v>3</v>
      </c>
      <c r="C34" t="s">
        <v>661</v>
      </c>
    </row>
    <row r="35" spans="1:3">
      <c r="A35" t="s">
        <v>662</v>
      </c>
      <c r="B35" t="s">
        <v>640</v>
      </c>
    </row>
    <row r="36" spans="1:3">
      <c r="A36" t="s">
        <v>663</v>
      </c>
      <c r="B36" t="s">
        <v>640</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0EFFF-CF61-4970-8D43-95B6F60C62DE}">
  <sheetPr>
    <tabColor rgb="FF00B0F0"/>
  </sheetPr>
  <dimension ref="B1:C1"/>
  <sheetViews>
    <sheetView workbookViewId="0">
      <selection sqref="A1:C1048576"/>
    </sheetView>
  </sheetViews>
  <sheetFormatPr defaultRowHeight="15"/>
  <cols>
    <col min="2" max="3" width="12.5703125" style="1" bestFit="1" customWidth="1"/>
  </cols>
  <sheetData>
    <row r="1" spans="2:3">
      <c r="B1" s="35"/>
      <c r="C1" s="35"/>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4EEA1-BBFF-4D2B-A7DD-7BFA17BD42E6}">
  <dimension ref="A1:C56"/>
  <sheetViews>
    <sheetView workbookViewId="0">
      <selection activeCell="A9" sqref="A9"/>
    </sheetView>
  </sheetViews>
  <sheetFormatPr defaultRowHeight="15"/>
  <cols>
    <col min="1" max="1" width="197.85546875" bestFit="1" customWidth="1"/>
    <col min="2" max="2" width="11" bestFit="1" customWidth="1"/>
  </cols>
  <sheetData>
    <row r="1" spans="1:3">
      <c r="B1" s="35">
        <v>1950</v>
      </c>
      <c r="C1" s="35">
        <v>1949</v>
      </c>
    </row>
    <row r="2" spans="1:3">
      <c r="A2" t="s">
        <v>145</v>
      </c>
      <c r="B2" s="1"/>
      <c r="C2" s="1"/>
    </row>
    <row r="3" spans="1:3">
      <c r="A3" t="s">
        <v>1</v>
      </c>
      <c r="B3" s="1">
        <v>1976382</v>
      </c>
      <c r="C3" s="1">
        <v>2828557</v>
      </c>
    </row>
    <row r="4" spans="1:3">
      <c r="A4" t="s">
        <v>188</v>
      </c>
      <c r="B4" s="1">
        <v>25000</v>
      </c>
      <c r="C4" s="1">
        <v>75000</v>
      </c>
    </row>
    <row r="5" spans="1:3">
      <c r="A5" t="s">
        <v>189</v>
      </c>
      <c r="B5" s="1"/>
      <c r="C5" s="1"/>
    </row>
    <row r="6" spans="1:3">
      <c r="A6" t="s">
        <v>190</v>
      </c>
      <c r="B6" s="1">
        <v>7058748</v>
      </c>
      <c r="C6" s="1">
        <v>5507274</v>
      </c>
    </row>
    <row r="7" spans="1:3">
      <c r="A7" t="s">
        <v>191</v>
      </c>
      <c r="B7" s="1">
        <v>304596</v>
      </c>
      <c r="C7" s="1">
        <v>378799</v>
      </c>
    </row>
    <row r="8" spans="1:3">
      <c r="A8" t="s">
        <v>192</v>
      </c>
      <c r="B8" s="1"/>
      <c r="C8" s="1"/>
    </row>
    <row r="9" spans="1:3">
      <c r="A9" t="s">
        <v>193</v>
      </c>
      <c r="B9" s="1">
        <v>19774156</v>
      </c>
      <c r="C9" s="1">
        <v>15478216</v>
      </c>
    </row>
    <row r="10" spans="1:3">
      <c r="A10" t="s">
        <v>194</v>
      </c>
      <c r="B10" s="1">
        <v>585826</v>
      </c>
      <c r="C10" s="1">
        <v>519498</v>
      </c>
    </row>
    <row r="11" spans="1:3">
      <c r="A11" t="s">
        <v>10</v>
      </c>
      <c r="B11" s="1">
        <f>SUM(B3:B10)</f>
        <v>29724708</v>
      </c>
      <c r="C11" s="1">
        <f>SUM(C3:C10)</f>
        <v>24787344</v>
      </c>
    </row>
    <row r="12" spans="1:3">
      <c r="B12" s="1"/>
      <c r="C12" s="1"/>
    </row>
    <row r="13" spans="1:3">
      <c r="A13" t="s">
        <v>150</v>
      </c>
      <c r="B13" s="1"/>
      <c r="C13" s="1"/>
    </row>
    <row r="14" spans="1:3">
      <c r="A14" t="s">
        <v>195</v>
      </c>
      <c r="B14" s="1">
        <v>95500</v>
      </c>
      <c r="C14" s="1">
        <v>322964</v>
      </c>
    </row>
    <row r="15" spans="1:3">
      <c r="A15" t="s">
        <v>196</v>
      </c>
      <c r="B15" s="1">
        <v>194224</v>
      </c>
      <c r="C15" s="1">
        <v>206016</v>
      </c>
    </row>
    <row r="16" spans="1:3">
      <c r="A16" t="s">
        <v>197</v>
      </c>
      <c r="B16" s="1">
        <v>330144</v>
      </c>
      <c r="C16" s="1">
        <v>359141</v>
      </c>
    </row>
    <row r="17" spans="1:3">
      <c r="A17" t="s">
        <v>198</v>
      </c>
      <c r="B17" s="1">
        <v>94768</v>
      </c>
      <c r="C17" s="1">
        <v>80631</v>
      </c>
    </row>
    <row r="18" spans="1:3">
      <c r="B18" s="1">
        <f>SUM(B14:B17)</f>
        <v>714636</v>
      </c>
      <c r="C18" s="1">
        <f>SUM(C14:C17)</f>
        <v>968752</v>
      </c>
    </row>
    <row r="19" spans="1:3">
      <c r="B19" s="1"/>
      <c r="C19" s="1"/>
    </row>
    <row r="20" spans="1:3">
      <c r="A20" t="s">
        <v>199</v>
      </c>
      <c r="B20" s="1"/>
      <c r="C20" s="1"/>
    </row>
    <row r="21" spans="1:3">
      <c r="A21" t="s">
        <v>200</v>
      </c>
      <c r="B21" s="1">
        <v>9386436</v>
      </c>
      <c r="C21" s="1">
        <v>8455652</v>
      </c>
    </row>
    <row r="22" spans="1:3">
      <c r="A22" t="s">
        <v>201</v>
      </c>
      <c r="B22" s="1">
        <v>3663325</v>
      </c>
      <c r="C22" s="1">
        <v>3342702</v>
      </c>
    </row>
    <row r="23" spans="1:3">
      <c r="B23" s="1">
        <f>B21-B22</f>
        <v>5723111</v>
      </c>
      <c r="C23" s="1">
        <f>C21-C22</f>
        <v>5112950</v>
      </c>
    </row>
    <row r="24" spans="1:3">
      <c r="A24" t="s">
        <v>202</v>
      </c>
      <c r="B24" s="1">
        <v>4885782</v>
      </c>
      <c r="C24" s="1">
        <v>3864007</v>
      </c>
    </row>
    <row r="25" spans="1:3">
      <c r="A25" t="s">
        <v>65</v>
      </c>
      <c r="B25" s="1">
        <v>748341</v>
      </c>
      <c r="C25" s="1">
        <v>728841</v>
      </c>
    </row>
    <row r="26" spans="1:3">
      <c r="B26" s="1">
        <f>SUM(B23:B25)</f>
        <v>11357234</v>
      </c>
      <c r="C26" s="1">
        <f>SUM(C23:C25)</f>
        <v>9705798</v>
      </c>
    </row>
    <row r="27" spans="1:3">
      <c r="A27" t="s">
        <v>203</v>
      </c>
      <c r="B27" s="1">
        <v>1</v>
      </c>
      <c r="C27" s="1">
        <v>1</v>
      </c>
    </row>
    <row r="28" spans="1:3">
      <c r="B28" s="1">
        <f>SUM(B26:B27,B18,B11)</f>
        <v>41796579</v>
      </c>
      <c r="C28" s="1">
        <f>SUM(C26:C27,C18,C11)</f>
        <v>35461895</v>
      </c>
    </row>
    <row r="29" spans="1:3">
      <c r="A29" t="s">
        <v>116</v>
      </c>
      <c r="B29" s="1"/>
      <c r="C29" s="1"/>
    </row>
    <row r="30" spans="1:3">
      <c r="A30" t="s">
        <v>210</v>
      </c>
      <c r="B30" s="1">
        <v>5000000</v>
      </c>
      <c r="C30" s="1">
        <v>1000000</v>
      </c>
    </row>
    <row r="31" spans="1:3">
      <c r="A31" t="s">
        <v>204</v>
      </c>
      <c r="B31" s="1">
        <v>635000</v>
      </c>
      <c r="C31" s="1">
        <v>485000</v>
      </c>
    </row>
    <row r="32" spans="1:3">
      <c r="A32" t="s">
        <v>205</v>
      </c>
      <c r="B32" s="1">
        <v>2409259</v>
      </c>
      <c r="C32" s="1">
        <v>1669431</v>
      </c>
    </row>
    <row r="33" spans="1:3">
      <c r="A33" t="s">
        <v>206</v>
      </c>
      <c r="B33" s="1"/>
      <c r="C33" s="1"/>
    </row>
    <row r="34" spans="1:3">
      <c r="A34" t="s">
        <v>191</v>
      </c>
      <c r="B34" s="1">
        <v>790005</v>
      </c>
      <c r="C34" s="1">
        <v>679290</v>
      </c>
    </row>
    <row r="35" spans="1:3">
      <c r="A35" t="s">
        <v>207</v>
      </c>
      <c r="B35" s="1">
        <v>1017144</v>
      </c>
      <c r="C35" s="1">
        <v>780005</v>
      </c>
    </row>
    <row r="36" spans="1:3">
      <c r="A36" t="s">
        <v>208</v>
      </c>
      <c r="B36" s="1">
        <v>365308</v>
      </c>
      <c r="C36" s="1">
        <v>351261</v>
      </c>
    </row>
    <row r="37" spans="1:3">
      <c r="A37" t="s">
        <v>209</v>
      </c>
      <c r="B37" s="1">
        <v>1280207</v>
      </c>
      <c r="C37" s="1">
        <v>887703</v>
      </c>
    </row>
    <row r="38" spans="1:3">
      <c r="A38" t="s">
        <v>29</v>
      </c>
      <c r="B38" s="1">
        <f>SUM(B30:B37)</f>
        <v>11496923</v>
      </c>
      <c r="C38" s="1">
        <f>SUM(C30:C37)</f>
        <v>5852690</v>
      </c>
    </row>
    <row r="39" spans="1:3">
      <c r="A39" t="s">
        <v>211</v>
      </c>
      <c r="B39" s="1"/>
      <c r="C39" s="1"/>
    </row>
    <row r="40" spans="1:3">
      <c r="A40" t="s">
        <v>212</v>
      </c>
      <c r="B40" s="1">
        <v>7110000</v>
      </c>
      <c r="C40" s="1">
        <v>7600000</v>
      </c>
    </row>
    <row r="41" spans="1:3">
      <c r="A41" t="s">
        <v>213</v>
      </c>
      <c r="B41" s="1">
        <v>635000</v>
      </c>
      <c r="C41" s="1">
        <v>485000</v>
      </c>
    </row>
    <row r="42" spans="1:3">
      <c r="B42" s="1">
        <f>B40-B41</f>
        <v>6475000</v>
      </c>
      <c r="C42" s="1">
        <f>C40-C41</f>
        <v>7115000</v>
      </c>
    </row>
    <row r="43" spans="1:3">
      <c r="A43" t="s">
        <v>214</v>
      </c>
      <c r="B43" s="1">
        <v>249936</v>
      </c>
      <c r="C43" s="1">
        <v>0</v>
      </c>
    </row>
    <row r="44" spans="1:3">
      <c r="B44" s="1">
        <f>SUM(B42:B43)</f>
        <v>6724936</v>
      </c>
      <c r="C44" s="1">
        <f>SUM(C42:C43)</f>
        <v>7115000</v>
      </c>
    </row>
    <row r="45" spans="1:3">
      <c r="A45" t="s">
        <v>215</v>
      </c>
      <c r="B45" s="1">
        <v>65126</v>
      </c>
      <c r="C45" s="1">
        <v>103042</v>
      </c>
    </row>
    <row r="46" spans="1:3">
      <c r="A46" t="s">
        <v>216</v>
      </c>
      <c r="B46" s="1">
        <v>700000</v>
      </c>
      <c r="C46" s="1">
        <v>700000</v>
      </c>
    </row>
    <row r="47" spans="1:3">
      <c r="A47" t="s">
        <v>154</v>
      </c>
      <c r="B47" s="1"/>
      <c r="C47" s="1"/>
    </row>
    <row r="48" spans="1:3">
      <c r="A48" t="s">
        <v>217</v>
      </c>
      <c r="B48" s="1">
        <v>3750000</v>
      </c>
      <c r="C48" s="1">
        <v>3750000</v>
      </c>
    </row>
    <row r="49" spans="1:3">
      <c r="A49" t="s">
        <v>218</v>
      </c>
      <c r="B49" s="1"/>
      <c r="C49" s="1"/>
    </row>
    <row r="50" spans="1:3">
      <c r="A50" t="s">
        <v>219</v>
      </c>
      <c r="B50" s="1">
        <v>1649948</v>
      </c>
      <c r="C50" s="1">
        <v>1628475</v>
      </c>
    </row>
    <row r="51" spans="1:3">
      <c r="A51" t="s">
        <v>220</v>
      </c>
      <c r="B51" s="1">
        <v>17840873</v>
      </c>
      <c r="C51" s="1">
        <v>16742915</v>
      </c>
    </row>
    <row r="52" spans="1:3">
      <c r="B52" s="1">
        <f>SUM(B48:B51)</f>
        <v>23240821</v>
      </c>
      <c r="C52" s="1">
        <f>SUM(C48:C51)</f>
        <v>22121390</v>
      </c>
    </row>
    <row r="53" spans="1:3">
      <c r="A53" t="s">
        <v>221</v>
      </c>
      <c r="B53" s="1">
        <v>431227</v>
      </c>
      <c r="C53" s="1">
        <v>431227</v>
      </c>
    </row>
    <row r="54" spans="1:3">
      <c r="B54" s="1">
        <f>B52-B53</f>
        <v>22809594</v>
      </c>
      <c r="C54" s="1">
        <f>C52-C53</f>
        <v>21690163</v>
      </c>
    </row>
    <row r="55" spans="1:3">
      <c r="B55" s="1">
        <f>B54+SUM(B44:B46,B38)</f>
        <v>41796579</v>
      </c>
      <c r="C55" s="1">
        <f>C54+SUM(C44:C46,C38)</f>
        <v>35460895</v>
      </c>
    </row>
    <row r="56" spans="1:3">
      <c r="B56" s="1"/>
      <c r="C56"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73F40-88D3-4372-95D5-628CFAFA7AA4}">
  <dimension ref="A1:D32"/>
  <sheetViews>
    <sheetView workbookViewId="0">
      <selection activeCell="B28" sqref="B28"/>
    </sheetView>
  </sheetViews>
  <sheetFormatPr defaultRowHeight="15"/>
  <cols>
    <col min="1" max="1" width="128.5703125" bestFit="1" customWidth="1"/>
    <col min="2" max="3" width="14.5703125" style="1" bestFit="1" customWidth="1"/>
    <col min="4" max="4" width="10" bestFit="1" customWidth="1"/>
  </cols>
  <sheetData>
    <row r="1" spans="1:4">
      <c r="B1" s="35">
        <v>1950</v>
      </c>
      <c r="C1" s="35">
        <v>1949</v>
      </c>
    </row>
    <row r="2" spans="1:4">
      <c r="A2" t="s">
        <v>222</v>
      </c>
      <c r="B2" s="1">
        <v>59257388</v>
      </c>
      <c r="C2" s="1">
        <v>57773088</v>
      </c>
    </row>
    <row r="3" spans="1:4">
      <c r="A3" t="s">
        <v>223</v>
      </c>
      <c r="B3" s="1">
        <v>114123</v>
      </c>
      <c r="C3" s="1">
        <v>140754</v>
      </c>
    </row>
    <row r="4" spans="1:4">
      <c r="A4" t="s">
        <v>169</v>
      </c>
      <c r="B4" s="1">
        <f>SUM(B2:B3)</f>
        <v>59371511</v>
      </c>
      <c r="C4" s="1">
        <f>SUM(C2:C3)</f>
        <v>57913842</v>
      </c>
    </row>
    <row r="5" spans="1:4">
      <c r="A5" t="s">
        <v>224</v>
      </c>
    </row>
    <row r="6" spans="1:4">
      <c r="A6" t="s">
        <v>225</v>
      </c>
      <c r="B6" s="1">
        <v>43173754</v>
      </c>
      <c r="C6" s="1">
        <v>42639573</v>
      </c>
    </row>
    <row r="7" spans="1:4">
      <c r="A7" t="s">
        <v>138</v>
      </c>
      <c r="B7" s="1">
        <v>714530</v>
      </c>
      <c r="C7" s="1">
        <v>700768</v>
      </c>
      <c r="D7" s="38"/>
    </row>
    <row r="8" spans="1:4">
      <c r="A8" t="s">
        <v>155</v>
      </c>
      <c r="B8" s="1">
        <v>12181318</v>
      </c>
      <c r="C8" s="1">
        <v>11718151</v>
      </c>
    </row>
    <row r="9" spans="1:4">
      <c r="A9" t="s">
        <v>226</v>
      </c>
      <c r="B9" s="1">
        <v>368122</v>
      </c>
      <c r="C9" s="1">
        <v>298445</v>
      </c>
    </row>
    <row r="10" spans="1:4">
      <c r="A10" t="s">
        <v>227</v>
      </c>
      <c r="B10" s="1">
        <v>13343</v>
      </c>
      <c r="C10" s="1">
        <v>30323</v>
      </c>
    </row>
    <row r="11" spans="1:4">
      <c r="A11" t="s">
        <v>228</v>
      </c>
      <c r="B11" s="1">
        <v>11102</v>
      </c>
      <c r="C11" s="1">
        <v>4899</v>
      </c>
    </row>
    <row r="12" spans="1:4">
      <c r="A12" t="s">
        <v>229</v>
      </c>
    </row>
    <row r="13" spans="1:4">
      <c r="A13" t="s">
        <v>230</v>
      </c>
      <c r="B13" s="1">
        <v>1217049</v>
      </c>
      <c r="C13" s="1">
        <v>936511</v>
      </c>
    </row>
    <row r="14" spans="1:4">
      <c r="A14" t="s">
        <v>231</v>
      </c>
      <c r="B14" s="1">
        <v>44560</v>
      </c>
      <c r="C14" s="1">
        <v>17144</v>
      </c>
    </row>
    <row r="15" spans="1:4">
      <c r="B15" s="1">
        <f>SUM(B6:B14)</f>
        <v>57723778</v>
      </c>
      <c r="C15" s="1">
        <f>SUM(C6:C14)</f>
        <v>56345814</v>
      </c>
    </row>
    <row r="16" spans="1:4">
      <c r="A16" t="s">
        <v>232</v>
      </c>
      <c r="B16" s="1">
        <f>B4-B15</f>
        <v>1647733</v>
      </c>
      <c r="C16" s="1">
        <f>C4-C15</f>
        <v>1568028</v>
      </c>
    </row>
    <row r="17" spans="1:3">
      <c r="A17" t="s">
        <v>233</v>
      </c>
      <c r="B17" s="1">
        <v>230417</v>
      </c>
    </row>
    <row r="18" spans="1:3">
      <c r="A18" t="s">
        <v>234</v>
      </c>
      <c r="B18" s="1">
        <f>SUM(B16:B17)</f>
        <v>1878150</v>
      </c>
      <c r="C18" s="1">
        <f>SUM(C16:C17)</f>
        <v>1568028</v>
      </c>
    </row>
    <row r="19" spans="1:3">
      <c r="A19" t="s">
        <v>235</v>
      </c>
    </row>
    <row r="20" spans="1:3">
      <c r="A20" t="s">
        <v>236</v>
      </c>
      <c r="B20" s="1">
        <v>1649948</v>
      </c>
      <c r="C20" s="1">
        <v>1628475</v>
      </c>
    </row>
    <row r="21" spans="1:3">
      <c r="A21" t="s">
        <v>220</v>
      </c>
    </row>
    <row r="22" spans="1:3">
      <c r="A22" t="s">
        <v>51</v>
      </c>
      <c r="B22" s="1">
        <v>16742915</v>
      </c>
      <c r="C22" s="1">
        <v>16026005</v>
      </c>
    </row>
    <row r="23" spans="1:3">
      <c r="A23" t="s">
        <v>237</v>
      </c>
      <c r="B23" s="1">
        <v>1878150</v>
      </c>
      <c r="C23" s="1">
        <v>1568028</v>
      </c>
    </row>
    <row r="24" spans="1:3">
      <c r="B24" s="1">
        <f>SUM(B22:B23)</f>
        <v>18621065</v>
      </c>
      <c r="C24" s="1">
        <f>SUM(C22:C23)</f>
        <v>17594033</v>
      </c>
    </row>
    <row r="25" spans="1:3">
      <c r="A25" t="s">
        <v>238</v>
      </c>
      <c r="B25" s="1">
        <v>780192</v>
      </c>
      <c r="C25" s="1">
        <v>851118</v>
      </c>
    </row>
    <row r="26" spans="1:3">
      <c r="A26" t="s">
        <v>239</v>
      </c>
      <c r="B26" s="1">
        <f>B24-B25</f>
        <v>17840873</v>
      </c>
      <c r="C26" s="1">
        <f>C24-C25</f>
        <v>16742915</v>
      </c>
    </row>
    <row r="28" spans="1:3">
      <c r="A28" t="s">
        <v>279</v>
      </c>
      <c r="B28" s="1">
        <f>B2-B6-B7-B8+B11</f>
        <v>3198888</v>
      </c>
    </row>
    <row r="29" spans="1:3">
      <c r="A29" t="s">
        <v>280</v>
      </c>
      <c r="B29" s="1">
        <f>B7</f>
        <v>714530</v>
      </c>
    </row>
    <row r="30" spans="1:3">
      <c r="A30" t="s">
        <v>94</v>
      </c>
      <c r="B30" s="1">
        <f>SUM(B28:B29)</f>
        <v>3913418</v>
      </c>
    </row>
    <row r="31" spans="1:3">
      <c r="A31" t="s">
        <v>273</v>
      </c>
      <c r="B31" s="1">
        <v>-2098111</v>
      </c>
    </row>
    <row r="32" spans="1:3">
      <c r="A32" t="s">
        <v>258</v>
      </c>
      <c r="B32" s="1">
        <f>SUM(B30:B31)</f>
        <v>1815307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7689F-651E-4DD3-B81F-69E8D9893E2E}">
  <sheetPr>
    <tabColor rgb="FF00B0F0"/>
  </sheetPr>
  <dimension ref="A1"/>
  <sheetViews>
    <sheetView workbookViewId="0">
      <selection activeCell="I17" sqref="I17"/>
    </sheetView>
  </sheetViews>
  <sheetFormatPr defaultRowHeight="15"/>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79678-3691-430B-8D7B-DB62040CFBFA}">
  <dimension ref="A1:I17"/>
  <sheetViews>
    <sheetView workbookViewId="0">
      <selection activeCell="F16" sqref="F16"/>
    </sheetView>
  </sheetViews>
  <sheetFormatPr defaultRowHeight="15"/>
  <cols>
    <col min="1" max="1" width="11.140625" style="1" bestFit="1" customWidth="1"/>
    <col min="2" max="2" width="11.140625" bestFit="1" customWidth="1"/>
  </cols>
  <sheetData>
    <row r="1" spans="1:9">
      <c r="A1" s="1">
        <v>240681</v>
      </c>
      <c r="B1" s="9">
        <v>192357</v>
      </c>
    </row>
    <row r="2" spans="1:9">
      <c r="A2" s="1">
        <v>248883</v>
      </c>
      <c r="B2" s="9">
        <v>16693</v>
      </c>
    </row>
    <row r="3" spans="1:9">
      <c r="B3" s="9">
        <v>46393</v>
      </c>
    </row>
    <row r="4" spans="1:9">
      <c r="B4" s="9">
        <v>11685</v>
      </c>
    </row>
    <row r="5" spans="1:9">
      <c r="B5" s="9">
        <v>35901</v>
      </c>
    </row>
    <row r="6" spans="1:9">
      <c r="B6" s="9">
        <v>4687</v>
      </c>
    </row>
    <row r="7" spans="1:9">
      <c r="A7" s="1">
        <f>SUM(A1:A6)</f>
        <v>489564</v>
      </c>
      <c r="B7" s="9">
        <v>82768</v>
      </c>
    </row>
    <row r="8" spans="1:9">
      <c r="B8" s="9">
        <v>35672</v>
      </c>
    </row>
    <row r="9" spans="1:9">
      <c r="B9" s="9">
        <v>197485</v>
      </c>
    </row>
    <row r="10" spans="1:9">
      <c r="B10" s="9">
        <f>SUM(B1:B9)</f>
        <v>623641</v>
      </c>
      <c r="I10">
        <v>779</v>
      </c>
    </row>
    <row r="11" spans="1:9">
      <c r="I11">
        <v>87</v>
      </c>
    </row>
    <row r="12" spans="1:9">
      <c r="A12" s="1">
        <v>681400.11800000002</v>
      </c>
      <c r="B12" s="1">
        <v>681400.11800000002</v>
      </c>
      <c r="I12">
        <v>659</v>
      </c>
    </row>
    <row r="13" spans="1:9">
      <c r="A13" s="1">
        <f>A12-A7</f>
        <v>191836.11800000002</v>
      </c>
      <c r="B13" s="38">
        <f>B12-B10</f>
        <v>57759.118000000017</v>
      </c>
      <c r="I13">
        <v>55</v>
      </c>
    </row>
    <row r="14" spans="1:9">
      <c r="I14">
        <v>270</v>
      </c>
    </row>
    <row r="15" spans="1:9">
      <c r="I15">
        <v>381</v>
      </c>
    </row>
    <row r="16" spans="1:9">
      <c r="I16">
        <v>54</v>
      </c>
    </row>
    <row r="17" spans="9:9">
      <c r="I17">
        <v>590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ADBC2-7ED7-460D-889C-446CC58AF43D}">
  <dimension ref="A1:L27"/>
  <sheetViews>
    <sheetView workbookViewId="0">
      <selection activeCell="A25" sqref="A25:E25"/>
    </sheetView>
  </sheetViews>
  <sheetFormatPr defaultColWidth="9" defaultRowHeight="15"/>
  <cols>
    <col min="2" max="2" width="15.42578125" style="1" customWidth="1"/>
    <col min="3" max="3" width="19.42578125" style="1" bestFit="1" customWidth="1"/>
    <col min="4" max="4" width="14.5703125" bestFit="1" customWidth="1"/>
    <col min="5" max="5" width="16.140625" bestFit="1" customWidth="1"/>
    <col min="7" max="7" width="15.28515625" bestFit="1" customWidth="1"/>
    <col min="8" max="8" width="13.28515625" bestFit="1" customWidth="1"/>
    <col min="9" max="9" width="10" bestFit="1" customWidth="1"/>
  </cols>
  <sheetData>
    <row r="1" spans="1:10">
      <c r="A1" s="254" t="s">
        <v>368</v>
      </c>
      <c r="B1" s="255"/>
      <c r="C1" s="255"/>
      <c r="D1" s="255"/>
      <c r="E1" s="256"/>
    </row>
    <row r="2" spans="1:10">
      <c r="A2" s="257"/>
      <c r="B2" s="258"/>
      <c r="C2" s="258"/>
      <c r="D2" s="258"/>
      <c r="E2" s="259"/>
    </row>
    <row r="3" spans="1:10">
      <c r="A3" s="122"/>
      <c r="B3" s="123" t="s">
        <v>295</v>
      </c>
      <c r="C3" s="123" t="s">
        <v>297</v>
      </c>
      <c r="D3" s="124"/>
      <c r="E3" s="125" t="s">
        <v>299</v>
      </c>
      <c r="G3" s="123" t="s">
        <v>295</v>
      </c>
      <c r="H3" s="123" t="s">
        <v>297</v>
      </c>
      <c r="I3" s="124"/>
      <c r="J3" s="125" t="s">
        <v>299</v>
      </c>
    </row>
    <row r="4" spans="1:10">
      <c r="A4" s="126" t="s">
        <v>293</v>
      </c>
      <c r="B4" s="120" t="s">
        <v>296</v>
      </c>
      <c r="C4" s="120" t="s">
        <v>298</v>
      </c>
      <c r="D4" s="121" t="s">
        <v>294</v>
      </c>
      <c r="E4" s="127" t="s">
        <v>300</v>
      </c>
      <c r="G4" s="120" t="s">
        <v>296</v>
      </c>
      <c r="H4" s="120" t="s">
        <v>298</v>
      </c>
      <c r="I4" s="121" t="s">
        <v>294</v>
      </c>
      <c r="J4" s="127" t="s">
        <v>300</v>
      </c>
    </row>
    <row r="5" spans="1:10">
      <c r="A5" s="128">
        <v>1849</v>
      </c>
      <c r="B5" s="50">
        <v>4278</v>
      </c>
      <c r="C5" s="50">
        <v>96551</v>
      </c>
      <c r="D5" s="51">
        <v>15032000</v>
      </c>
      <c r="E5" s="52">
        <v>48312000</v>
      </c>
    </row>
    <row r="6" spans="1:10">
      <c r="A6" s="128">
        <v>1859</v>
      </c>
      <c r="B6" s="50">
        <v>4014</v>
      </c>
      <c r="C6" s="50">
        <v>114800</v>
      </c>
      <c r="D6" s="50">
        <v>19856000</v>
      </c>
      <c r="E6" s="53">
        <v>80831000</v>
      </c>
    </row>
    <row r="7" spans="1:10">
      <c r="A7" s="128">
        <v>1869</v>
      </c>
      <c r="B7" s="50">
        <v>7858</v>
      </c>
      <c r="C7" s="50">
        <v>108128</v>
      </c>
      <c r="D7" s="50">
        <v>30747000</v>
      </c>
      <c r="E7" s="53">
        <v>148660000</v>
      </c>
    </row>
    <row r="8" spans="1:10">
      <c r="A8" s="128">
        <v>1879</v>
      </c>
      <c r="B8" s="50">
        <v>6116</v>
      </c>
      <c r="C8" s="50">
        <v>160813</v>
      </c>
      <c r="D8" s="50">
        <v>45940000</v>
      </c>
      <c r="E8" s="53">
        <v>209548000</v>
      </c>
    </row>
    <row r="9" spans="1:10">
      <c r="A9" s="128">
        <v>1889</v>
      </c>
      <c r="B9" s="50">
        <v>4867</v>
      </c>
      <c r="C9" s="50">
        <v>144926</v>
      </c>
      <c r="D9" s="50">
        <v>51076000</v>
      </c>
      <c r="E9" s="53">
        <v>251020000</v>
      </c>
    </row>
    <row r="10" spans="1:10">
      <c r="A10" s="128">
        <v>1899</v>
      </c>
      <c r="B10" s="50">
        <v>5729</v>
      </c>
      <c r="C10" s="50">
        <v>120927</v>
      </c>
      <c r="D10" s="50">
        <v>45497000</v>
      </c>
      <c r="E10" s="53">
        <v>276717000</v>
      </c>
    </row>
    <row r="11" spans="1:10">
      <c r="A11" s="128">
        <v>1904</v>
      </c>
      <c r="B11" s="50">
        <v>4504</v>
      </c>
      <c r="C11" s="50">
        <v>137190</v>
      </c>
      <c r="D11" s="50">
        <v>57226000</v>
      </c>
      <c r="E11" s="53">
        <v>355797000</v>
      </c>
    </row>
    <row r="12" spans="1:10">
      <c r="A12" s="128">
        <v>1909</v>
      </c>
      <c r="B12" s="50">
        <v>5584</v>
      </c>
      <c r="C12" s="50">
        <v>191183</v>
      </c>
      <c r="D12" s="50">
        <v>89645000</v>
      </c>
      <c r="E12" s="53">
        <v>485677000</v>
      </c>
    </row>
    <row r="13" spans="1:10">
      <c r="A13" s="128">
        <v>1914</v>
      </c>
      <c r="B13" s="50">
        <v>4830</v>
      </c>
      <c r="C13" s="50">
        <v>173747</v>
      </c>
      <c r="D13" s="50">
        <v>86828000</v>
      </c>
      <c r="E13" s="53">
        <v>458211000</v>
      </c>
    </row>
    <row r="14" spans="1:10">
      <c r="A14" s="128">
        <v>1919</v>
      </c>
      <c r="B14" s="50">
        <v>5258</v>
      </c>
      <c r="C14" s="50">
        <v>175270</v>
      </c>
      <c r="D14" s="50">
        <v>197822000</v>
      </c>
      <c r="E14" s="53">
        <v>1162986000</v>
      </c>
    </row>
    <row r="15" spans="1:10">
      <c r="A15" s="128">
        <v>1921</v>
      </c>
      <c r="B15" s="50">
        <v>4576</v>
      </c>
      <c r="C15" s="50">
        <v>165535</v>
      </c>
      <c r="D15" s="50">
        <v>202229489</v>
      </c>
      <c r="E15" s="53">
        <v>935422322</v>
      </c>
    </row>
    <row r="16" spans="1:10">
      <c r="A16" s="128">
        <v>1923</v>
      </c>
      <c r="B16" s="50">
        <v>4024</v>
      </c>
      <c r="C16" s="50">
        <v>158173</v>
      </c>
      <c r="D16" s="50">
        <v>207252217</v>
      </c>
      <c r="E16" s="53">
        <v>1016721705</v>
      </c>
    </row>
    <row r="17" spans="1:12">
      <c r="A17" s="128">
        <v>1925</v>
      </c>
      <c r="B17" s="50">
        <v>3491</v>
      </c>
      <c r="C17" s="50">
        <v>141511</v>
      </c>
      <c r="D17" s="50">
        <v>179044721</v>
      </c>
      <c r="E17" s="53">
        <v>946274140</v>
      </c>
    </row>
    <row r="18" spans="1:12">
      <c r="A18" s="128">
        <v>1927</v>
      </c>
      <c r="B18" s="50">
        <v>3562</v>
      </c>
      <c r="C18" s="50">
        <v>146099</v>
      </c>
      <c r="D18" s="50">
        <v>184613090</v>
      </c>
      <c r="E18" s="53">
        <v>932181718</v>
      </c>
    </row>
    <row r="19" spans="1:12">
      <c r="A19" s="128">
        <v>1929</v>
      </c>
      <c r="B19" s="50">
        <v>3691</v>
      </c>
      <c r="C19" s="50">
        <v>149868</v>
      </c>
      <c r="D19" s="50">
        <v>179768808</v>
      </c>
      <c r="E19" s="53">
        <v>901104205</v>
      </c>
    </row>
    <row r="20" spans="1:12">
      <c r="A20" s="128">
        <v>1931</v>
      </c>
      <c r="B20" s="50">
        <v>2945</v>
      </c>
      <c r="C20" s="50">
        <v>121964</v>
      </c>
      <c r="D20" s="50">
        <v>115040997</v>
      </c>
      <c r="E20" s="53">
        <v>551416393</v>
      </c>
    </row>
    <row r="21" spans="1:12">
      <c r="A21" s="128">
        <v>1933</v>
      </c>
      <c r="B21" s="50">
        <v>2280</v>
      </c>
      <c r="C21" s="50">
        <v>120175</v>
      </c>
      <c r="D21" s="50">
        <v>93599799</v>
      </c>
      <c r="E21" s="53">
        <v>448340479</v>
      </c>
    </row>
    <row r="22" spans="1:12">
      <c r="A22" s="128">
        <v>1935</v>
      </c>
      <c r="B22" s="50">
        <v>2981</v>
      </c>
      <c r="C22" s="50">
        <v>154583</v>
      </c>
      <c r="D22" s="50">
        <v>144750059</v>
      </c>
      <c r="E22" s="53">
        <v>544534428</v>
      </c>
      <c r="G22" s="159">
        <v>2981</v>
      </c>
      <c r="H22" s="159">
        <v>154583</v>
      </c>
      <c r="I22">
        <v>144750059</v>
      </c>
      <c r="J22">
        <f>615064747</f>
        <v>615064747</v>
      </c>
      <c r="L22" t="s">
        <v>435</v>
      </c>
    </row>
    <row r="23" spans="1:12">
      <c r="A23" s="128">
        <v>1937</v>
      </c>
      <c r="B23" s="50">
        <v>2527</v>
      </c>
      <c r="C23" s="50">
        <v>158206</v>
      </c>
      <c r="D23" s="50">
        <v>155509509</v>
      </c>
      <c r="E23" s="53">
        <v>623421230</v>
      </c>
      <c r="G23" s="9" t="s">
        <v>436</v>
      </c>
      <c r="H23" s="11"/>
    </row>
    <row r="24" spans="1:12">
      <c r="A24" s="129">
        <v>1939</v>
      </c>
      <c r="B24" s="54">
        <v>2843</v>
      </c>
      <c r="C24" s="54">
        <v>161731</v>
      </c>
      <c r="D24" s="54">
        <v>157147828</v>
      </c>
      <c r="E24" s="55">
        <v>681400118</v>
      </c>
    </row>
    <row r="25" spans="1:12" ht="186" customHeight="1">
      <c r="A25" s="251" t="s">
        <v>369</v>
      </c>
      <c r="B25" s="251"/>
      <c r="C25" s="251"/>
      <c r="D25" s="251"/>
      <c r="E25" s="251"/>
    </row>
    <row r="26" spans="1:12">
      <c r="A26" t="s">
        <v>302</v>
      </c>
    </row>
    <row r="27" spans="1:12">
      <c r="A27" t="s">
        <v>303</v>
      </c>
    </row>
  </sheetData>
  <mergeCells count="2">
    <mergeCell ref="A25:E25"/>
    <mergeCell ref="A1:E2"/>
  </mergeCells>
  <pageMargins left="0.7" right="0.7" top="0.75" bottom="0.75" header="0.3" footer="0.3"/>
  <pageSetup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0882-9610-457C-AA3C-4A6C7220C8E4}">
  <dimension ref="A1:E9"/>
  <sheetViews>
    <sheetView workbookViewId="0">
      <selection activeCell="G3" sqref="G3"/>
    </sheetView>
  </sheetViews>
  <sheetFormatPr defaultRowHeight="15"/>
  <cols>
    <col min="2" max="2" width="23.85546875" bestFit="1" customWidth="1"/>
    <col min="3" max="3" width="11.140625" style="1" bestFit="1" customWidth="1"/>
    <col min="4" max="4" width="47.42578125" style="1" bestFit="1" customWidth="1"/>
    <col min="5" max="5" width="12.5703125" style="1" bestFit="1" customWidth="1"/>
  </cols>
  <sheetData>
    <row r="1" spans="1:5">
      <c r="B1" t="s">
        <v>304</v>
      </c>
    </row>
    <row r="2" spans="1:5">
      <c r="A2" t="s">
        <v>305</v>
      </c>
      <c r="C2" s="1" t="s">
        <v>307</v>
      </c>
      <c r="D2" s="1" t="s">
        <v>309</v>
      </c>
      <c r="E2" s="1" t="s">
        <v>310</v>
      </c>
    </row>
    <row r="3" spans="1:5">
      <c r="A3">
        <v>1947</v>
      </c>
      <c r="B3" s="1">
        <v>1816</v>
      </c>
      <c r="C3" s="40">
        <v>658358</v>
      </c>
      <c r="D3" s="40">
        <v>753217</v>
      </c>
      <c r="E3" s="40">
        <v>1411575</v>
      </c>
    </row>
    <row r="4" spans="1:5">
      <c r="A4">
        <v>1939</v>
      </c>
      <c r="B4" s="1">
        <v>1848</v>
      </c>
      <c r="C4" s="1">
        <v>236511</v>
      </c>
      <c r="D4" s="1">
        <v>309400</v>
      </c>
      <c r="E4" s="1">
        <v>545911</v>
      </c>
    </row>
    <row r="5" spans="1:5">
      <c r="A5" t="s">
        <v>306</v>
      </c>
    </row>
    <row r="6" spans="1:5">
      <c r="A6">
        <v>1947</v>
      </c>
      <c r="B6">
        <v>153</v>
      </c>
      <c r="C6" s="40">
        <v>15885</v>
      </c>
      <c r="D6" s="40">
        <v>22522</v>
      </c>
      <c r="E6" s="40">
        <v>38407</v>
      </c>
    </row>
    <row r="7" spans="1:5">
      <c r="A7">
        <v>1939</v>
      </c>
      <c r="B7">
        <v>112</v>
      </c>
      <c r="C7" s="1">
        <v>4170</v>
      </c>
      <c r="D7" s="1">
        <v>5233</v>
      </c>
      <c r="E7" s="1">
        <v>9403</v>
      </c>
    </row>
    <row r="8" spans="1:5">
      <c r="A8" t="s">
        <v>308</v>
      </c>
    </row>
    <row r="9" spans="1:5">
      <c r="A9" t="s">
        <v>311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04243-5558-4813-B05E-4E2775CDA8FA}">
  <dimension ref="A1:H23"/>
  <sheetViews>
    <sheetView workbookViewId="0">
      <selection activeCell="E19" sqref="E19"/>
    </sheetView>
  </sheetViews>
  <sheetFormatPr defaultColWidth="9" defaultRowHeight="15"/>
  <cols>
    <col min="1" max="1" width="6.28515625" customWidth="1"/>
    <col min="2" max="2" width="15.42578125" style="1" customWidth="1"/>
    <col min="3" max="3" width="21" style="1" bestFit="1" customWidth="1"/>
    <col min="4" max="4" width="12" bestFit="1" customWidth="1"/>
    <col min="5" max="5" width="13.5703125" bestFit="1" customWidth="1"/>
  </cols>
  <sheetData>
    <row r="1" spans="1:8">
      <c r="A1" s="43"/>
      <c r="B1" s="44" t="s">
        <v>295</v>
      </c>
      <c r="C1" s="44" t="s">
        <v>297</v>
      </c>
      <c r="D1" s="45"/>
      <c r="E1" s="46" t="s">
        <v>299</v>
      </c>
    </row>
    <row r="2" spans="1:8">
      <c r="A2" s="56" t="s">
        <v>293</v>
      </c>
      <c r="B2" s="41" t="s">
        <v>296</v>
      </c>
      <c r="C2" s="41" t="s">
        <v>298</v>
      </c>
      <c r="D2" s="42" t="s">
        <v>294</v>
      </c>
      <c r="E2" s="48" t="s">
        <v>300</v>
      </c>
      <c r="H2" t="s">
        <v>312</v>
      </c>
    </row>
    <row r="3" spans="1:8">
      <c r="A3" s="49">
        <v>1849</v>
      </c>
      <c r="B3" s="50">
        <v>4278</v>
      </c>
      <c r="C3" s="50">
        <v>96551</v>
      </c>
      <c r="D3" s="51">
        <v>15032000</v>
      </c>
      <c r="E3" s="52">
        <v>48312000</v>
      </c>
      <c r="G3">
        <f t="shared" ref="G3:G20" si="0">A3</f>
        <v>1849</v>
      </c>
      <c r="H3">
        <f t="shared" ref="H3:H21" si="1">E3/B3</f>
        <v>11293.127629733521</v>
      </c>
    </row>
    <row r="4" spans="1:8">
      <c r="A4" s="49">
        <v>1859</v>
      </c>
      <c r="B4" s="50">
        <v>4014</v>
      </c>
      <c r="C4" s="50">
        <v>114800</v>
      </c>
      <c r="D4" s="50">
        <v>19856000</v>
      </c>
      <c r="E4" s="53">
        <v>80831000</v>
      </c>
      <c r="G4">
        <f t="shared" si="0"/>
        <v>1859</v>
      </c>
      <c r="H4">
        <f t="shared" si="1"/>
        <v>20137.269556552066</v>
      </c>
    </row>
    <row r="5" spans="1:8">
      <c r="A5" s="49">
        <v>1869</v>
      </c>
      <c r="B5" s="50">
        <v>7858</v>
      </c>
      <c r="C5" s="50">
        <v>108128</v>
      </c>
      <c r="D5" s="50">
        <v>30747000</v>
      </c>
      <c r="E5" s="53">
        <v>148660000</v>
      </c>
      <c r="G5">
        <f t="shared" si="0"/>
        <v>1869</v>
      </c>
      <c r="H5">
        <f t="shared" si="1"/>
        <v>18918.299821837616</v>
      </c>
    </row>
    <row r="6" spans="1:8">
      <c r="A6" s="49">
        <v>1879</v>
      </c>
      <c r="B6" s="50">
        <v>6116</v>
      </c>
      <c r="C6" s="50">
        <v>160813</v>
      </c>
      <c r="D6" s="50">
        <v>45940000</v>
      </c>
      <c r="E6" s="53">
        <v>209548000</v>
      </c>
      <c r="G6">
        <f t="shared" si="0"/>
        <v>1879</v>
      </c>
      <c r="H6">
        <f t="shared" si="1"/>
        <v>34262.262916939173</v>
      </c>
    </row>
    <row r="7" spans="1:8">
      <c r="A7" s="49">
        <v>1889</v>
      </c>
      <c r="B7" s="50">
        <v>4867</v>
      </c>
      <c r="C7" s="50">
        <v>144926</v>
      </c>
      <c r="D7" s="50">
        <v>51076000</v>
      </c>
      <c r="E7" s="53">
        <v>251020000</v>
      </c>
      <c r="G7">
        <f t="shared" si="0"/>
        <v>1889</v>
      </c>
      <c r="H7">
        <f t="shared" si="1"/>
        <v>51575.919457571399</v>
      </c>
    </row>
    <row r="8" spans="1:8">
      <c r="A8" s="49">
        <v>1899</v>
      </c>
      <c r="B8" s="50">
        <v>5729</v>
      </c>
      <c r="C8" s="50">
        <v>120927</v>
      </c>
      <c r="D8" s="50">
        <v>45497000</v>
      </c>
      <c r="E8" s="53">
        <v>276717000</v>
      </c>
      <c r="G8">
        <f t="shared" si="0"/>
        <v>1899</v>
      </c>
      <c r="H8">
        <f t="shared" si="1"/>
        <v>48301.099668353985</v>
      </c>
    </row>
    <row r="9" spans="1:8">
      <c r="A9" s="49">
        <v>1904</v>
      </c>
      <c r="B9" s="50">
        <v>4504</v>
      </c>
      <c r="C9" s="50">
        <v>137190</v>
      </c>
      <c r="D9" s="50">
        <v>57226000</v>
      </c>
      <c r="E9" s="53">
        <v>355797000</v>
      </c>
      <c r="G9">
        <f t="shared" si="0"/>
        <v>1904</v>
      </c>
      <c r="H9">
        <f t="shared" si="1"/>
        <v>78995.781527531086</v>
      </c>
    </row>
    <row r="10" spans="1:8">
      <c r="A10" s="49">
        <v>1909</v>
      </c>
      <c r="B10" s="50">
        <v>5584</v>
      </c>
      <c r="C10" s="50">
        <v>191183</v>
      </c>
      <c r="D10" s="50">
        <v>89645000</v>
      </c>
      <c r="E10" s="53">
        <v>485677000</v>
      </c>
      <c r="G10">
        <f t="shared" si="0"/>
        <v>1909</v>
      </c>
      <c r="H10">
        <f t="shared" si="1"/>
        <v>86976.540114613177</v>
      </c>
    </row>
    <row r="11" spans="1:8">
      <c r="A11" s="49">
        <v>1914</v>
      </c>
      <c r="B11" s="50">
        <v>4830</v>
      </c>
      <c r="C11" s="50">
        <v>173747</v>
      </c>
      <c r="D11" s="50">
        <v>86828000</v>
      </c>
      <c r="E11" s="53">
        <v>458211000</v>
      </c>
      <c r="G11">
        <f t="shared" si="0"/>
        <v>1914</v>
      </c>
      <c r="H11">
        <f t="shared" si="1"/>
        <v>94867.701863354043</v>
      </c>
    </row>
    <row r="12" spans="1:8">
      <c r="A12" s="49">
        <v>1919</v>
      </c>
      <c r="B12" s="50">
        <v>5258</v>
      </c>
      <c r="C12" s="50">
        <v>175270</v>
      </c>
      <c r="D12" s="50">
        <v>197822000</v>
      </c>
      <c r="E12" s="53">
        <v>1162986000</v>
      </c>
      <c r="G12">
        <f t="shared" si="0"/>
        <v>1919</v>
      </c>
      <c r="H12">
        <f t="shared" si="1"/>
        <v>221184.10041841003</v>
      </c>
    </row>
    <row r="13" spans="1:8">
      <c r="A13" s="49">
        <v>1921</v>
      </c>
      <c r="B13" s="50">
        <v>4576</v>
      </c>
      <c r="C13" s="50">
        <v>165535</v>
      </c>
      <c r="D13" s="50">
        <v>202229489</v>
      </c>
      <c r="E13" s="53">
        <v>935422322</v>
      </c>
      <c r="G13">
        <f t="shared" si="0"/>
        <v>1921</v>
      </c>
      <c r="H13">
        <f t="shared" si="1"/>
        <v>204419.21372377622</v>
      </c>
    </row>
    <row r="14" spans="1:8">
      <c r="A14" s="49">
        <v>1923</v>
      </c>
      <c r="B14" s="50">
        <v>4024</v>
      </c>
      <c r="C14" s="50">
        <v>158173</v>
      </c>
      <c r="D14" s="50">
        <v>207252217</v>
      </c>
      <c r="E14" s="53">
        <v>1016721705</v>
      </c>
      <c r="G14">
        <f t="shared" si="0"/>
        <v>1923</v>
      </c>
      <c r="H14">
        <f t="shared" si="1"/>
        <v>252664.43961232604</v>
      </c>
    </row>
    <row r="15" spans="1:8">
      <c r="A15" s="49">
        <v>1925</v>
      </c>
      <c r="B15" s="50">
        <v>3491</v>
      </c>
      <c r="C15" s="50">
        <v>141511</v>
      </c>
      <c r="D15" s="50">
        <v>179044721</v>
      </c>
      <c r="E15" s="53">
        <v>946274140</v>
      </c>
      <c r="G15">
        <f t="shared" si="0"/>
        <v>1925</v>
      </c>
      <c r="H15">
        <f t="shared" si="1"/>
        <v>271061.05413921515</v>
      </c>
    </row>
    <row r="16" spans="1:8">
      <c r="A16" s="49">
        <v>1927</v>
      </c>
      <c r="B16" s="50">
        <v>3562</v>
      </c>
      <c r="C16" s="50">
        <v>146099</v>
      </c>
      <c r="D16" s="50">
        <v>184613090</v>
      </c>
      <c r="E16" s="53">
        <v>932181718</v>
      </c>
      <c r="G16">
        <f t="shared" si="0"/>
        <v>1927</v>
      </c>
      <c r="H16">
        <f t="shared" si="1"/>
        <v>261701.77372262772</v>
      </c>
    </row>
    <row r="17" spans="1:8">
      <c r="A17" s="49">
        <v>1929</v>
      </c>
      <c r="B17" s="50">
        <v>3691</v>
      </c>
      <c r="C17" s="50">
        <v>149868</v>
      </c>
      <c r="D17" s="50">
        <v>179768808</v>
      </c>
      <c r="E17" s="53">
        <v>901104205</v>
      </c>
      <c r="G17">
        <f t="shared" si="0"/>
        <v>1929</v>
      </c>
      <c r="H17">
        <f t="shared" si="1"/>
        <v>244135.52018423192</v>
      </c>
    </row>
    <row r="18" spans="1:8">
      <c r="A18" s="49">
        <v>1931</v>
      </c>
      <c r="B18" s="50">
        <v>2945</v>
      </c>
      <c r="C18" s="50">
        <v>121964</v>
      </c>
      <c r="D18" s="50">
        <v>115040997</v>
      </c>
      <c r="E18" s="53">
        <v>551416393</v>
      </c>
      <c r="G18">
        <f t="shared" si="0"/>
        <v>1931</v>
      </c>
      <c r="H18">
        <f t="shared" si="1"/>
        <v>187238.16400679116</v>
      </c>
    </row>
    <row r="19" spans="1:8">
      <c r="A19" s="49">
        <v>1933</v>
      </c>
      <c r="B19" s="50">
        <v>2280</v>
      </c>
      <c r="C19" s="50">
        <v>120175</v>
      </c>
      <c r="D19" s="50">
        <v>93599799</v>
      </c>
      <c r="E19" s="53">
        <v>448340479</v>
      </c>
      <c r="G19">
        <f t="shared" si="0"/>
        <v>1933</v>
      </c>
      <c r="H19">
        <f t="shared" si="1"/>
        <v>196640.56096491229</v>
      </c>
    </row>
    <row r="20" spans="1:8">
      <c r="A20" s="49">
        <v>1935</v>
      </c>
      <c r="B20" s="50">
        <v>2981</v>
      </c>
      <c r="C20" s="50">
        <v>154583</v>
      </c>
      <c r="D20" s="50">
        <v>144750059</v>
      </c>
      <c r="E20" s="53">
        <v>544534428</v>
      </c>
      <c r="G20">
        <f t="shared" si="0"/>
        <v>1935</v>
      </c>
      <c r="H20">
        <f t="shared" si="1"/>
        <v>182668.37571284804</v>
      </c>
    </row>
    <row r="21" spans="1:8">
      <c r="A21" s="47">
        <v>1937</v>
      </c>
      <c r="B21" s="54">
        <v>2527</v>
      </c>
      <c r="C21" s="54">
        <v>158206</v>
      </c>
      <c r="D21" s="54">
        <v>155509509</v>
      </c>
      <c r="E21" s="55">
        <v>623421230</v>
      </c>
      <c r="G21">
        <f>A21</f>
        <v>1937</v>
      </c>
      <c r="H21">
        <f t="shared" si="1"/>
        <v>246704.08785120698</v>
      </c>
    </row>
    <row r="22" spans="1:8">
      <c r="A22" t="s">
        <v>301</v>
      </c>
    </row>
    <row r="23" spans="1:8">
      <c r="A23" t="s">
        <v>302</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2B274-9490-4E6D-B62C-FB7758BA6F3A}">
  <dimension ref="A1:E31"/>
  <sheetViews>
    <sheetView tabSelected="1" workbookViewId="0">
      <selection activeCell="J17" sqref="J17"/>
    </sheetView>
  </sheetViews>
  <sheetFormatPr defaultRowHeight="15"/>
  <sheetData>
    <row r="1" spans="1:5">
      <c r="A1" t="s">
        <v>263</v>
      </c>
      <c r="B1" t="s">
        <v>293</v>
      </c>
      <c r="C1" t="s">
        <v>440</v>
      </c>
      <c r="D1" t="s">
        <v>665</v>
      </c>
    </row>
    <row r="2" spans="1:5">
      <c r="A2" t="s">
        <v>75</v>
      </c>
      <c r="B2">
        <v>1950</v>
      </c>
      <c r="C2" t="s">
        <v>664</v>
      </c>
      <c r="D2">
        <v>7</v>
      </c>
    </row>
    <row r="3" spans="1:5">
      <c r="A3" t="s">
        <v>75</v>
      </c>
      <c r="B3">
        <v>1951</v>
      </c>
      <c r="C3" t="s">
        <v>666</v>
      </c>
      <c r="D3">
        <v>6</v>
      </c>
    </row>
    <row r="4" spans="1:5">
      <c r="A4" t="s">
        <v>267</v>
      </c>
      <c r="B4">
        <v>1950</v>
      </c>
      <c r="C4" s="222" t="s">
        <v>695</v>
      </c>
      <c r="D4">
        <v>5</v>
      </c>
    </row>
    <row r="5" spans="1:5">
      <c r="A5" t="s">
        <v>267</v>
      </c>
      <c r="B5">
        <v>1950</v>
      </c>
      <c r="C5" s="222" t="s">
        <v>667</v>
      </c>
      <c r="D5">
        <v>5</v>
      </c>
    </row>
    <row r="6" spans="1:5">
      <c r="A6" t="s">
        <v>267</v>
      </c>
      <c r="B6">
        <v>1950</v>
      </c>
      <c r="C6" s="222" t="s">
        <v>691</v>
      </c>
      <c r="D6">
        <v>3</v>
      </c>
    </row>
    <row r="7" spans="1:5">
      <c r="A7" t="s">
        <v>267</v>
      </c>
      <c r="B7">
        <v>1950</v>
      </c>
      <c r="C7" s="222" t="s">
        <v>692</v>
      </c>
      <c r="D7">
        <v>3</v>
      </c>
    </row>
    <row r="8" spans="1:5">
      <c r="A8" t="s">
        <v>267</v>
      </c>
      <c r="B8">
        <v>1950</v>
      </c>
      <c r="C8" s="222" t="s">
        <v>693</v>
      </c>
      <c r="D8">
        <v>4</v>
      </c>
      <c r="E8" t="s">
        <v>694</v>
      </c>
    </row>
    <row r="9" spans="1:5">
      <c r="A9" t="s">
        <v>267</v>
      </c>
      <c r="B9">
        <v>1951</v>
      </c>
      <c r="C9" s="222" t="s">
        <v>696</v>
      </c>
      <c r="D9">
        <v>3</v>
      </c>
    </row>
    <row r="10" spans="1:5">
      <c r="A10" t="s">
        <v>267</v>
      </c>
      <c r="B10">
        <v>1951</v>
      </c>
      <c r="C10" s="222" t="s">
        <v>697</v>
      </c>
      <c r="D10">
        <v>3</v>
      </c>
    </row>
    <row r="11" spans="1:5">
      <c r="A11" t="s">
        <v>267</v>
      </c>
      <c r="B11">
        <v>1951</v>
      </c>
      <c r="C11" s="222" t="s">
        <v>698</v>
      </c>
      <c r="D11">
        <v>5</v>
      </c>
    </row>
    <row r="12" spans="1:5">
      <c r="A12" t="s">
        <v>267</v>
      </c>
      <c r="B12">
        <v>1952</v>
      </c>
      <c r="C12" s="222" t="s">
        <v>699</v>
      </c>
      <c r="D12">
        <v>4</v>
      </c>
    </row>
    <row r="13" spans="1:5">
      <c r="A13" t="s">
        <v>267</v>
      </c>
      <c r="B13">
        <v>1954</v>
      </c>
      <c r="C13" s="222" t="s">
        <v>700</v>
      </c>
      <c r="D13">
        <v>5</v>
      </c>
    </row>
    <row r="15" spans="1:5">
      <c r="A15" t="s">
        <v>259</v>
      </c>
      <c r="B15">
        <v>1950</v>
      </c>
      <c r="C15" s="222" t="s">
        <v>702</v>
      </c>
      <c r="D15">
        <v>3</v>
      </c>
    </row>
    <row r="16" spans="1:5">
      <c r="A16" t="s">
        <v>259</v>
      </c>
      <c r="B16">
        <v>1950</v>
      </c>
      <c r="C16" s="222" t="s">
        <v>668</v>
      </c>
      <c r="D16" s="224" t="s">
        <v>703</v>
      </c>
    </row>
    <row r="17" spans="1:4">
      <c r="A17" t="s">
        <v>259</v>
      </c>
      <c r="B17">
        <v>1950</v>
      </c>
      <c r="C17" s="222" t="s">
        <v>669</v>
      </c>
      <c r="D17">
        <v>4</v>
      </c>
    </row>
    <row r="18" spans="1:4">
      <c r="A18" t="s">
        <v>259</v>
      </c>
      <c r="B18">
        <v>1950</v>
      </c>
      <c r="C18" s="222" t="s">
        <v>704</v>
      </c>
      <c r="D18">
        <v>4</v>
      </c>
    </row>
    <row r="19" spans="1:4">
      <c r="A19" t="s">
        <v>259</v>
      </c>
      <c r="B19">
        <v>1950</v>
      </c>
      <c r="C19" s="222" t="s">
        <v>705</v>
      </c>
      <c r="D19">
        <v>4</v>
      </c>
    </row>
    <row r="20" spans="1:4">
      <c r="A20" t="s">
        <v>259</v>
      </c>
      <c r="B20">
        <v>1950</v>
      </c>
      <c r="C20" s="222" t="s">
        <v>706</v>
      </c>
      <c r="D20">
        <v>4</v>
      </c>
    </row>
    <row r="21" spans="1:4">
      <c r="A21" t="s">
        <v>707</v>
      </c>
      <c r="C21" s="222"/>
    </row>
    <row r="22" spans="1:4">
      <c r="C22" s="222"/>
    </row>
    <row r="23" spans="1:4">
      <c r="C23" s="222"/>
    </row>
    <row r="24" spans="1:4">
      <c r="A24" t="s">
        <v>253</v>
      </c>
      <c r="B24">
        <v>1950</v>
      </c>
      <c r="C24" t="s">
        <v>670</v>
      </c>
      <c r="D24" t="s">
        <v>671</v>
      </c>
    </row>
    <row r="25" spans="1:4">
      <c r="A25" t="s">
        <v>253</v>
      </c>
      <c r="B25">
        <v>1950</v>
      </c>
      <c r="C25" s="222" t="s">
        <v>672</v>
      </c>
      <c r="D25">
        <v>5</v>
      </c>
    </row>
    <row r="26" spans="1:4">
      <c r="A26" t="s">
        <v>253</v>
      </c>
      <c r="B26">
        <v>1950</v>
      </c>
      <c r="C26" s="222" t="s">
        <v>673</v>
      </c>
      <c r="D26">
        <v>5</v>
      </c>
    </row>
    <row r="27" spans="1:4">
      <c r="A27" t="s">
        <v>253</v>
      </c>
      <c r="B27">
        <v>1951</v>
      </c>
      <c r="C27" s="222" t="s">
        <v>674</v>
      </c>
      <c r="D27">
        <v>4</v>
      </c>
    </row>
    <row r="30" spans="1:4">
      <c r="A30" t="s">
        <v>701</v>
      </c>
    </row>
    <row r="31" spans="1:4">
      <c r="A31" t="s">
        <v>267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55D5-332E-4A8F-BE92-DB51008CD0DC}">
  <dimension ref="A1:A17"/>
  <sheetViews>
    <sheetView workbookViewId="0">
      <selection activeCell="A15" sqref="A15"/>
    </sheetView>
  </sheetViews>
  <sheetFormatPr defaultRowHeight="15"/>
  <sheetData>
    <row r="1" spans="1:1">
      <c r="A1" t="s">
        <v>675</v>
      </c>
    </row>
    <row r="2" spans="1:1">
      <c r="A2" t="s">
        <v>687</v>
      </c>
    </row>
    <row r="3" spans="1:1">
      <c r="A3" t="s">
        <v>676</v>
      </c>
    </row>
    <row r="4" spans="1:1">
      <c r="A4" t="s">
        <v>677</v>
      </c>
    </row>
    <row r="5" spans="1:1">
      <c r="A5" t="s">
        <v>678</v>
      </c>
    </row>
    <row r="6" spans="1:1">
      <c r="A6" t="s">
        <v>679</v>
      </c>
    </row>
    <row r="7" spans="1:1">
      <c r="A7" t="s">
        <v>680</v>
      </c>
    </row>
    <row r="8" spans="1:1">
      <c r="A8" t="s">
        <v>681</v>
      </c>
    </row>
    <row r="9" spans="1:1">
      <c r="A9" t="s">
        <v>682</v>
      </c>
    </row>
    <row r="10" spans="1:1">
      <c r="A10" t="s">
        <v>683</v>
      </c>
    </row>
    <row r="11" spans="1:1">
      <c r="A11" t="s">
        <v>684</v>
      </c>
    </row>
    <row r="12" spans="1:1">
      <c r="A12" t="s">
        <v>685</v>
      </c>
    </row>
    <row r="13" spans="1:1">
      <c r="A13" t="s">
        <v>686</v>
      </c>
    </row>
    <row r="14" spans="1:1">
      <c r="A14" t="s">
        <v>708</v>
      </c>
    </row>
    <row r="16" spans="1:1">
      <c r="A16" t="s">
        <v>690</v>
      </c>
    </row>
    <row r="17" spans="1:1">
      <c r="A17" t="s">
        <v>689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478F5-4D0C-4D13-BF5F-C2D636738504}">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3FCCD-E7C2-41AC-ABCB-04BE632C383E}">
  <dimension ref="A1:B11"/>
  <sheetViews>
    <sheetView zoomScaleNormal="100" workbookViewId="0">
      <selection activeCell="C1" sqref="C1"/>
    </sheetView>
  </sheetViews>
  <sheetFormatPr defaultRowHeight="15"/>
  <cols>
    <col min="2" max="2" width="55.7109375" customWidth="1"/>
  </cols>
  <sheetData>
    <row r="1" spans="1:2">
      <c r="A1" t="s">
        <v>424</v>
      </c>
      <c r="B1" t="s">
        <v>425</v>
      </c>
    </row>
    <row r="2" spans="1:2">
      <c r="A2" t="s">
        <v>426</v>
      </c>
      <c r="B2" s="66" t="s">
        <v>330</v>
      </c>
    </row>
    <row r="3" spans="1:2">
      <c r="A3" t="s">
        <v>426</v>
      </c>
      <c r="B3" s="66" t="s">
        <v>331</v>
      </c>
    </row>
    <row r="4" spans="1:2">
      <c r="A4" s="158" t="s">
        <v>431</v>
      </c>
      <c r="B4" s="66" t="s">
        <v>332</v>
      </c>
    </row>
    <row r="5" spans="1:2">
      <c r="A5" t="s">
        <v>432</v>
      </c>
      <c r="B5" s="66" t="s">
        <v>333</v>
      </c>
    </row>
    <row r="6" spans="1:2">
      <c r="A6" t="s">
        <v>430</v>
      </c>
      <c r="B6" s="66" t="s">
        <v>334</v>
      </c>
    </row>
    <row r="7" spans="1:2">
      <c r="A7" t="s">
        <v>429</v>
      </c>
      <c r="B7" s="66" t="s">
        <v>335</v>
      </c>
    </row>
    <row r="8" spans="1:2">
      <c r="A8" t="s">
        <v>428</v>
      </c>
      <c r="B8" s="66" t="s">
        <v>336</v>
      </c>
    </row>
    <row r="9" spans="1:2">
      <c r="A9" t="s">
        <v>427</v>
      </c>
      <c r="B9" s="66" t="s">
        <v>337</v>
      </c>
    </row>
    <row r="10" spans="1:2">
      <c r="A10" t="s">
        <v>426</v>
      </c>
      <c r="B10" s="66" t="s">
        <v>338</v>
      </c>
    </row>
    <row r="11" spans="1:2">
      <c r="A11" t="s">
        <v>434</v>
      </c>
      <c r="B11" s="66" t="s">
        <v>433</v>
      </c>
    </row>
  </sheetData>
  <hyperlinks>
    <hyperlink ref="B2" r:id="rId1" xr:uid="{E24DA0E5-223B-4E92-8B02-D4905AB54D15}"/>
    <hyperlink ref="B3" r:id="rId2" location="v=onepage&amp;q=men's%20and%20boy's%20clothing%201947%20census%20of%20manufacturers%20suit&amp;f=false" display="https://books.google.com/books?id=fF2W1JAgYnMC&amp;pg=PA205&amp;dq=men%27s+and+boy%27s+clothing+1947+census+of+manufacturers+suit&amp;hl=en&amp;newbks=1&amp;newbks_redir=0&amp;sa=X&amp;ved=2ahUKEwidxayS3pLmAhWvd98KHSxlCm4Q6AEwAXoECAIQAg - v=onepage&amp;q=men's%20and%20boy's%20clothing%201947%20census%20of%20manufacturers%20suit&amp;f=false" xr:uid="{AD73C6C5-6531-43E6-BCDC-2EA27BADC0DC}"/>
    <hyperlink ref="B4" r:id="rId3" xr:uid="{EE4E4346-C012-42A4-BB76-3E02010C52D7}"/>
    <hyperlink ref="B5" r:id="rId4" location="v=onepage&amp;q=national%20wool%20prices%201950&amp;f=false" display="https://books.google.com/books?id=FjPMSe1oOJIC&amp;pg=PA87&amp;dq=national+wool+prices+1950&amp;hl=en&amp;newbks=1&amp;newbks_redir=0&amp;sa=X&amp;ved=2ahUKEwis-6zn-pLmAhVqdt8KHThRCWAQ6AEwBHoECAgQAg - v=onepage&amp;q=national%20wool%20prices%201950&amp;f=false" xr:uid="{CA96A2F4-6BC1-43D0-880F-D7F6743234C7}"/>
    <hyperlink ref="B6" r:id="rId5" xr:uid="{9C39AAFC-D4D2-42BF-9BAC-D69C6F7C2C48}"/>
    <hyperlink ref="B7" r:id="rId6" location="v=onepage&amp;q=national%20wool%20prices%201950&amp;f=false" display="https://books.google.com/books?id=3utkyU-yNREC&amp;pg=RA11-PA14&amp;dq=national+wool+prices+1950&amp;hl=en&amp;newbks=1&amp;newbks_redir=0&amp;sa=X&amp;ved=2ahUKEwis-6zn-pLmAhVqdt8KHThRCWAQ6AEwAnoECAMQAg - v=onepage&amp;q=national%20wool%20prices%201950&amp;f=false" xr:uid="{032B9769-E412-4052-9843-2EC30A6FDF9C}"/>
    <hyperlink ref="B8" r:id="rId7" xr:uid="{D5800692-634C-4461-AC3D-359EC8DFBAC2}"/>
    <hyperlink ref="B9" r:id="rId8" xr:uid="{67925C00-892C-4366-8FDB-5429187163C6}"/>
    <hyperlink ref="B10" r:id="rId9" xr:uid="{F82B31F2-3D0F-417C-B16D-ADC033EC56BD}"/>
    <hyperlink ref="B11" r:id="rId10" xr:uid="{64C1B12F-732C-433D-AAFB-8745C8E0FCC7}"/>
  </hyperlinks>
  <pageMargins left="0.7" right="0.7" top="0.75" bottom="0.75" header="0.3" footer="0.3"/>
  <pageSetup orientation="portrait" horizontalDpi="0" verticalDpi="0"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CA8F9-2ADB-4D6D-9A45-B347BD5F2049}">
  <dimension ref="A1:E55"/>
  <sheetViews>
    <sheetView workbookViewId="0">
      <selection activeCell="B31" sqref="B31"/>
    </sheetView>
  </sheetViews>
  <sheetFormatPr defaultColWidth="9.140625" defaultRowHeight="15"/>
  <cols>
    <col min="1" max="1" width="64.85546875" style="2" bestFit="1" customWidth="1"/>
    <col min="2" max="2" width="13.28515625" style="2" bestFit="1" customWidth="1"/>
    <col min="3" max="3" width="12.42578125" style="2" bestFit="1" customWidth="1"/>
    <col min="4" max="16384" width="9.140625" style="2"/>
  </cols>
  <sheetData>
    <row r="1" spans="1:5">
      <c r="B1" s="143">
        <v>1950</v>
      </c>
      <c r="C1" s="143">
        <v>1949</v>
      </c>
    </row>
    <row r="2" spans="1:5">
      <c r="A2" s="2" t="s">
        <v>0</v>
      </c>
    </row>
    <row r="3" spans="1:5">
      <c r="A3" s="2" t="s">
        <v>1</v>
      </c>
      <c r="B3" s="3">
        <v>441188</v>
      </c>
      <c r="C3" s="3">
        <v>393448</v>
      </c>
      <c r="D3" s="3"/>
      <c r="E3" s="3"/>
    </row>
    <row r="4" spans="1:5">
      <c r="A4" s="2" t="s">
        <v>2</v>
      </c>
      <c r="B4" s="3">
        <v>2067552</v>
      </c>
      <c r="C4" s="3">
        <v>1792992</v>
      </c>
      <c r="D4" s="3"/>
      <c r="E4" s="3"/>
    </row>
    <row r="5" spans="1:5">
      <c r="A5" s="5" t="s">
        <v>378</v>
      </c>
      <c r="B5" s="6">
        <v>134853</v>
      </c>
      <c r="C5" s="6">
        <v>154883</v>
      </c>
      <c r="D5" s="3"/>
      <c r="E5" s="3"/>
    </row>
    <row r="6" spans="1:5">
      <c r="B6" s="3">
        <f>B4-B5</f>
        <v>1932699</v>
      </c>
      <c r="C6" s="3">
        <f>C4-C5</f>
        <v>1638109</v>
      </c>
      <c r="D6" s="3"/>
      <c r="E6" s="3"/>
    </row>
    <row r="7" spans="1:5">
      <c r="A7" s="2" t="s">
        <v>379</v>
      </c>
      <c r="B7" s="3"/>
      <c r="C7" s="3"/>
      <c r="D7" s="3"/>
      <c r="E7" s="3"/>
    </row>
    <row r="8" spans="1:5">
      <c r="A8" s="2" t="s">
        <v>5</v>
      </c>
      <c r="B8" s="3">
        <v>1122813</v>
      </c>
      <c r="C8" s="3">
        <v>1042281</v>
      </c>
      <c r="D8" s="3"/>
      <c r="E8" s="3"/>
    </row>
    <row r="9" spans="1:5">
      <c r="A9" s="2" t="s">
        <v>6</v>
      </c>
      <c r="B9" s="3">
        <v>591476</v>
      </c>
      <c r="C9" s="3">
        <v>315735</v>
      </c>
      <c r="D9" s="3"/>
      <c r="E9" s="3"/>
    </row>
    <row r="10" spans="1:5">
      <c r="A10" s="2" t="s">
        <v>7</v>
      </c>
      <c r="B10" s="3">
        <v>1458453</v>
      </c>
      <c r="C10" s="3">
        <v>562301</v>
      </c>
      <c r="D10" s="3"/>
      <c r="E10" s="3"/>
    </row>
    <row r="11" spans="1:5">
      <c r="A11" s="5" t="s">
        <v>8</v>
      </c>
      <c r="B11" s="6">
        <v>117252</v>
      </c>
      <c r="C11" s="6">
        <v>97003</v>
      </c>
      <c r="D11" s="3"/>
      <c r="E11" s="3"/>
    </row>
    <row r="12" spans="1:5">
      <c r="B12" s="3">
        <f>SUM(B8:B11)</f>
        <v>3289994</v>
      </c>
      <c r="C12" s="3">
        <f>SUM(C8:C11)</f>
        <v>2017320</v>
      </c>
      <c r="D12" s="3"/>
      <c r="E12" s="3"/>
    </row>
    <row r="13" spans="1:5">
      <c r="A13" s="5" t="s">
        <v>9</v>
      </c>
      <c r="B13" s="6">
        <v>41581</v>
      </c>
      <c r="C13" s="6">
        <v>40686</v>
      </c>
      <c r="D13" s="3"/>
      <c r="E13" s="3"/>
    </row>
    <row r="14" spans="1:5">
      <c r="A14" s="2" t="s">
        <v>10</v>
      </c>
      <c r="B14" s="3">
        <f>B13+B12+B6+B3</f>
        <v>5705462</v>
      </c>
      <c r="C14" s="3">
        <f>C13+C12+C6+C3</f>
        <v>4089563</v>
      </c>
      <c r="D14" s="3"/>
      <c r="E14" s="3"/>
    </row>
    <row r="15" spans="1:5">
      <c r="A15" s="2" t="s">
        <v>11</v>
      </c>
      <c r="B15" s="3"/>
      <c r="C15" s="3"/>
      <c r="D15" s="3"/>
      <c r="E15" s="3"/>
    </row>
    <row r="16" spans="1:5">
      <c r="A16" s="2" t="s">
        <v>12</v>
      </c>
      <c r="B16" s="3">
        <v>31067</v>
      </c>
      <c r="C16" s="3">
        <v>28065</v>
      </c>
      <c r="D16" s="3"/>
      <c r="E16" s="3"/>
    </row>
    <row r="17" spans="1:5">
      <c r="A17" s="5" t="s">
        <v>13</v>
      </c>
      <c r="B17" s="6">
        <v>23755</v>
      </c>
      <c r="C17" s="6">
        <v>17004</v>
      </c>
      <c r="D17" s="3"/>
      <c r="E17" s="3"/>
    </row>
    <row r="18" spans="1:5">
      <c r="A18" s="2" t="s">
        <v>14</v>
      </c>
      <c r="B18" s="3">
        <f>SUM(B16:B17)</f>
        <v>54822</v>
      </c>
      <c r="C18" s="3">
        <f>SUM(C16:C17)</f>
        <v>45069</v>
      </c>
      <c r="D18" s="3"/>
      <c r="E18" s="3"/>
    </row>
    <row r="19" spans="1:5">
      <c r="B19" s="3"/>
      <c r="C19" s="3"/>
      <c r="D19" s="3"/>
      <c r="E19" s="3"/>
    </row>
    <row r="20" spans="1:5">
      <c r="A20" s="2" t="s">
        <v>380</v>
      </c>
      <c r="B20" s="3"/>
      <c r="C20" s="3"/>
      <c r="D20" s="3"/>
      <c r="E20" s="3"/>
    </row>
    <row r="21" spans="1:5">
      <c r="A21" s="2" t="s">
        <v>16</v>
      </c>
      <c r="B21" s="3">
        <v>1010346</v>
      </c>
      <c r="C21" s="3">
        <v>1007631</v>
      </c>
      <c r="D21" s="3"/>
      <c r="E21" s="3"/>
    </row>
    <row r="22" spans="1:5">
      <c r="A22" s="2" t="s">
        <v>17</v>
      </c>
      <c r="B22" s="3">
        <v>739716</v>
      </c>
      <c r="C22" s="3">
        <v>751017</v>
      </c>
      <c r="D22" s="3"/>
      <c r="E22" s="3"/>
    </row>
    <row r="23" spans="1:5">
      <c r="A23" s="2" t="s">
        <v>18</v>
      </c>
      <c r="B23" s="3">
        <v>94379</v>
      </c>
      <c r="C23" s="3">
        <v>86271</v>
      </c>
      <c r="D23" s="3"/>
      <c r="E23" s="3"/>
    </row>
    <row r="24" spans="1:5">
      <c r="B24" s="3">
        <f>SUM(B21:B23)</f>
        <v>1844441</v>
      </c>
      <c r="C24" s="3">
        <f>SUM(C21:C23)</f>
        <v>1844919</v>
      </c>
      <c r="D24" s="3"/>
      <c r="E24" s="3"/>
    </row>
    <row r="25" spans="1:5">
      <c r="A25" s="2" t="s">
        <v>381</v>
      </c>
      <c r="B25" s="3">
        <v>862411</v>
      </c>
      <c r="C25" s="3">
        <v>825031</v>
      </c>
      <c r="D25" s="3"/>
      <c r="E25" s="3"/>
    </row>
    <row r="26" spans="1:5">
      <c r="A26" s="2" t="s">
        <v>20</v>
      </c>
      <c r="B26" s="3">
        <f>B24-B25</f>
        <v>982030</v>
      </c>
      <c r="C26" s="3">
        <f>C24-C25</f>
        <v>1019888</v>
      </c>
      <c r="D26" s="3"/>
      <c r="E26" s="3"/>
    </row>
    <row r="27" spans="1:5">
      <c r="A27" s="5" t="s">
        <v>56</v>
      </c>
      <c r="B27" s="6"/>
      <c r="C27" s="6"/>
      <c r="D27" s="3"/>
      <c r="E27" s="3"/>
    </row>
    <row r="28" spans="1:5">
      <c r="A28" s="2" t="s">
        <v>382</v>
      </c>
      <c r="B28" s="3">
        <f>B26+B18+B14</f>
        <v>6742314</v>
      </c>
      <c r="C28" s="3">
        <f>C26+C18+C14</f>
        <v>5154520</v>
      </c>
      <c r="D28" s="3"/>
      <c r="E28" s="3"/>
    </row>
    <row r="29" spans="1:5">
      <c r="B29" s="3"/>
      <c r="C29" s="3"/>
      <c r="D29" s="3"/>
      <c r="E29" s="3"/>
    </row>
    <row r="30" spans="1:5">
      <c r="A30" s="2" t="s">
        <v>21</v>
      </c>
      <c r="B30" s="3"/>
      <c r="C30" s="3"/>
      <c r="D30" s="3"/>
      <c r="E30" s="3"/>
    </row>
    <row r="31" spans="1:5">
      <c r="A31" s="2" t="s">
        <v>22</v>
      </c>
      <c r="B31" s="3">
        <v>1500000</v>
      </c>
      <c r="C31" s="3">
        <v>250000</v>
      </c>
      <c r="D31" s="3"/>
      <c r="E31" s="3"/>
    </row>
    <row r="32" spans="1:5">
      <c r="A32" s="2" t="s">
        <v>23</v>
      </c>
      <c r="B32" s="3">
        <v>511649</v>
      </c>
      <c r="C32" s="3">
        <v>327349</v>
      </c>
      <c r="D32" s="3"/>
      <c r="E32" s="3"/>
    </row>
    <row r="33" spans="1:5">
      <c r="A33" s="2" t="s">
        <v>24</v>
      </c>
      <c r="B33" s="3">
        <v>148441</v>
      </c>
      <c r="C33" s="3">
        <v>134862</v>
      </c>
      <c r="D33" s="3"/>
      <c r="E33" s="3"/>
    </row>
    <row r="34" spans="1:5">
      <c r="A34" s="2" t="s">
        <v>25</v>
      </c>
      <c r="B34" s="3">
        <v>62191</v>
      </c>
      <c r="C34" s="3">
        <v>47563</v>
      </c>
      <c r="D34" s="3"/>
      <c r="E34" s="3"/>
    </row>
    <row r="35" spans="1:5">
      <c r="A35" s="2" t="s">
        <v>26</v>
      </c>
      <c r="B35" s="3">
        <v>51412</v>
      </c>
      <c r="C35" s="3">
        <v>65500</v>
      </c>
      <c r="D35" s="3"/>
      <c r="E35" s="3"/>
    </row>
    <row r="36" spans="1:5">
      <c r="A36" s="2" t="s">
        <v>27</v>
      </c>
      <c r="B36" s="3">
        <v>3524</v>
      </c>
      <c r="C36" s="3">
        <v>955</v>
      </c>
      <c r="D36" s="3"/>
      <c r="E36" s="3"/>
    </row>
    <row r="37" spans="1:5">
      <c r="A37" s="5" t="s">
        <v>28</v>
      </c>
      <c r="B37" s="6">
        <v>169839</v>
      </c>
      <c r="C37" s="6">
        <v>188079</v>
      </c>
      <c r="D37" s="3"/>
      <c r="E37" s="3"/>
    </row>
    <row r="38" spans="1:5">
      <c r="A38" s="2" t="s">
        <v>29</v>
      </c>
      <c r="B38" s="3">
        <f>SUM(B31:B37)</f>
        <v>2447056</v>
      </c>
      <c r="C38" s="3">
        <f>SUM(C31:C37)</f>
        <v>1014308</v>
      </c>
      <c r="D38" s="3"/>
      <c r="E38" s="3"/>
    </row>
    <row r="39" spans="1:5">
      <c r="B39" s="3"/>
      <c r="C39" s="3"/>
      <c r="D39" s="3"/>
      <c r="E39" s="3"/>
    </row>
    <row r="40" spans="1:5">
      <c r="A40" s="2" t="s">
        <v>30</v>
      </c>
      <c r="B40" s="3"/>
      <c r="C40" s="3"/>
      <c r="D40" s="3"/>
      <c r="E40" s="3"/>
    </row>
    <row r="41" spans="1:5">
      <c r="A41" s="2" t="s">
        <v>31</v>
      </c>
      <c r="B41" s="3">
        <v>150000</v>
      </c>
      <c r="C41" s="3">
        <v>150000</v>
      </c>
      <c r="D41" s="3"/>
      <c r="E41" s="3"/>
    </row>
    <row r="42" spans="1:5">
      <c r="A42" s="5" t="s">
        <v>32</v>
      </c>
      <c r="B42" s="6">
        <v>45811</v>
      </c>
      <c r="C42" s="6">
        <v>42981</v>
      </c>
      <c r="D42" s="3"/>
      <c r="E42" s="3"/>
    </row>
    <row r="43" spans="1:5">
      <c r="A43" s="2" t="s">
        <v>33</v>
      </c>
      <c r="B43" s="3">
        <f>SUM(B41:B42)</f>
        <v>195811</v>
      </c>
      <c r="C43" s="3">
        <f>SUM(C41:C42)</f>
        <v>192981</v>
      </c>
      <c r="D43" s="3"/>
      <c r="E43" s="3"/>
    </row>
    <row r="44" spans="1:5">
      <c r="B44" s="3"/>
      <c r="C44" s="3"/>
      <c r="D44" s="3"/>
      <c r="E44" s="3"/>
    </row>
    <row r="45" spans="1:5">
      <c r="A45" s="2" t="s">
        <v>34</v>
      </c>
      <c r="C45" s="3"/>
      <c r="D45" s="3"/>
      <c r="E45" s="3"/>
    </row>
    <row r="46" spans="1:5">
      <c r="A46" s="2" t="s">
        <v>35</v>
      </c>
      <c r="B46" s="3">
        <v>1400000</v>
      </c>
      <c r="C46" s="3">
        <v>1400000</v>
      </c>
      <c r="D46" s="3"/>
      <c r="E46" s="3"/>
    </row>
    <row r="47" spans="1:5">
      <c r="A47" s="5" t="s">
        <v>36</v>
      </c>
      <c r="B47" s="6">
        <v>2699447</v>
      </c>
      <c r="C47" s="6">
        <v>2556231</v>
      </c>
      <c r="D47" s="3"/>
      <c r="E47" s="3"/>
    </row>
    <row r="48" spans="1:5">
      <c r="A48" s="141" t="s">
        <v>37</v>
      </c>
      <c r="B48" s="142">
        <f>SUM(B46:B47)</f>
        <v>4099447</v>
      </c>
      <c r="C48" s="142">
        <f>SUM(C46:C47)</f>
        <v>3956231</v>
      </c>
      <c r="D48" s="3"/>
      <c r="E48" s="3"/>
    </row>
    <row r="49" spans="1:5">
      <c r="A49" s="2" t="s">
        <v>383</v>
      </c>
      <c r="B49" s="3">
        <f>B48+B43+B38</f>
        <v>6742314</v>
      </c>
      <c r="C49" s="3">
        <f>C48+C43+C38</f>
        <v>5163520</v>
      </c>
      <c r="D49" s="3"/>
      <c r="E49" s="3"/>
    </row>
    <row r="50" spans="1:5">
      <c r="B50" s="3"/>
      <c r="C50" s="3"/>
      <c r="D50" s="3"/>
      <c r="E50" s="3"/>
    </row>
    <row r="51" spans="1:5">
      <c r="B51" s="4">
        <f>B14-B38-B43</f>
        <v>3062595</v>
      </c>
      <c r="C51" s="3"/>
      <c r="D51" s="3"/>
      <c r="E51" s="3"/>
    </row>
    <row r="52" spans="1:5">
      <c r="B52" s="3">
        <f>'Timely Clothes Income Statement'!C30</f>
        <v>140000</v>
      </c>
      <c r="C52" s="3"/>
      <c r="D52" s="3"/>
      <c r="E52" s="3"/>
    </row>
    <row r="53" spans="1:5">
      <c r="B53" s="2">
        <f>B51/B52</f>
        <v>21.875678571428573</v>
      </c>
    </row>
    <row r="55" spans="1:5">
      <c r="B55" s="2">
        <f>B48/B52</f>
        <v>29.281764285714285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CF891-922A-4F28-BBD8-E41E19311481}">
  <dimension ref="A1:C33"/>
  <sheetViews>
    <sheetView zoomScale="70" zoomScaleNormal="70" workbookViewId="0">
      <selection activeCell="D9" sqref="D9"/>
    </sheetView>
  </sheetViews>
  <sheetFormatPr defaultRowHeight="15"/>
  <cols>
    <col min="1" max="1" width="50.42578125" bestFit="1" customWidth="1"/>
    <col min="2" max="3" width="9.140625" bestFit="1" customWidth="1"/>
  </cols>
  <sheetData>
    <row r="1" spans="1:3">
      <c r="A1" s="2"/>
      <c r="B1" s="143">
        <v>1950</v>
      </c>
      <c r="C1" s="143">
        <v>1949</v>
      </c>
    </row>
    <row r="2" spans="1:3">
      <c r="A2" s="3" t="s">
        <v>38</v>
      </c>
      <c r="B2" s="3">
        <v>2048004</v>
      </c>
      <c r="C2" s="3">
        <v>1966873</v>
      </c>
    </row>
    <row r="3" spans="1:3" ht="8.1" customHeight="1">
      <c r="A3" s="3"/>
      <c r="B3" s="3"/>
      <c r="C3" s="3"/>
    </row>
    <row r="4" spans="1:3">
      <c r="A4" s="3" t="s">
        <v>39</v>
      </c>
      <c r="B4" s="3"/>
      <c r="C4" s="3"/>
    </row>
    <row r="5" spans="1:3">
      <c r="A5" s="3" t="s">
        <v>384</v>
      </c>
      <c r="B5" s="3">
        <v>1098</v>
      </c>
      <c r="C5" s="3">
        <v>1258</v>
      </c>
    </row>
    <row r="6" spans="1:3">
      <c r="A6" s="3" t="s">
        <v>385</v>
      </c>
      <c r="B6" s="144" t="s">
        <v>388</v>
      </c>
      <c r="C6" s="3">
        <v>75298</v>
      </c>
    </row>
    <row r="7" spans="1:3">
      <c r="A7" s="3" t="s">
        <v>386</v>
      </c>
      <c r="B7" s="3">
        <v>20754</v>
      </c>
      <c r="C7" s="144" t="s">
        <v>388</v>
      </c>
    </row>
    <row r="8" spans="1:3">
      <c r="A8" s="6" t="s">
        <v>387</v>
      </c>
      <c r="B8" s="6">
        <v>9270</v>
      </c>
      <c r="C8" s="6">
        <v>6775</v>
      </c>
    </row>
    <row r="9" spans="1:3">
      <c r="A9" s="3"/>
      <c r="B9" s="3">
        <f>SUM(B2:B8)</f>
        <v>2079126</v>
      </c>
      <c r="C9" s="3">
        <f>SUM(C2:C8)</f>
        <v>2050204</v>
      </c>
    </row>
    <row r="10" spans="1:3">
      <c r="A10" s="3" t="s">
        <v>43</v>
      </c>
      <c r="B10" s="3"/>
      <c r="C10" s="3"/>
    </row>
    <row r="11" spans="1:3">
      <c r="A11" s="3" t="s">
        <v>389</v>
      </c>
      <c r="B11" s="3">
        <v>1650418</v>
      </c>
      <c r="C11" s="3">
        <v>1551281</v>
      </c>
    </row>
    <row r="12" spans="1:3">
      <c r="A12" s="3" t="s">
        <v>390</v>
      </c>
      <c r="B12" s="3">
        <v>9701</v>
      </c>
      <c r="C12" s="3">
        <v>7438</v>
      </c>
    </row>
    <row r="13" spans="1:3">
      <c r="A13" s="6" t="s">
        <v>387</v>
      </c>
      <c r="B13" s="6">
        <v>1386</v>
      </c>
      <c r="C13" s="6">
        <v>1144</v>
      </c>
    </row>
    <row r="14" spans="1:3" ht="17.25">
      <c r="A14" s="3"/>
      <c r="B14" s="145">
        <f>SUM(B11:B13)</f>
        <v>1661505</v>
      </c>
      <c r="C14" s="145">
        <f>SUM(C11:C13)</f>
        <v>1559863</v>
      </c>
    </row>
    <row r="15" spans="1:3">
      <c r="A15" s="3" t="s">
        <v>46</v>
      </c>
      <c r="B15" s="3">
        <f>B9-B14</f>
        <v>417621</v>
      </c>
      <c r="C15" s="3">
        <f>C9-C14</f>
        <v>490341</v>
      </c>
    </row>
    <row r="16" spans="1:3">
      <c r="A16" s="3" t="s">
        <v>28</v>
      </c>
      <c r="B16" s="3"/>
      <c r="C16" s="3"/>
    </row>
    <row r="17" spans="1:3">
      <c r="A17" s="3" t="s">
        <v>47</v>
      </c>
      <c r="B17" s="3">
        <v>160500</v>
      </c>
      <c r="C17" s="3">
        <v>154000</v>
      </c>
    </row>
    <row r="18" spans="1:3">
      <c r="A18" s="3" t="s">
        <v>67</v>
      </c>
      <c r="B18" s="3"/>
      <c r="C18" s="3"/>
    </row>
    <row r="19" spans="1:3" ht="17.25">
      <c r="A19" s="3" t="s">
        <v>48</v>
      </c>
      <c r="B19" s="145">
        <v>26095</v>
      </c>
      <c r="C19" s="146" t="s">
        <v>388</v>
      </c>
    </row>
    <row r="20" spans="1:3">
      <c r="A20" s="6"/>
      <c r="B20" s="6">
        <f>B17-B19</f>
        <v>134405</v>
      </c>
      <c r="C20" s="6">
        <f>C17</f>
        <v>154000</v>
      </c>
    </row>
    <row r="21" spans="1:3">
      <c r="A21" s="3" t="s">
        <v>49</v>
      </c>
      <c r="B21" s="3">
        <f>B15-B20</f>
        <v>283216</v>
      </c>
      <c r="C21" s="3">
        <f>C15-C20</f>
        <v>336341</v>
      </c>
    </row>
    <row r="22" spans="1:3">
      <c r="A22" s="3"/>
      <c r="B22" s="3"/>
      <c r="C22" s="3"/>
    </row>
    <row r="23" spans="1:3">
      <c r="A23" s="3" t="s">
        <v>50</v>
      </c>
      <c r="B23" s="3">
        <v>89694</v>
      </c>
      <c r="C23" s="3">
        <v>83863</v>
      </c>
    </row>
    <row r="24" spans="1:3">
      <c r="A24" s="3"/>
      <c r="B24" s="3"/>
      <c r="C24" s="3"/>
    </row>
    <row r="25" spans="1:3">
      <c r="A25" s="147" t="s">
        <v>36</v>
      </c>
      <c r="B25" s="3"/>
      <c r="C25" s="3"/>
    </row>
    <row r="26" spans="1:3">
      <c r="A26" s="3" t="s">
        <v>51</v>
      </c>
      <c r="B26" s="3">
        <v>2556231</v>
      </c>
      <c r="C26" s="3">
        <v>2245751</v>
      </c>
    </row>
    <row r="27" spans="1:3">
      <c r="A27" s="3" t="s">
        <v>52</v>
      </c>
      <c r="B27" s="3">
        <f>B21</f>
        <v>283216</v>
      </c>
      <c r="C27" s="3">
        <f>C21</f>
        <v>336341</v>
      </c>
    </row>
    <row r="28" spans="1:3">
      <c r="A28" s="3" t="s">
        <v>58</v>
      </c>
      <c r="B28" s="144" t="s">
        <v>388</v>
      </c>
      <c r="C28" s="3">
        <v>156139</v>
      </c>
    </row>
    <row r="29" spans="1:3">
      <c r="A29" s="3"/>
      <c r="B29" s="3">
        <f>SUM(B26:B28)</f>
        <v>2839447</v>
      </c>
      <c r="C29" s="3">
        <f>SUM(C26:C28)</f>
        <v>2738231</v>
      </c>
    </row>
    <row r="30" spans="1:3" ht="17.25">
      <c r="A30" s="3" t="s">
        <v>54</v>
      </c>
      <c r="B30" s="145">
        <v>140000</v>
      </c>
      <c r="C30" s="145">
        <v>182000</v>
      </c>
    </row>
    <row r="31" spans="1:3">
      <c r="A31" s="3" t="s">
        <v>239</v>
      </c>
      <c r="B31" s="3">
        <f>B29-B30</f>
        <v>2699447</v>
      </c>
      <c r="C31" s="3">
        <f>C29-C30</f>
        <v>2556231</v>
      </c>
    </row>
    <row r="32" spans="1:3">
      <c r="A32" s="3"/>
      <c r="B32" s="3"/>
      <c r="C32" s="3"/>
    </row>
    <row r="33" spans="1:3">
      <c r="A33" s="3" t="s">
        <v>55</v>
      </c>
      <c r="B33" s="7">
        <v>1</v>
      </c>
      <c r="C33" s="7">
        <v>1.3</v>
      </c>
    </row>
  </sheetData>
  <pageMargins left="0.7" right="0.7" top="0.75" bottom="0.75" header="0.3" footer="0.3"/>
  <customProperties>
    <customPr name="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Notes On Readings&gt;&gt;&gt;</vt:lpstr>
      <vt:lpstr>Books</vt:lpstr>
      <vt:lpstr>Proxy stuff</vt:lpstr>
      <vt:lpstr>AR Notes</vt:lpstr>
      <vt:lpstr>Companies to look for</vt:lpstr>
      <vt:lpstr>&gt;&gt;&gt;</vt:lpstr>
      <vt:lpstr>Links</vt:lpstr>
      <vt:lpstr>1950 Balance Sheet</vt:lpstr>
      <vt:lpstr>Sheet2</vt:lpstr>
      <vt:lpstr>Todo</vt:lpstr>
      <vt:lpstr>LIFO and FIFO Example</vt:lpstr>
      <vt:lpstr>Timely Clothes Six Year BS</vt:lpstr>
      <vt:lpstr>1951 Portfolio</vt:lpstr>
      <vt:lpstr>Timely Clothes Income Statement</vt:lpstr>
      <vt:lpstr>Inventory to Sales</vt:lpstr>
      <vt:lpstr>Summary Financials</vt:lpstr>
      <vt:lpstr>Sheet1</vt:lpstr>
      <vt:lpstr>Timely Clothes High-Low</vt:lpstr>
      <vt:lpstr>EV Calc</vt:lpstr>
      <vt:lpstr>Multiples</vt:lpstr>
      <vt:lpstr>Multiple Table</vt:lpstr>
      <vt:lpstr>Timely Clothes</vt:lpstr>
      <vt:lpstr>Bond Stores&gt;&gt;&gt;</vt:lpstr>
      <vt:lpstr>Bond Stores Income Statemen (2)</vt:lpstr>
      <vt:lpstr>Bond Stores Balance Sheet</vt:lpstr>
      <vt:lpstr>Bond Stores Income Statement</vt:lpstr>
      <vt:lpstr>Fashion Park&gt;&gt;&gt;</vt:lpstr>
      <vt:lpstr>Fashion Park Consolidated BS</vt:lpstr>
      <vt:lpstr>Fashion Park Inc. IS</vt:lpstr>
      <vt:lpstr>Hart Schaffner&gt;&gt;&gt;</vt:lpstr>
      <vt:lpstr>BS</vt:lpstr>
      <vt:lpstr>IS</vt:lpstr>
      <vt:lpstr>Industry Data&gt;&gt;&gt;</vt:lpstr>
      <vt:lpstr>Sheet4</vt:lpstr>
      <vt:lpstr>Pg 340 Needle Trades</vt:lpstr>
      <vt:lpstr>Page 206 1947 Census of Manufac</vt:lpstr>
      <vt:lpstr>Pg 340 Needle Trades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Gardner</dc:creator>
  <cp:lastModifiedBy>Brett Gardner</cp:lastModifiedBy>
  <dcterms:created xsi:type="dcterms:W3CDTF">2019-02-11T19:04:58Z</dcterms:created>
  <dcterms:modified xsi:type="dcterms:W3CDTF">2020-03-02T21:40:16Z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{36038656-0B8F-449B-BD55-1133BAB6D06A}</vt:lpwstr>
  </property>
</Properties>
</file>