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t\Desktop\local-projects\savings-calcuator\"/>
    </mc:Choice>
  </mc:AlternateContent>
  <xr:revisionPtr revIDLastSave="0" documentId="13_ncr:1_{C835BB52-A0AB-443A-8C78-C6EA49DC2547}" xr6:coauthVersionLast="47" xr6:coauthVersionMax="47" xr10:uidLastSave="{00000000-0000-0000-0000-000000000000}"/>
  <bookViews>
    <workbookView xWindow="-108" yWindow="-108" windowWidth="23256" windowHeight="13176" xr2:uid="{8DEE935C-5CD4-472D-9A54-397A1F12FD36}"/>
  </bookViews>
  <sheets>
    <sheet name="Table of Contents" sheetId="3" r:id="rId1"/>
    <sheet name="net income calculator" sheetId="1" r:id="rId2"/>
    <sheet name="savings calculator" sheetId="2" r:id="rId3"/>
  </sheets>
  <definedNames>
    <definedName name="active_bracket_row">'net income calculator'!$I$25</definedName>
    <definedName name="active_bracket_sum">'net income calculator'!$I$27</definedName>
    <definedName name="active_bracket_taxable">'net income calculator'!$I$26</definedName>
    <definedName name="car_insurance">'savings calculator'!$C$10</definedName>
    <definedName name="car_payment">'savings calculator'!$C$9</definedName>
    <definedName name="city_inc_tax">'net income calculator'!$F$9</definedName>
    <definedName name="city_inc_tax_rate">'net income calculator'!$C$8</definedName>
    <definedName name="entertainment">'savings calculator'!$C$15</definedName>
    <definedName name="fed_inc_tax">'net income calculator'!$F$11</definedName>
    <definedName name="gas">'savings calculator'!$C$12</definedName>
    <definedName name="groceries">'savings calculator'!$C$14</definedName>
    <definedName name="gym">'savings calculator'!$C$16</definedName>
    <definedName name="health__dental__vision">'savings calculator'!$C$11</definedName>
    <definedName name="income">'net income calculator'!$C$4</definedName>
    <definedName name="lump_row_match">'net income calculator'!$I$22</definedName>
    <definedName name="lump_sum">'net income calculator'!$I$23</definedName>
    <definedName name="medicare_tax">'net income calculator'!$F$15</definedName>
    <definedName name="monthly_net_inc">'savings calculator'!$F$5</definedName>
    <definedName name="monthly_savings">'savings calculator'!$I$18</definedName>
    <definedName name="net_income">'net income calculator'!$I$16</definedName>
    <definedName name="rent">'savings calculator'!$C$7</definedName>
    <definedName name="social_security_tax">'net income calculator'!$F$13</definedName>
    <definedName name="state_inc_tax">'net income calculator'!$F$7</definedName>
    <definedName name="state_inc_tax_rate">'net income calculator'!$C$6</definedName>
    <definedName name="student_loan">'savings calculator'!$C$13</definedName>
    <definedName name="total_expenses">'savings calculator'!$F$17</definedName>
    <definedName name="utilities">'savings calculator'!$C$8</definedName>
    <definedName name="yearly_savings">'savings calculator'!$I$19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2" l="1"/>
  <c r="F15" i="1"/>
  <c r="F13" i="1"/>
  <c r="F23" i="1"/>
  <c r="F24" i="1" s="1"/>
  <c r="F25" i="1" s="1"/>
  <c r="F26" i="1" s="1"/>
  <c r="F27" i="1" s="1"/>
  <c r="F28" i="1" s="1"/>
  <c r="E28" i="1"/>
  <c r="E27" i="1"/>
  <c r="E26" i="1"/>
  <c r="I22" i="1"/>
  <c r="I25" i="1" s="1"/>
  <c r="I26" i="1" s="1" a="1"/>
  <c r="I26" i="1" s="1"/>
  <c r="I27" i="1" s="1" a="1"/>
  <c r="I27" i="1" s="1"/>
  <c r="E23" i="1"/>
  <c r="E24" i="1"/>
  <c r="E25" i="1"/>
  <c r="F9" i="1"/>
  <c r="F7" i="1"/>
  <c r="I23" i="1" l="1" a="1"/>
  <c r="I23" i="1" s="1"/>
  <c r="F11" i="1" s="1"/>
  <c r="I16" i="1" s="1"/>
  <c r="C4" i="2" l="1"/>
  <c r="F5" i="2"/>
  <c r="I18" i="2" s="1"/>
  <c r="I1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<sst xmlns="http://schemas.openxmlformats.org/spreadsheetml/2006/main" count="52" uniqueCount="47">
  <si>
    <t>income</t>
  </si>
  <si>
    <t>net income</t>
  </si>
  <si>
    <t>from</t>
  </si>
  <si>
    <t>to</t>
  </si>
  <si>
    <t>fed inc tax</t>
  </si>
  <si>
    <t>state inc tax</t>
  </si>
  <si>
    <t>city inc tax</t>
  </si>
  <si>
    <t>city inc tax rate</t>
  </si>
  <si>
    <t>state inc tax rate</t>
  </si>
  <si>
    <t>rate</t>
  </si>
  <si>
    <t>HELPERS:</t>
  </si>
  <si>
    <t>Inputs</t>
  </si>
  <si>
    <t>Calculations</t>
  </si>
  <si>
    <t>lump tax</t>
  </si>
  <si>
    <t>Outputs</t>
  </si>
  <si>
    <t>lump row match</t>
  </si>
  <si>
    <t>lump sum</t>
  </si>
  <si>
    <t>cum. Lump</t>
  </si>
  <si>
    <t>active bracket row</t>
  </si>
  <si>
    <t>active bracket sum</t>
  </si>
  <si>
    <t>Single Filer Federal</t>
  </si>
  <si>
    <t>active bracket taxable</t>
  </si>
  <si>
    <t>social security tax</t>
  </si>
  <si>
    <t>medicare tax</t>
  </si>
  <si>
    <t>car payment</t>
  </si>
  <si>
    <t>car insurance</t>
  </si>
  <si>
    <t>student loan</t>
  </si>
  <si>
    <t>monthly savings</t>
  </si>
  <si>
    <t>groceries</t>
  </si>
  <si>
    <t>monthly net inc</t>
  </si>
  <si>
    <t>rent</t>
  </si>
  <si>
    <t>gym</t>
  </si>
  <si>
    <t>utilities</t>
  </si>
  <si>
    <t>total expenses</t>
  </si>
  <si>
    <t>gas</t>
  </si>
  <si>
    <t>entertainment</t>
  </si>
  <si>
    <t>yearly savings</t>
  </si>
  <si>
    <t>tab</t>
  </si>
  <si>
    <t>GOAL:</t>
  </si>
  <si>
    <t>net income calculator</t>
  </si>
  <si>
    <t>return to TOC</t>
  </si>
  <si>
    <t>Description</t>
  </si>
  <si>
    <r>
      <t xml:space="preserve">Calculates the </t>
    </r>
    <r>
      <rPr>
        <i/>
        <sz val="14"/>
        <color theme="1"/>
        <rFont val="Calibri"/>
        <family val="2"/>
        <scheme val="minor"/>
      </rPr>
      <t>net income</t>
    </r>
    <r>
      <rPr>
        <sz val="14"/>
        <color theme="1"/>
        <rFont val="Calibri"/>
        <family val="2"/>
        <scheme val="minor"/>
      </rPr>
      <t xml:space="preserve"> after tax deductions</t>
    </r>
  </si>
  <si>
    <r>
      <t xml:space="preserve">Calculates the </t>
    </r>
    <r>
      <rPr>
        <i/>
        <sz val="14"/>
        <color theme="1"/>
        <rFont val="Calibri"/>
        <family val="2"/>
        <scheme val="minor"/>
      </rPr>
      <t xml:space="preserve">yearly savings </t>
    </r>
    <r>
      <rPr>
        <sz val="14"/>
        <color theme="1"/>
        <rFont val="Calibri"/>
        <family val="2"/>
        <scheme val="minor"/>
      </rPr>
      <t>after expenses</t>
    </r>
  </si>
  <si>
    <t>savings_calculator</t>
  </si>
  <si>
    <r>
      <t xml:space="preserve">yearly savings </t>
    </r>
    <r>
      <rPr>
        <b/>
        <sz val="14"/>
        <color theme="1"/>
        <rFont val="Calibri"/>
        <family val="2"/>
        <scheme val="minor"/>
      </rPr>
      <t>&gt;= $_____</t>
    </r>
  </si>
  <si>
    <t>health, dental,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</si>
</sst>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7F7F7F"/>
      </right>
      <top/>
      <bottom style="thin">
        <color indexed="64"/>
      </bottom>
      <diagonal/>
    </border>
    <border>
      <left/>
      <right style="thin">
        <color rgb="FF7F7F7F"/>
      </right>
      <top/>
      <bottom style="thin">
        <color indexed="64"/>
      </bottom>
      <diagonal/>
    </border>
    <border>
      <left/>
      <right style="thin">
        <color rgb="FF3F3F3F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3F3F3F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</cellStyleXfs>
  <cellXfs count="49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6" fontId="3" fillId="3" borderId="1" xfId="3" applyNumberFormat="1"/>
    <xf numFmtId="6" fontId="0" fillId="0" borderId="0" xfId="0" applyNumberFormat="1"/>
    <xf numFmtId="6" fontId="2" fillId="3" borderId="2" xfId="2" applyNumberFormat="1"/>
    <xf numFmtId="9" fontId="0" fillId="0" borderId="0" xfId="0" applyNumberFormat="1"/>
    <xf numFmtId="6" fontId="7" fillId="2" borderId="1" xfId="1" applyNumberFormat="1" applyFont="1"/>
    <xf numFmtId="0" fontId="4" fillId="4" borderId="0" xfId="0" applyFont="1" applyFill="1" applyAlignment="1">
      <alignment horizontal="right"/>
    </xf>
    <xf numFmtId="0" fontId="4" fillId="4" borderId="0" xfId="0" applyFont="1" applyFill="1"/>
    <xf numFmtId="0" fontId="8" fillId="4" borderId="0" xfId="0" applyFont="1" applyFill="1" applyAlignment="1">
      <alignment horizontal="left"/>
    </xf>
    <xf numFmtId="0" fontId="9" fillId="0" borderId="0" xfId="0" applyFont="1" applyAlignment="1">
      <alignment horizontal="right"/>
    </xf>
    <xf numFmtId="3" fontId="3" fillId="3" borderId="1" xfId="3" applyNumberFormat="1"/>
    <xf numFmtId="0" fontId="6" fillId="0" borderId="0" xfId="0" applyFont="1" applyAlignment="1">
      <alignment horizontal="left"/>
    </xf>
    <xf numFmtId="0" fontId="0" fillId="0" borderId="0" xfId="0" applyAlignment="1">
      <alignment horizontal="right"/>
    </xf>
    <xf numFmtId="6" fontId="10" fillId="0" borderId="3" xfId="4" applyNumberFormat="1"/>
    <xf numFmtId="8" fontId="1" fillId="2" borderId="1" xfId="1" applyNumberFormat="1"/>
    <xf numFmtId="0" fontId="9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4" fillId="0" borderId="4" xfId="0" applyFont="1" applyBorder="1"/>
    <xf numFmtId="0" fontId="4" fillId="0" borderId="8" xfId="0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4" fillId="0" borderId="5" xfId="0" applyFont="1" applyBorder="1"/>
    <xf numFmtId="0" fontId="4" fillId="0" borderId="6" xfId="0" applyFont="1" applyBorder="1"/>
    <xf numFmtId="0" fontId="4" fillId="0" borderId="10" xfId="0" applyFont="1" applyBorder="1"/>
    <xf numFmtId="10" fontId="5" fillId="2" borderId="11" xfId="1" applyNumberFormat="1" applyFont="1" applyBorder="1"/>
    <xf numFmtId="0" fontId="0" fillId="0" borderId="10" xfId="0" applyBorder="1"/>
    <xf numFmtId="0" fontId="0" fillId="0" borderId="12" xfId="0" applyBorder="1"/>
    <xf numFmtId="6" fontId="3" fillId="3" borderId="11" xfId="3" applyNumberForma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 applyAlignment="1">
      <alignment horizontal="right"/>
    </xf>
    <xf numFmtId="0" fontId="4" fillId="0" borderId="15" xfId="0" applyFont="1" applyBorder="1"/>
    <xf numFmtId="8" fontId="2" fillId="3" borderId="17" xfId="2" applyNumberFormat="1" applyBorder="1"/>
    <xf numFmtId="8" fontId="2" fillId="3" borderId="11" xfId="2" applyNumberFormat="1" applyBorder="1"/>
    <xf numFmtId="0" fontId="0" fillId="0" borderId="16" xfId="0" applyBorder="1" applyAlignment="1">
      <alignment horizontal="right"/>
    </xf>
    <xf numFmtId="0" fontId="11" fillId="0" borderId="0" xfId="5"/>
    <xf numFmtId="0" fontId="14" fillId="0" borderId="0" xfId="0" applyFont="1"/>
    <xf numFmtId="0" fontId="14" fillId="6" borderId="18" xfId="0" applyFont="1" applyFill="1" applyBorder="1"/>
    <xf numFmtId="0" fontId="14" fillId="6" borderId="19" xfId="0" applyFont="1" applyFill="1" applyBorder="1"/>
    <xf numFmtId="0" fontId="15" fillId="0" borderId="20" xfId="5" quotePrefix="1" applyFont="1" applyBorder="1"/>
    <xf numFmtId="0" fontId="14" fillId="0" borderId="21" xfId="0" applyFont="1" applyBorder="1"/>
    <xf numFmtId="0" fontId="15" fillId="0" borderId="22" xfId="5" applyFont="1" applyBorder="1"/>
    <xf numFmtId="0" fontId="14" fillId="0" borderId="23" xfId="0" applyFont="1" applyBorder="1"/>
    <xf numFmtId="0" fontId="12" fillId="5" borderId="24" xfId="0" applyFont="1" applyFill="1" applyBorder="1"/>
    <xf numFmtId="0" fontId="13" fillId="5" borderId="25" xfId="0" applyFont="1" applyFill="1" applyBorder="1"/>
  </cellXfs>
  <cellStyles count="6">
    <cellStyle name="Calculation" xfId="3" builtinId="22"/>
    <cellStyle name="Hyperlink" xfId="5" builtinId="8"/>
    <cellStyle name="Input" xfId="1" builtinId="20"/>
    <cellStyle name="Linked Cell" xfId="4" builtinId="24"/>
    <cellStyle name="Normal" xfId="0" builtinId="0"/>
    <cellStyle name="Output" xfId="2" builtinId="21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C71635-BAFA-4D34-B5E5-5DC0DD0524D2}" name="tabFedIncTax" displayName="tabFedIncTax" ref="B22:F28" totalsRowShown="0">
  <autoFilter ref="B22:F28" xr:uid="{45C71635-BAFA-4D34-B5E5-5DC0DD0524D2}"/>
  <tableColumns count="5">
    <tableColumn id="1" xr3:uid="{910F6AEE-C472-4B9D-89FC-9F7EF9A9F36D}" name="rate" dataDxfId="6"/>
    <tableColumn id="2" xr3:uid="{A417DF9F-3BFE-4E08-95FB-766DF609B117}" name="from" dataDxfId="5"/>
    <tableColumn id="3" xr3:uid="{E5BBF06D-0B6F-4E66-AAF6-39FA2CB438B1}" name="to" dataDxfId="4"/>
    <tableColumn id="4" xr3:uid="{92EE3D5F-98A9-48E8-A0C4-44ECA97611FF}" name="lump tax" dataDxfId="3">
      <calculatedColumnFormula>(tabFedIncTax[[#This Row],[to]]-tabFedIncTax[[#This Row],[from]])*tabFedIncTax[[#This Row],[rate]]</calculatedColumnFormula>
    </tableColumn>
    <tableColumn id="5" xr3:uid="{C55957D1-9BA9-4FB1-A45D-64074D8734E9}" name="cum. Lump" dataDxfId="2">
      <calculatedColumnFormula>IF(TYPE(E22)=1,
tabFedIncTax[[#This Row],[lump tax]]+F22,
tabFedIncTax[[#This Row],[lump tax]]
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2791-A377-42CC-B595-145F86B5EF55}">
  <dimension ref="B1:C6"/>
  <sheetViews>
    <sheetView showGridLines="0" tabSelected="1" workbookViewId="0">
      <selection activeCell="B2" sqref="B2:C2"/>
    </sheetView>
  </sheetViews>
  <sheetFormatPr defaultRowHeight="18" x14ac:dyDescent="0.35"/>
  <cols>
    <col min="1" max="1" width="8.88671875" style="40"/>
    <col min="2" max="2" width="33.44140625" style="40" bestFit="1" customWidth="1"/>
    <col min="3" max="3" width="50.21875" style="40" bestFit="1" customWidth="1"/>
    <col min="4" max="16384" width="8.88671875" style="40"/>
  </cols>
  <sheetData>
    <row r="1" spans="2:3" ht="18.600000000000001" thickBot="1" x14ac:dyDescent="0.4"/>
    <row r="2" spans="2:3" ht="18.600000000000001" thickBot="1" x14ac:dyDescent="0.4">
      <c r="B2" s="47" t="s">
        <v>38</v>
      </c>
      <c r="C2" s="48" t="s">
        <v>45</v>
      </c>
    </row>
    <row r="3" spans="2:3" ht="18.600000000000001" thickBot="1" x14ac:dyDescent="0.4"/>
    <row r="4" spans="2:3" x14ac:dyDescent="0.35">
      <c r="B4" s="41" t="s">
        <v>37</v>
      </c>
      <c r="C4" s="42" t="s">
        <v>41</v>
      </c>
    </row>
    <row r="5" spans="2:3" x14ac:dyDescent="0.35">
      <c r="B5" s="43" t="s">
        <v>39</v>
      </c>
      <c r="C5" s="44" t="s">
        <v>42</v>
      </c>
    </row>
    <row r="6" spans="2:3" ht="18.600000000000001" thickBot="1" x14ac:dyDescent="0.4">
      <c r="B6" s="45" t="s">
        <v>44</v>
      </c>
      <c r="C6" s="46" t="s">
        <v>43</v>
      </c>
    </row>
  </sheetData>
  <hyperlinks>
    <hyperlink ref="B5" location="'net income calculator'!A1" display="'net income calculator'!A1" xr:uid="{AD4B4109-A670-4CF2-AEC2-0C236676DEC9}"/>
    <hyperlink ref="B6" location="yearly_savings" display="yearly_savings" xr:uid="{28258228-3F40-4806-AC14-61F8C9A560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8516-8BE7-494B-AE5F-C7E896668E2E}">
  <dimension ref="A1:I28"/>
  <sheetViews>
    <sheetView showGridLines="0" workbookViewId="0"/>
  </sheetViews>
  <sheetFormatPr defaultRowHeight="15.6" x14ac:dyDescent="0.3"/>
  <cols>
    <col min="1" max="1" width="12.109375" style="2" bestFit="1" customWidth="1"/>
    <col min="2" max="2" width="21.5546875" style="1" bestFit="1" customWidth="1"/>
    <col min="3" max="3" width="11.6640625" style="2" bestFit="1" customWidth="1"/>
    <col min="4" max="4" width="8.88671875" style="2"/>
    <col min="5" max="5" width="17.6640625" style="1" bestFit="1" customWidth="1"/>
    <col min="6" max="6" width="12.6640625" style="2" bestFit="1" customWidth="1"/>
    <col min="7" max="7" width="8.88671875" style="2"/>
    <col min="8" max="8" width="21.6640625" style="2" bestFit="1" customWidth="1"/>
    <col min="9" max="9" width="9.77734375" style="2" bestFit="1" customWidth="1"/>
    <col min="10" max="16384" width="8.88671875" style="2"/>
  </cols>
  <sheetData>
    <row r="1" spans="1:9" x14ac:dyDescent="0.3">
      <c r="A1" s="39" t="s">
        <v>40</v>
      </c>
    </row>
    <row r="2" spans="1:9" ht="18" x14ac:dyDescent="0.35">
      <c r="B2" s="11" t="s">
        <v>11</v>
      </c>
      <c r="E2" s="11" t="s">
        <v>12</v>
      </c>
      <c r="H2" s="11" t="s">
        <v>14</v>
      </c>
    </row>
    <row r="4" spans="1:9" x14ac:dyDescent="0.3">
      <c r="B4" s="1" t="s">
        <v>0</v>
      </c>
      <c r="C4" s="7">
        <v>70000</v>
      </c>
    </row>
    <row r="6" spans="1:9" x14ac:dyDescent="0.3">
      <c r="B6" s="1" t="s">
        <v>8</v>
      </c>
      <c r="C6" s="28">
        <v>3.0700000000000002E-2</v>
      </c>
      <c r="D6" s="26"/>
    </row>
    <row r="7" spans="1:9" x14ac:dyDescent="0.3">
      <c r="D7" s="25"/>
      <c r="E7" s="23" t="s">
        <v>5</v>
      </c>
      <c r="F7" s="3">
        <f>income*state_inc_tax_rate</f>
        <v>2149</v>
      </c>
      <c r="G7" s="22"/>
    </row>
    <row r="8" spans="1:9" x14ac:dyDescent="0.3">
      <c r="B8" s="1" t="s">
        <v>7</v>
      </c>
      <c r="C8" s="28">
        <v>3.9300000000000002E-2</v>
      </c>
      <c r="D8" s="26"/>
      <c r="G8" s="27"/>
    </row>
    <row r="9" spans="1:9" x14ac:dyDescent="0.3">
      <c r="D9" s="27"/>
      <c r="E9" s="34" t="s">
        <v>6</v>
      </c>
      <c r="F9" s="31">
        <f>income*city_inc_tax_rate</f>
        <v>2751</v>
      </c>
      <c r="G9" s="35"/>
    </row>
    <row r="10" spans="1:9" x14ac:dyDescent="0.3">
      <c r="E10" s="2"/>
      <c r="G10" s="27"/>
    </row>
    <row r="11" spans="1:9" x14ac:dyDescent="0.3">
      <c r="E11" s="1" t="s">
        <v>4</v>
      </c>
      <c r="F11" s="3">
        <f>lump_sum+active_bracket_sum</f>
        <v>11016.66</v>
      </c>
      <c r="G11" s="32"/>
    </row>
    <row r="12" spans="1:9" x14ac:dyDescent="0.3">
      <c r="E12" s="2"/>
      <c r="G12" s="27"/>
    </row>
    <row r="13" spans="1:9" x14ac:dyDescent="0.3">
      <c r="E13" s="1" t="s">
        <v>22</v>
      </c>
      <c r="F13" s="31">
        <f>income*0.062</f>
        <v>4340</v>
      </c>
      <c r="G13" s="33"/>
    </row>
    <row r="14" spans="1:9" x14ac:dyDescent="0.3">
      <c r="E14" s="2"/>
      <c r="G14" s="27"/>
      <c r="H14" s="1"/>
      <c r="I14" s="1"/>
    </row>
    <row r="15" spans="1:9" x14ac:dyDescent="0.3">
      <c r="E15" s="1" t="s">
        <v>23</v>
      </c>
      <c r="F15" s="31">
        <f>income*0.0145</f>
        <v>1015</v>
      </c>
      <c r="G15" s="33"/>
      <c r="H15" s="1"/>
      <c r="I15" s="1"/>
    </row>
    <row r="16" spans="1:9" x14ac:dyDescent="0.3">
      <c r="G16" s="25"/>
      <c r="H16" s="24" t="s">
        <v>1</v>
      </c>
      <c r="I16" s="5">
        <f>income-state_inc_tax-city_inc_tax-fed_inc_tax-social_security_tax-medicare_tax</f>
        <v>48728.34</v>
      </c>
    </row>
    <row r="17" spans="2:9" x14ac:dyDescent="0.3">
      <c r="H17" s="1"/>
      <c r="I17" s="1"/>
    </row>
    <row r="19" spans="2:9" s="9" customFormat="1" ht="31.8" customHeight="1" x14ac:dyDescent="0.35">
      <c r="B19" s="10" t="s">
        <v>10</v>
      </c>
      <c r="E19" s="8"/>
    </row>
    <row r="21" spans="2:9" x14ac:dyDescent="0.3">
      <c r="B21" s="13" t="s">
        <v>20</v>
      </c>
    </row>
    <row r="22" spans="2:9" x14ac:dyDescent="0.3">
      <c r="B22" t="s">
        <v>9</v>
      </c>
      <c r="C22" t="s">
        <v>2</v>
      </c>
      <c r="D22" t="s">
        <v>3</v>
      </c>
      <c r="E22" t="s">
        <v>13</v>
      </c>
      <c r="F22" t="s">
        <v>17</v>
      </c>
      <c r="H22" s="2" t="s">
        <v>15</v>
      </c>
      <c r="I22" s="12">
        <f>MATCH(income,tabFedIncTax[to],1)</f>
        <v>2</v>
      </c>
    </row>
    <row r="23" spans="2:9" x14ac:dyDescent="0.3">
      <c r="B23" s="6">
        <v>0.1</v>
      </c>
      <c r="C23" s="4">
        <v>0</v>
      </c>
      <c r="D23" s="4">
        <v>10275</v>
      </c>
      <c r="E23" s="4">
        <f>(tabFedIncTax[[#This Row],[to]]-tabFedIncTax[[#This Row],[from]])*tabFedIncTax[[#This Row],[rate]]</f>
        <v>1027.5</v>
      </c>
      <c r="F23" s="4">
        <f>IF(TYPE(E22)=1,
tabFedIncTax[[#This Row],[lump tax]]+F22,
tabFedIncTax[[#This Row],[lump tax]]
)</f>
        <v>1027.5</v>
      </c>
      <c r="H23" s="2" t="s">
        <v>16</v>
      </c>
      <c r="I23" s="3" cm="1">
        <f t="array" ref="I23">INDEX(tabFedIncTax[cum. Lump],lump_row_match)</f>
        <v>4807.3799999999992</v>
      </c>
    </row>
    <row r="24" spans="2:9" x14ac:dyDescent="0.3">
      <c r="B24" s="6">
        <v>0.12</v>
      </c>
      <c r="C24" s="4">
        <v>10276</v>
      </c>
      <c r="D24" s="4">
        <v>41775</v>
      </c>
      <c r="E24" s="4">
        <f>(tabFedIncTax[[#This Row],[to]]-tabFedIncTax[[#This Row],[from]])*tabFedIncTax[[#This Row],[rate]]</f>
        <v>3779.8799999999997</v>
      </c>
      <c r="F24" s="4">
        <f>IF(TYPE(E23)=1,
tabFedIncTax[[#This Row],[lump tax]]+F23,
tabFedIncTax[[#This Row],[lump tax]]
)</f>
        <v>4807.3799999999992</v>
      </c>
    </row>
    <row r="25" spans="2:9" x14ac:dyDescent="0.3">
      <c r="B25" s="6">
        <v>0.22</v>
      </c>
      <c r="C25" s="4">
        <v>41776</v>
      </c>
      <c r="D25" s="4">
        <v>89075</v>
      </c>
      <c r="E25" s="4">
        <f>(tabFedIncTax[[#This Row],[to]]-tabFedIncTax[[#This Row],[from]])*tabFedIncTax[[#This Row],[rate]]</f>
        <v>10405.780000000001</v>
      </c>
      <c r="F25" s="4">
        <f>IF(TYPE(E24)=1,
tabFedIncTax[[#This Row],[lump tax]]+F24,
tabFedIncTax[[#This Row],[lump tax]]
)</f>
        <v>15213.16</v>
      </c>
      <c r="H25" s="2" t="s">
        <v>18</v>
      </c>
      <c r="I25" s="12">
        <f>lump_row_match+1</f>
        <v>3</v>
      </c>
    </row>
    <row r="26" spans="2:9" x14ac:dyDescent="0.3">
      <c r="B26" s="6">
        <v>0.24</v>
      </c>
      <c r="C26" s="4">
        <v>89076</v>
      </c>
      <c r="D26" s="4">
        <v>170050</v>
      </c>
      <c r="E26" s="4">
        <f>(tabFedIncTax[[#This Row],[to]]-tabFedIncTax[[#This Row],[from]])*tabFedIncTax[[#This Row],[rate]]</f>
        <v>19433.759999999998</v>
      </c>
      <c r="F26" s="4">
        <f>IF(TYPE(E25)=1,
tabFedIncTax[[#This Row],[lump tax]]+F25,
tabFedIncTax[[#This Row],[lump tax]]
)</f>
        <v>34646.92</v>
      </c>
      <c r="H26" s="2" t="s">
        <v>21</v>
      </c>
      <c r="I26" s="3" cm="1">
        <f t="array" ref="I26">income
-
INDEX(tabFedIncTax[from],active_bracket_row)</f>
        <v>28224</v>
      </c>
    </row>
    <row r="27" spans="2:9" x14ac:dyDescent="0.3">
      <c r="B27" s="6">
        <v>0.32</v>
      </c>
      <c r="C27" s="4">
        <v>170051</v>
      </c>
      <c r="D27" s="4">
        <v>215950</v>
      </c>
      <c r="E27" s="4">
        <f>(tabFedIncTax[[#This Row],[to]]-tabFedIncTax[[#This Row],[from]])*tabFedIncTax[[#This Row],[rate]]</f>
        <v>14687.68</v>
      </c>
      <c r="F27" s="4">
        <f>IF(TYPE(E26)=1,
tabFedIncTax[[#This Row],[lump tax]]+F26,
tabFedIncTax[[#This Row],[lump tax]]
)</f>
        <v>49334.6</v>
      </c>
      <c r="H27" s="2" t="s">
        <v>19</v>
      </c>
      <c r="I27" s="3" cm="1">
        <f t="array" ref="I27">active_bracket_taxable
*
INDEX(tabFedIncTax[rate],active_bracket_row)</f>
        <v>6209.28</v>
      </c>
    </row>
    <row r="28" spans="2:9" x14ac:dyDescent="0.3">
      <c r="B28" s="6">
        <v>0.35</v>
      </c>
      <c r="C28" s="4">
        <v>215951</v>
      </c>
      <c r="D28" s="4">
        <v>539900</v>
      </c>
      <c r="E28" s="4">
        <f>(tabFedIncTax[[#This Row],[to]]-tabFedIncTax[[#This Row],[from]])*tabFedIncTax[[#This Row],[rate]]</f>
        <v>113382.15</v>
      </c>
      <c r="F28" s="4">
        <f>IF(TYPE(E27)=1,
tabFedIncTax[[#This Row],[lump tax]]+F27,
tabFedIncTax[[#This Row],[lump tax]]
)</f>
        <v>162716.75</v>
      </c>
    </row>
  </sheetData>
  <hyperlinks>
    <hyperlink ref="A1" location="'Table of Contents'!B2:C2" display="return to TOC" xr:uid="{1BCF568D-A001-4B51-A576-D274763E3580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4ADF-EB9A-4E59-BE85-038FDC2C542E}">
  <dimension ref="A1:I19"/>
  <sheetViews>
    <sheetView showGridLines="0" workbookViewId="0"/>
  </sheetViews>
  <sheetFormatPr defaultRowHeight="14.4" x14ac:dyDescent="0.3"/>
  <cols>
    <col min="1" max="1" width="12.109375" bestFit="1" customWidth="1"/>
    <col min="2" max="2" width="17.88671875" style="14" bestFit="1" customWidth="1"/>
    <col min="3" max="3" width="10.5546875" bestFit="1" customWidth="1"/>
    <col min="5" max="5" width="17.44140625" style="14" bestFit="1" customWidth="1"/>
    <col min="6" max="6" width="9.77734375" bestFit="1" customWidth="1"/>
    <col min="8" max="8" width="14" bestFit="1" customWidth="1"/>
    <col min="9" max="9" width="10.77734375" bestFit="1" customWidth="1"/>
    <col min="11" max="11" width="20.21875" bestFit="1" customWidth="1"/>
  </cols>
  <sheetData>
    <row r="1" spans="1:8" x14ac:dyDescent="0.3">
      <c r="A1" s="39" t="s">
        <v>40</v>
      </c>
    </row>
    <row r="2" spans="1:8" ht="18" x14ac:dyDescent="0.35">
      <c r="B2" s="11" t="s">
        <v>11</v>
      </c>
      <c r="C2" s="2"/>
      <c r="D2" s="2"/>
      <c r="E2" s="11" t="s">
        <v>12</v>
      </c>
      <c r="F2" s="2"/>
      <c r="G2" s="2"/>
      <c r="H2" s="17" t="s">
        <v>14</v>
      </c>
    </row>
    <row r="4" spans="1:8" ht="15" thickBot="1" x14ac:dyDescent="0.35">
      <c r="B4" s="14" t="s">
        <v>1</v>
      </c>
      <c r="C4" s="15">
        <f>net_income</f>
        <v>48728.34</v>
      </c>
      <c r="D4" s="20"/>
    </row>
    <row r="5" spans="1:8" ht="15" thickTop="1" x14ac:dyDescent="0.3">
      <c r="D5" s="19"/>
      <c r="E5" s="21" t="s">
        <v>29</v>
      </c>
      <c r="F5" s="3">
        <f>net_income/12</f>
        <v>4060.6949999999997</v>
      </c>
      <c r="G5" s="18"/>
    </row>
    <row r="6" spans="1:8" x14ac:dyDescent="0.3">
      <c r="G6" s="19"/>
    </row>
    <row r="7" spans="1:8" x14ac:dyDescent="0.3">
      <c r="B7" s="14" t="s">
        <v>30</v>
      </c>
      <c r="C7" s="16">
        <v>1300</v>
      </c>
      <c r="G7" s="29"/>
    </row>
    <row r="8" spans="1:8" x14ac:dyDescent="0.3">
      <c r="B8" s="14" t="s">
        <v>32</v>
      </c>
      <c r="C8" s="16">
        <v>100</v>
      </c>
      <c r="G8" s="29"/>
    </row>
    <row r="9" spans="1:8" x14ac:dyDescent="0.3">
      <c r="B9" s="14" t="s">
        <v>24</v>
      </c>
      <c r="C9" s="16">
        <v>278.55</v>
      </c>
      <c r="G9" s="29"/>
    </row>
    <row r="10" spans="1:8" x14ac:dyDescent="0.3">
      <c r="B10" s="14" t="s">
        <v>25</v>
      </c>
      <c r="C10" s="16">
        <v>125.08</v>
      </c>
      <c r="G10" s="29"/>
    </row>
    <row r="11" spans="1:8" x14ac:dyDescent="0.3">
      <c r="B11" s="14" t="s">
        <v>46</v>
      </c>
      <c r="C11" s="16">
        <v>125</v>
      </c>
      <c r="G11" s="29"/>
    </row>
    <row r="12" spans="1:8" x14ac:dyDescent="0.3">
      <c r="B12" s="14" t="s">
        <v>34</v>
      </c>
      <c r="C12" s="16">
        <v>120</v>
      </c>
      <c r="G12" s="29"/>
    </row>
    <row r="13" spans="1:8" x14ac:dyDescent="0.3">
      <c r="B13" s="14" t="s">
        <v>26</v>
      </c>
      <c r="C13" s="16">
        <v>468.55</v>
      </c>
      <c r="G13" s="29"/>
    </row>
    <row r="14" spans="1:8" x14ac:dyDescent="0.3">
      <c r="B14" s="14" t="s">
        <v>28</v>
      </c>
      <c r="C14" s="16">
        <v>400</v>
      </c>
      <c r="G14" s="29"/>
    </row>
    <row r="15" spans="1:8" x14ac:dyDescent="0.3">
      <c r="B15" s="14" t="s">
        <v>35</v>
      </c>
      <c r="C15" s="16">
        <v>250</v>
      </c>
      <c r="G15" s="29"/>
    </row>
    <row r="16" spans="1:8" x14ac:dyDescent="0.3">
      <c r="B16" s="14" t="s">
        <v>31</v>
      </c>
      <c r="C16" s="16">
        <v>40</v>
      </c>
      <c r="D16" s="18"/>
      <c r="G16" s="29"/>
    </row>
    <row r="17" spans="4:9" x14ac:dyDescent="0.3">
      <c r="D17" s="19"/>
      <c r="E17" s="21" t="s">
        <v>33</v>
      </c>
      <c r="F17" s="3">
        <f>rent+utilities+car_payment+car_insurance+health__dental__vision+gas+student_loan+groceries+entertainment+gym</f>
        <v>3207.1800000000003</v>
      </c>
      <c r="G17" s="30"/>
    </row>
    <row r="18" spans="4:9" x14ac:dyDescent="0.3">
      <c r="G18" s="19"/>
      <c r="H18" t="s">
        <v>27</v>
      </c>
      <c r="I18" s="37">
        <f>monthly_net_inc-total_expenses</f>
        <v>853.51499999999942</v>
      </c>
    </row>
    <row r="19" spans="4:9" x14ac:dyDescent="0.3">
      <c r="H19" s="38" t="s">
        <v>36</v>
      </c>
      <c r="I19" s="36">
        <f>I18*12</f>
        <v>10242.179999999993</v>
      </c>
    </row>
  </sheetData>
  <conditionalFormatting sqref="I18:I19">
    <cfRule type="cellIs" dxfId="1" priority="1" operator="lessThan">
      <formula>0</formula>
    </cfRule>
    <cfRule type="cellIs" dxfId="0" priority="2" operator="greaterThan">
      <formula>0</formula>
    </cfRule>
  </conditionalFormatting>
  <hyperlinks>
    <hyperlink ref="A1" location="'Table of Contents'!B2:C2" display="return to TOC" xr:uid="{D031AB11-39BC-447D-8DF3-8B707A8B50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28</vt:i4>
      </vt:variant>
    </vt:vector>
  </HeadingPairs>
  <TitlesOfParts>
    <vt:vector size="31" baseType="lpstr">
      <vt:lpstr>Table of Contents</vt:lpstr>
      <vt:lpstr>net income calculator</vt:lpstr>
      <vt:lpstr>savings calculator</vt:lpstr>
      <vt:lpstr>active_bracket_row</vt:lpstr>
      <vt:lpstr>active_bracket_sum</vt:lpstr>
      <vt:lpstr>active_bracket_taxable</vt:lpstr>
      <vt:lpstr>car_insurance</vt:lpstr>
      <vt:lpstr>car_payment</vt:lpstr>
      <vt:lpstr>city_inc_tax</vt:lpstr>
      <vt:lpstr>city_inc_tax_rate</vt:lpstr>
      <vt:lpstr>entertainment</vt:lpstr>
      <vt:lpstr>fed_inc_tax</vt:lpstr>
      <vt:lpstr>gas</vt:lpstr>
      <vt:lpstr>groceries</vt:lpstr>
      <vt:lpstr>gym</vt:lpstr>
      <vt:lpstr>health__dental__vision</vt:lpstr>
      <vt:lpstr>income</vt:lpstr>
      <vt:lpstr>lump_row_match</vt:lpstr>
      <vt:lpstr>lump_sum</vt:lpstr>
      <vt:lpstr>medicare_tax</vt:lpstr>
      <vt:lpstr>monthly_net_inc</vt:lpstr>
      <vt:lpstr>monthly_savings</vt:lpstr>
      <vt:lpstr>net_income</vt:lpstr>
      <vt:lpstr>rent</vt:lpstr>
      <vt:lpstr>social_security_tax</vt:lpstr>
      <vt:lpstr>state_inc_tax</vt:lpstr>
      <vt:lpstr>state_inc_tax_rate</vt:lpstr>
      <vt:lpstr>student_loan</vt:lpstr>
      <vt:lpstr>total_expenses</vt:lpstr>
      <vt:lpstr>utilities</vt:lpstr>
      <vt:lpstr>yearly_savings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Miller</dc:creator>
  <cp:lastModifiedBy>Brett Miller</cp:lastModifiedBy>
  <dcterms:created xsi:type="dcterms:W3CDTF">2022-12-31T14:58:21Z</dcterms:created>
  <dcterms:modified xsi:type="dcterms:W3CDTF">2023-01-02T15:37:05Z</dcterms:modified>
</cp:coreProperties>
</file>